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3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4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6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omments7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omments8.xml" ContentType="application/vnd.openxmlformats-officedocument.spreadsheetml.comments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תוכנית עבודה 2025\הצעת תקציב 2025\"/>
    </mc:Choice>
  </mc:AlternateContent>
  <xr:revisionPtr revIDLastSave="0" documentId="8_{E9DAB1BC-0EE5-462E-9218-F7CD3753B219}" xr6:coauthVersionLast="47" xr6:coauthVersionMax="47" xr10:uidLastSave="{00000000-0000-0000-0000-000000000000}"/>
  <bookViews>
    <workbookView xWindow="-120" yWindow="-120" windowWidth="29040" windowHeight="15840" tabRatio="588" xr2:uid="{00000000-000D-0000-FFFF-FFFF00000000}"/>
  </bookViews>
  <sheets>
    <sheet name="כותרת" sheetId="348" r:id="rId1"/>
    <sheet name="תוכן ענינים" sheetId="46" r:id="rId2"/>
    <sheet name="מבוא" sheetId="39" r:id="rId3"/>
    <sheet name="תקציב 2024" sheetId="40" r:id="rId4"/>
    <sheet name="תקציב 2025 " sheetId="41" r:id="rId5"/>
    <sheet name="תקציב 2025 פרקים" sheetId="61" r:id="rId6"/>
    <sheet name="תקציב 2025  אגפים " sheetId="42" r:id="rId7"/>
    <sheet name="תקציב 2025  מקורות " sheetId="100" r:id="rId8"/>
    <sheet name="תקציב 2025 קרנות הרשות" sheetId="38" r:id="rId9"/>
    <sheet name="תקציב 2024 סעיף 3.7-3.9" sheetId="43" r:id="rId10"/>
    <sheet name="תרשים אגפים" sheetId="65" r:id="rId11"/>
    <sheet name="ריכוז אגפים" sheetId="12" r:id="rId12"/>
    <sheet name="תרשים פרקים" sheetId="98" r:id="rId13"/>
    <sheet name="ריכוז פרקים" sheetId="97" r:id="rId14"/>
    <sheet name="פרוט מקורות אחרים" sheetId="44" r:id="rId15"/>
    <sheet name="תרשים מקורות מימון" sheetId="66" r:id="rId16"/>
    <sheet name="הנדסה 2025" sheetId="67" r:id="rId17"/>
    <sheet name="הנדסה 2025 " sheetId="163" r:id="rId18"/>
    <sheet name="תקציב הנדסה 2025 " sheetId="410" r:id="rId19"/>
    <sheet name="תקציב הנדסה 2025 תאור" sheetId="442" r:id="rId20"/>
    <sheet name="תקציב הנדסה 2025פרקים " sheetId="431" state="hidden" r:id="rId21"/>
    <sheet name="החברה לפיתוח 2025" sheetId="68" r:id="rId22"/>
    <sheet name="החב. לפיתוח 2025" sheetId="99" r:id="rId23"/>
    <sheet name="תקציב החברה לפיתוח 2025" sheetId="411" r:id="rId24"/>
    <sheet name="תקציב החברה לפיתוח 2025תאור " sheetId="443" r:id="rId25"/>
    <sheet name="תקציב החברה לפיתוח 2025 פרקים" sheetId="432" state="hidden" r:id="rId26"/>
    <sheet name="מינהל תפעול 2025" sheetId="69" r:id="rId27"/>
    <sheet name="מינהל תפעול  2025 " sheetId="160" r:id="rId28"/>
    <sheet name="  תקציב מינהל תפעול 2025 " sheetId="429" r:id="rId29"/>
    <sheet name="  תקציב מינהל תפעול 2025פרקים " sheetId="433" state="hidden" r:id="rId30"/>
    <sheet name="מינהל חינוך 2025" sheetId="72" r:id="rId31"/>
    <sheet name="תקציב מינהל חינוך 2025" sheetId="402" r:id="rId32"/>
    <sheet name="תקציב מינהל חינוך 2025 פרקים" sheetId="434" state="hidden" r:id="rId33"/>
    <sheet name="אגף ספורט 2025" sheetId="74" r:id="rId34"/>
    <sheet name="תקציב אגף ספורט 2025" sheetId="403" r:id="rId35"/>
    <sheet name="תקציב אגף ספורט 2025 פרקים" sheetId="436" state="hidden" r:id="rId36"/>
    <sheet name="אגף תנוק 2025" sheetId="381" r:id="rId37"/>
    <sheet name="תקציב אגף תנוק 2025 " sheetId="404" r:id="rId38"/>
    <sheet name="תקציב אגף תנוק 2025 פרקים" sheetId="435" state="hidden" r:id="rId39"/>
    <sheet name="החברה לתירות 2025" sheetId="77" r:id="rId40"/>
    <sheet name="תקציב החברה לתירות 2025 " sheetId="405" r:id="rId41"/>
    <sheet name="תקציב החברה לתירות 2025  פרקים" sheetId="437" state="hidden" r:id="rId42"/>
    <sheet name="אגף תקשוב ומע. מידע 2025" sheetId="78" r:id="rId43"/>
    <sheet name="תקציב אגף המיחשוב 2025 " sheetId="406" r:id="rId44"/>
    <sheet name="תקציב אגף המיחשוב 2025  פרקים" sheetId="438" state="hidden" r:id="rId45"/>
    <sheet name="אגף נכסים וביטוח 2025" sheetId="158" r:id="rId46"/>
    <sheet name="תקציב אגף נכסים וביטוח 2025" sheetId="414" r:id="rId47"/>
    <sheet name="תקציב אגף נכסים וביטוח 2025 פרק" sheetId="439" state="hidden" r:id="rId48"/>
    <sheet name="מינהל כללי 2025" sheetId="81" r:id="rId49"/>
    <sheet name="תקציב איכות הסביבה 2025  " sheetId="408" r:id="rId50"/>
    <sheet name="תקציב איכות הסביבה 2025 פרקים" sheetId="440" state="hidden" r:id="rId51"/>
    <sheet name="תקציב מינהל כללי 2025  " sheetId="409" r:id="rId52"/>
    <sheet name="תקציב מינהל כללי 2025 פרקים" sheetId="441" state="hidden" r:id="rId53"/>
    <sheet name="תקציב 2024 - ביצוע" sheetId="63" r:id="rId54"/>
    <sheet name="ריכוז אגפים 2024" sheetId="426" r:id="rId55"/>
    <sheet name="תקציב הנדסה 2024" sheetId="415" r:id="rId56"/>
    <sheet name="תקציב החברה לפיתוח 2024" sheetId="416" r:id="rId57"/>
    <sheet name="תקציב מינהל תפעול 2024 " sheetId="417" r:id="rId58"/>
    <sheet name="תקציב מינהל חינוך 2024 " sheetId="418" r:id="rId59"/>
    <sheet name="תקציב אגף ספורט 2024" sheetId="419" r:id="rId60"/>
    <sheet name="תקציב אגף תנוק 2024 " sheetId="420" r:id="rId61"/>
    <sheet name="תקציב החברה לתירות 2024 " sheetId="421" r:id="rId62"/>
    <sheet name="תקציב אגף המיחשוב 2024 " sheetId="422" r:id="rId63"/>
    <sheet name="תקציב אגף נכסים וביטוח 2024" sheetId="423" r:id="rId64"/>
    <sheet name="תקציב איכות הסביבה 2024  " sheetId="424" r:id="rId65"/>
    <sheet name="תקציב מינהל כללי 2024  " sheetId="425" r:id="rId66"/>
    <sheet name="עדכוני תקציב 2024" sheetId="427" r:id="rId67"/>
    <sheet name="פרויקטים החב. לפיתוח " sheetId="176" r:id="rId68"/>
  </sheets>
  <definedNames>
    <definedName name="_xlnm._FilterDatabase" localSheetId="28" hidden="1">'  תקציב מינהל תפעול 2025 '!$A$4:$AC$95</definedName>
    <definedName name="_xlnm._FilterDatabase" localSheetId="29" hidden="1">'  תקציב מינהל תפעול 2025פרקים '!$A$4:$AC$116</definedName>
    <definedName name="_xlnm._FilterDatabase" localSheetId="56" hidden="1">'תקציב החברה לפיתוח 2024'!$A$5:$BH$5</definedName>
    <definedName name="_xlnm._FilterDatabase" localSheetId="23" hidden="1">'תקציב החברה לפיתוח 2025'!$A$4:$AJ$4</definedName>
    <definedName name="_xlnm._FilterDatabase" localSheetId="25" hidden="1">'תקציב החברה לפיתוח 2025 פרקים'!$A$4:$AJ$4</definedName>
    <definedName name="_xlnm._FilterDatabase" localSheetId="24" hidden="1">'תקציב החברה לפיתוח 2025תאור '!$A$4:$AJ$4</definedName>
    <definedName name="_xlnm._FilterDatabase" localSheetId="55" hidden="1">'תקציב הנדסה 2024'!$A$5:$BL$54</definedName>
    <definedName name="_xlnm._FilterDatabase" localSheetId="18" hidden="1">'תקציב הנדסה 2025 '!$A$4:$AH$41</definedName>
    <definedName name="_xlnm._FilterDatabase" localSheetId="19" hidden="1">'תקציב הנדסה 2025 תאור'!$A$4:$AH$41</definedName>
    <definedName name="_xlnm._FilterDatabase" localSheetId="20" hidden="1">'תקציב הנדסה 2025פרקים '!$A$4:$AH$44</definedName>
    <definedName name="_xlnm._FilterDatabase" localSheetId="58" hidden="1">'תקציב מינהל חינוך 2024 '!$A$1:$BG$17</definedName>
    <definedName name="_xlnm._FilterDatabase" localSheetId="31" hidden="1">'תקציב מינהל חינוך 2025'!$A$1:$BG$11</definedName>
    <definedName name="_xlnm._FilterDatabase" localSheetId="32" hidden="1">'תקציב מינהל חינוך 2025 פרקים'!$A$1:$BG$11</definedName>
    <definedName name="_xlnm._FilterDatabase" localSheetId="57" hidden="1">'תקציב מינהל תפעול 2024 '!$A$1:$AR$106</definedName>
    <definedName name="_xlchart.v1.0" hidden="1">'תקציב 2025  אגפים '!$C$8:$C$17</definedName>
    <definedName name="_xlchart.v1.1" hidden="1">'תקציב 2025  אגפים '!$F$8:$F$17</definedName>
    <definedName name="_xlchart.v1.2" hidden="1">'תקציב 2025 פרקים'!$C$8:$C$21</definedName>
    <definedName name="_xlchart.v1.3" hidden="1">'תקציב 2025 פרקים'!$E$8:$E$21</definedName>
    <definedName name="_xlchart.v1.4" hidden="1">'תקציב 2025  מקורות '!$C$8:$C$13</definedName>
    <definedName name="_xlchart.v1.5" hidden="1">'תקציב 2025  מקורות '!$F$8:$F$13</definedName>
    <definedName name="_xlnm.Print_Area" localSheetId="28">'  תקציב מינהל תפעול 2025 '!$A$1:$AB$102</definedName>
    <definedName name="_xlnm.Print_Area" localSheetId="29">'  תקציב מינהל תפעול 2025פרקים '!$A$1:$AC$135</definedName>
    <definedName name="_xlnm.Print_Area" localSheetId="66">'עדכוני תקציב 2024'!$C$1:$AL$156</definedName>
    <definedName name="_xlnm.Print_Area" localSheetId="14">'פרוט מקורות אחרים'!$A$1:$O$14</definedName>
    <definedName name="_xlnm.Print_Area" localSheetId="11">'ריכוז אגפים'!$A$1:$Y$17</definedName>
    <definedName name="_xlnm.Print_Area" localSheetId="54">'ריכוז אגפים 2024'!$A$1:$BJ$17</definedName>
    <definedName name="_xlnm.Print_Area" localSheetId="13">'ריכוז פרקים'!$A$2:$Y$20</definedName>
    <definedName name="_xlnm.Print_Area" localSheetId="7">'תקציב 2025  מקורות '!$A$4:$I$21</definedName>
    <definedName name="_xlnm.Print_Area" localSheetId="8">'תקציב 2025 קרנות הרשות'!$A$1:$H$23</definedName>
    <definedName name="_xlnm.Print_Area" localSheetId="62">'תקציב אגף המיחשוב 2024 '!$A$1:$BL$20</definedName>
    <definedName name="_xlnm.Print_Area" localSheetId="43">'תקציב אגף המיחשוב 2025 '!$A$1:$AB$18</definedName>
    <definedName name="_xlnm.Print_Area" localSheetId="44">'תקציב אגף המיחשוב 2025  פרקים'!$A$1:$AC$28</definedName>
    <definedName name="_xlnm.Print_Area" localSheetId="63">'תקציב אגף נכסים וביטוח 2024'!$A$1:$BL$21</definedName>
    <definedName name="_xlnm.Print_Area" localSheetId="46">'תקציב אגף נכסים וביטוח 2025'!$A$1:$AB$15</definedName>
    <definedName name="_xlnm.Print_Area" localSheetId="47">'תקציב אגף נכסים וביטוח 2025 פרק'!$A$1:$AC$15</definedName>
    <definedName name="_xlnm.Print_Area" localSheetId="59">'תקציב אגף ספורט 2024'!$A$1:$BL$17</definedName>
    <definedName name="_xlnm.Print_Area" localSheetId="34">'תקציב אגף ספורט 2025'!$A$1:$AB$15</definedName>
    <definedName name="_xlnm.Print_Area" localSheetId="35">'תקציב אגף ספורט 2025 פרקים'!$A$1:$AC$15</definedName>
    <definedName name="_xlnm.Print_Area" localSheetId="60">'תקציב אגף תנוק 2024 '!$A$1:$BL$9</definedName>
    <definedName name="_xlnm.Print_Area" localSheetId="37">'תקציב אגף תנוק 2025 '!$A$1:$AB$7</definedName>
    <definedName name="_xlnm.Print_Area" localSheetId="38">'תקציב אגף תנוק 2025 פרקים'!$A$1:$AC$7</definedName>
    <definedName name="_xlnm.Print_Area" localSheetId="64">'תקציב איכות הסביבה 2024  '!$A$1:$BL$17</definedName>
    <definedName name="_xlnm.Print_Area" localSheetId="49">'תקציב איכות הסביבה 2025  '!$A$1:$AB$14</definedName>
    <definedName name="_xlnm.Print_Area" localSheetId="50">'תקציב איכות הסביבה 2025 פרקים'!$A$1:$AC$14</definedName>
    <definedName name="_xlnm.Print_Area" localSheetId="56">'תקציב החברה לפיתוח 2024'!$A$1:$BL$134</definedName>
    <definedName name="_xlnm.Print_Area" localSheetId="23">'תקציב החברה לפיתוח 2025'!$A$1:$AA$124</definedName>
    <definedName name="_xlnm.Print_Area" localSheetId="25">'תקציב החברה לפיתוח 2025 פרקים'!$A$1:$AC$146</definedName>
    <definedName name="_xlnm.Print_Area" localSheetId="24">'תקציב החברה לפיתוח 2025תאור '!$A$1:$AB$124</definedName>
    <definedName name="_xlnm.Print_Area" localSheetId="61">'תקציב החברה לתירות 2024 '!$A$1:$BL$16</definedName>
    <definedName name="_xlnm.Print_Area" localSheetId="40">'תקציב החברה לתירות 2025 '!$A$1:$AB$13</definedName>
    <definedName name="_xlnm.Print_Area" localSheetId="41">'תקציב החברה לתירות 2025  פרקים'!$A$1:$AC$17</definedName>
    <definedName name="_xlnm.Print_Area" localSheetId="55">'תקציב הנדסה 2024'!$A$1:$BL$66</definedName>
    <definedName name="_xlnm.Print_Area" localSheetId="18">'תקציב הנדסה 2025 '!$A$1:$AB$52</definedName>
    <definedName name="_xlnm.Print_Area" localSheetId="19">'תקציב הנדסה 2025 תאור'!$A$1:$AB$52</definedName>
    <definedName name="_xlnm.Print_Area" localSheetId="20">'תקציב הנדסה 2025פרקים '!$A$1:$AC$68</definedName>
    <definedName name="_xlnm.Print_Area" localSheetId="58">'תקציב מינהל חינוך 2024 '!$A$1:$BL$18</definedName>
    <definedName name="_xlnm.Print_Area" localSheetId="31">'תקציב מינהל חינוך 2025'!$A$1:$AB$15</definedName>
    <definedName name="_xlnm.Print_Area" localSheetId="32">'תקציב מינהל חינוך 2025 פרקים'!$A$1:$AC$15</definedName>
    <definedName name="_xlnm.Print_Area" localSheetId="65">'תקציב מינהל כללי 2024  '!$A$1:$BL$17</definedName>
    <definedName name="_xlnm.Print_Area" localSheetId="51">'תקציב מינהל כללי 2025  '!$A$1:$AB$16</definedName>
    <definedName name="_xlnm.Print_Area" localSheetId="52">'תקציב מינהל כללי 2025 פרקים'!$A$1:$AC$26</definedName>
    <definedName name="_xlnm.Print_Area" localSheetId="57">'תקציב מינהל תפעול 2024 '!$A$1:$BL$116</definedName>
    <definedName name="_xlnm.Print_Titles" localSheetId="28">'  תקציב מינהל תפעול 2025 '!$2:$4</definedName>
    <definedName name="_xlnm.Print_Titles" localSheetId="29">'  תקציב מינהל תפעול 2025פרקים '!$2:$4</definedName>
    <definedName name="_xlnm.Print_Titles" localSheetId="66">'עדכוני תקציב 2024'!$2:$5</definedName>
    <definedName name="_xlnm.Print_Titles" localSheetId="67">'פרויקטים החב. לפיתוח '!$2:$5</definedName>
    <definedName name="_xlnm.Print_Titles" localSheetId="11">'ריכוז אגפים'!$2:$5</definedName>
    <definedName name="_xlnm.Print_Titles" localSheetId="54">'ריכוז אגפים 2024'!$2:$5</definedName>
    <definedName name="_xlnm.Print_Titles" localSheetId="13">'ריכוז פרקים'!$2:$5</definedName>
    <definedName name="_xlnm.Print_Titles" localSheetId="62">'תקציב אגף המיחשוב 2024 '!$1:$5</definedName>
    <definedName name="_xlnm.Print_Titles" localSheetId="43">'תקציב אגף המיחשוב 2025 '!$1:$4</definedName>
    <definedName name="_xlnm.Print_Titles" localSheetId="44">'תקציב אגף המיחשוב 2025  פרקים'!$1:$4</definedName>
    <definedName name="_xlnm.Print_Titles" localSheetId="63">'תקציב אגף נכסים וביטוח 2024'!$1:$5</definedName>
    <definedName name="_xlnm.Print_Titles" localSheetId="46">'תקציב אגף נכסים וביטוח 2025'!$1:$4</definedName>
    <definedName name="_xlnm.Print_Titles" localSheetId="47">'תקציב אגף נכסים וביטוח 2025 פרק'!$1:$4</definedName>
    <definedName name="_xlnm.Print_Titles" localSheetId="59">'תקציב אגף ספורט 2024'!$1:$5</definedName>
    <definedName name="_xlnm.Print_Titles" localSheetId="34">'תקציב אגף ספורט 2025'!$1:$4</definedName>
    <definedName name="_xlnm.Print_Titles" localSheetId="35">'תקציב אגף ספורט 2025 פרקים'!$1:$4</definedName>
    <definedName name="_xlnm.Print_Titles" localSheetId="60">'תקציב אגף תנוק 2024 '!$1:$5</definedName>
    <definedName name="_xlnm.Print_Titles" localSheetId="37">'תקציב אגף תנוק 2025 '!$1:$4</definedName>
    <definedName name="_xlnm.Print_Titles" localSheetId="38">'תקציב אגף תנוק 2025 פרקים'!$1:$4</definedName>
    <definedName name="_xlnm.Print_Titles" localSheetId="64">'תקציב איכות הסביבה 2024  '!$1:$5</definedName>
    <definedName name="_xlnm.Print_Titles" localSheetId="49">'תקציב איכות הסביבה 2025  '!$1:$4</definedName>
    <definedName name="_xlnm.Print_Titles" localSheetId="50">'תקציב איכות הסביבה 2025 פרקים'!$1:$4</definedName>
    <definedName name="_xlnm.Print_Titles" localSheetId="56">'תקציב החברה לפיתוח 2024'!$1:$5</definedName>
    <definedName name="_xlnm.Print_Titles" localSheetId="23">'תקציב החברה לפיתוח 2025'!$1:$4</definedName>
    <definedName name="_xlnm.Print_Titles" localSheetId="25">'תקציב החברה לפיתוח 2025 פרקים'!$1:$4</definedName>
    <definedName name="_xlnm.Print_Titles" localSheetId="24">'תקציב החברה לפיתוח 2025תאור '!$1:$4</definedName>
    <definedName name="_xlnm.Print_Titles" localSheetId="61">'תקציב החברה לתירות 2024 '!$1:$5</definedName>
    <definedName name="_xlnm.Print_Titles" localSheetId="40">'תקציב החברה לתירות 2025 '!$1:$4</definedName>
    <definedName name="_xlnm.Print_Titles" localSheetId="41">'תקציב החברה לתירות 2025  פרקים'!$1:$4</definedName>
    <definedName name="_xlnm.Print_Titles" localSheetId="55">'תקציב הנדסה 2024'!$1:$5</definedName>
    <definedName name="_xlnm.Print_Titles" localSheetId="18">'תקציב הנדסה 2025 '!$1:$4</definedName>
    <definedName name="_xlnm.Print_Titles" localSheetId="19">'תקציב הנדסה 2025 תאור'!$1:$4</definedName>
    <definedName name="_xlnm.Print_Titles" localSheetId="20">'תקציב הנדסה 2025פרקים '!$1:$4</definedName>
    <definedName name="_xlnm.Print_Titles" localSheetId="58">'תקציב מינהל חינוך 2024 '!$1:$5</definedName>
    <definedName name="_xlnm.Print_Titles" localSheetId="31">'תקציב מינהל חינוך 2025'!$1:$4</definedName>
    <definedName name="_xlnm.Print_Titles" localSheetId="32">'תקציב מינהל חינוך 2025 פרקים'!$1:$4</definedName>
    <definedName name="_xlnm.Print_Titles" localSheetId="65">'תקציב מינהל כללי 2024  '!$1:$5</definedName>
    <definedName name="_xlnm.Print_Titles" localSheetId="51">'תקציב מינהל כללי 2025  '!$1:$4</definedName>
    <definedName name="_xlnm.Print_Titles" localSheetId="52">'תקציב מינהל כללי 2025 פרקים'!$1:$4</definedName>
    <definedName name="_xlnm.Print_Titles" localSheetId="57">'תקציב מינהל תפעול 2024 '!$2:$5</definedName>
    <definedName name="Z_A9E2E6B4_8EA3_4931_885C_2FCCB5ED2D6B_.wvu.FilterData" localSheetId="56" hidden="1">'תקציב החברה לפיתוח 2024'!$A$5:$BP$133</definedName>
    <definedName name="Z_A9E2E6B4_8EA3_4931_885C_2FCCB5ED2D6B_.wvu.FilterData" localSheetId="23" hidden="1">'תקציב החברה לפיתוח 2025'!$A$4:$AQ$110</definedName>
    <definedName name="Z_A9E2E6B4_8EA3_4931_885C_2FCCB5ED2D6B_.wvu.FilterData" localSheetId="25" hidden="1">'תקציב החברה לפיתוח 2025 פרקים'!$A$4:$AQ$121</definedName>
    <definedName name="Z_A9E2E6B4_8EA3_4931_885C_2FCCB5ED2D6B_.wvu.FilterData" localSheetId="24" hidden="1">'תקציב החברה לפיתוח 2025תאור '!$A$4:$AQ$110</definedName>
    <definedName name="Z_A9E2E6B4_8EA3_4931_885C_2FCCB5ED2D6B_.wvu.PrintTitles" localSheetId="56" hidden="1">'תקציב החברה לפיתוח 2024'!$1:$5</definedName>
    <definedName name="Z_A9E2E6B4_8EA3_4931_885C_2FCCB5ED2D6B_.wvu.PrintTitles" localSheetId="23" hidden="1">'תקציב החברה לפיתוח 2025'!$1:$4</definedName>
    <definedName name="Z_A9E2E6B4_8EA3_4931_885C_2FCCB5ED2D6B_.wvu.PrintTitles" localSheetId="25" hidden="1">'תקציב החברה לפיתוח 2025 פרקים'!$1:$4</definedName>
    <definedName name="Z_A9E2E6B4_8EA3_4931_885C_2FCCB5ED2D6B_.wvu.PrintTitles" localSheetId="24" hidden="1">'תקציב החברה לפיתוח 2025תאור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8" l="1"/>
  <c r="N118" i="411"/>
  <c r="D118" i="411"/>
  <c r="D117" i="411" l="1"/>
  <c r="C125" i="176" l="1"/>
  <c r="BF120" i="416" l="1"/>
  <c r="B6" i="443"/>
  <c r="C6" i="443"/>
  <c r="D6" i="443"/>
  <c r="E6" i="443"/>
  <c r="G6" i="443"/>
  <c r="H6" i="443"/>
  <c r="I6" i="443"/>
  <c r="J6" i="443"/>
  <c r="Q6" i="443"/>
  <c r="R6" i="443"/>
  <c r="W6" i="443"/>
  <c r="X6" i="443"/>
  <c r="Y6" i="443"/>
  <c r="Z6" i="443"/>
  <c r="AB6" i="443"/>
  <c r="AC6" i="443"/>
  <c r="B7" i="443"/>
  <c r="C7" i="443"/>
  <c r="E7" i="443"/>
  <c r="G7" i="443"/>
  <c r="H7" i="443"/>
  <c r="I7" i="443"/>
  <c r="J7" i="443"/>
  <c r="Q7" i="443"/>
  <c r="R7" i="443"/>
  <c r="W7" i="443"/>
  <c r="X7" i="443"/>
  <c r="Y7" i="443"/>
  <c r="Z7" i="443"/>
  <c r="AA7" i="443"/>
  <c r="AB7" i="443"/>
  <c r="AC7" i="443"/>
  <c r="B8" i="443"/>
  <c r="C8" i="443"/>
  <c r="D8" i="443"/>
  <c r="E8" i="443"/>
  <c r="G8" i="443"/>
  <c r="H8" i="443"/>
  <c r="I8" i="443"/>
  <c r="J8" i="443"/>
  <c r="N8" i="443"/>
  <c r="Q8" i="443"/>
  <c r="R8" i="443"/>
  <c r="W8" i="443"/>
  <c r="X8" i="443"/>
  <c r="Y8" i="443"/>
  <c r="Z8" i="443"/>
  <c r="AA8" i="443"/>
  <c r="AB8" i="443"/>
  <c r="AC8" i="443"/>
  <c r="B9" i="443"/>
  <c r="C9" i="443"/>
  <c r="D9" i="443"/>
  <c r="E9" i="443"/>
  <c r="G9" i="443"/>
  <c r="H9" i="443"/>
  <c r="I9" i="443"/>
  <c r="J9" i="443"/>
  <c r="Q9" i="443"/>
  <c r="R9" i="443"/>
  <c r="W9" i="443"/>
  <c r="X9" i="443"/>
  <c r="Y9" i="443"/>
  <c r="Z9" i="443"/>
  <c r="AA9" i="443"/>
  <c r="AB9" i="443"/>
  <c r="AC9" i="443"/>
  <c r="B10" i="443"/>
  <c r="C10" i="443"/>
  <c r="E10" i="443"/>
  <c r="G10" i="443"/>
  <c r="H10" i="443"/>
  <c r="I10" i="443"/>
  <c r="J10" i="443"/>
  <c r="Q10" i="443"/>
  <c r="R10" i="443"/>
  <c r="W10" i="443"/>
  <c r="X10" i="443"/>
  <c r="Y10" i="443"/>
  <c r="Z10" i="443"/>
  <c r="AA10" i="443"/>
  <c r="AB10" i="443"/>
  <c r="AC10" i="443"/>
  <c r="B11" i="443"/>
  <c r="C11" i="443"/>
  <c r="D11" i="443"/>
  <c r="E11" i="443"/>
  <c r="G11" i="443"/>
  <c r="H11" i="443"/>
  <c r="I11" i="443"/>
  <c r="J11" i="443"/>
  <c r="N11" i="443"/>
  <c r="Q11" i="443"/>
  <c r="R11" i="443"/>
  <c r="W11" i="443"/>
  <c r="X11" i="443"/>
  <c r="Y11" i="443"/>
  <c r="Z11" i="443"/>
  <c r="AA11" i="443"/>
  <c r="AB11" i="443"/>
  <c r="AC11" i="443"/>
  <c r="B12" i="443"/>
  <c r="C12" i="443"/>
  <c r="D12" i="443"/>
  <c r="E12" i="443"/>
  <c r="G12" i="443"/>
  <c r="H12" i="443"/>
  <c r="I12" i="443"/>
  <c r="J12" i="443"/>
  <c r="N12" i="443"/>
  <c r="Q12" i="443"/>
  <c r="R12" i="443"/>
  <c r="W12" i="443"/>
  <c r="X12" i="443"/>
  <c r="Y12" i="443"/>
  <c r="Z12" i="443"/>
  <c r="AA12" i="443"/>
  <c r="AB12" i="443"/>
  <c r="AC12" i="443"/>
  <c r="B13" i="443"/>
  <c r="C13" i="443"/>
  <c r="D13" i="443"/>
  <c r="E13" i="443"/>
  <c r="G13" i="443"/>
  <c r="H13" i="443"/>
  <c r="I13" i="443"/>
  <c r="J13" i="443"/>
  <c r="N13" i="443"/>
  <c r="Q13" i="443"/>
  <c r="R13" i="443"/>
  <c r="W13" i="443"/>
  <c r="X13" i="443"/>
  <c r="Y13" i="443"/>
  <c r="Z13" i="443"/>
  <c r="AA13" i="443"/>
  <c r="AB13" i="443"/>
  <c r="AC13" i="443"/>
  <c r="B14" i="443"/>
  <c r="C14" i="443"/>
  <c r="D14" i="443"/>
  <c r="E14" i="443"/>
  <c r="H14" i="443"/>
  <c r="I14" i="443"/>
  <c r="J14" i="443"/>
  <c r="Q14" i="443"/>
  <c r="R14" i="443"/>
  <c r="W14" i="443"/>
  <c r="X14" i="443"/>
  <c r="Y14" i="443"/>
  <c r="Z14" i="443"/>
  <c r="AA14" i="443"/>
  <c r="AB14" i="443"/>
  <c r="AC14" i="443"/>
  <c r="B15" i="443"/>
  <c r="C15" i="443"/>
  <c r="E15" i="443"/>
  <c r="G15" i="443"/>
  <c r="H15" i="443"/>
  <c r="I15" i="443"/>
  <c r="J15" i="443"/>
  <c r="Q15" i="443"/>
  <c r="R15" i="443"/>
  <c r="W15" i="443"/>
  <c r="X15" i="443"/>
  <c r="Y15" i="443"/>
  <c r="Z15" i="443"/>
  <c r="AA15" i="443"/>
  <c r="AB15" i="443"/>
  <c r="AC15" i="443"/>
  <c r="B16" i="443"/>
  <c r="C16" i="443"/>
  <c r="D16" i="443"/>
  <c r="E16" i="443"/>
  <c r="G16" i="443"/>
  <c r="H16" i="443"/>
  <c r="I16" i="443"/>
  <c r="J16" i="443"/>
  <c r="Q16" i="443"/>
  <c r="R16" i="443"/>
  <c r="W16" i="443"/>
  <c r="X16" i="443"/>
  <c r="Y16" i="443"/>
  <c r="Z16" i="443"/>
  <c r="AA16" i="443"/>
  <c r="AB16" i="443"/>
  <c r="AC16" i="443"/>
  <c r="B17" i="443"/>
  <c r="C17" i="443"/>
  <c r="D17" i="443"/>
  <c r="E17" i="443"/>
  <c r="G17" i="443"/>
  <c r="H17" i="443"/>
  <c r="I17" i="443"/>
  <c r="J17" i="443"/>
  <c r="Q17" i="443"/>
  <c r="R17" i="443"/>
  <c r="W17" i="443"/>
  <c r="X17" i="443"/>
  <c r="Y17" i="443"/>
  <c r="Z17" i="443"/>
  <c r="AA17" i="443"/>
  <c r="AB17" i="443"/>
  <c r="AC17" i="443"/>
  <c r="B18" i="443"/>
  <c r="C18" i="443"/>
  <c r="D18" i="443"/>
  <c r="E18" i="443"/>
  <c r="G18" i="443"/>
  <c r="H18" i="443"/>
  <c r="I18" i="443"/>
  <c r="J18" i="443"/>
  <c r="Q18" i="443"/>
  <c r="R18" i="443"/>
  <c r="W18" i="443"/>
  <c r="X18" i="443"/>
  <c r="Y18" i="443"/>
  <c r="Z18" i="443"/>
  <c r="AA18" i="443"/>
  <c r="AB18" i="443"/>
  <c r="AC18" i="443"/>
  <c r="B19" i="443"/>
  <c r="C19" i="443"/>
  <c r="D19" i="443"/>
  <c r="E19" i="443"/>
  <c r="G19" i="443"/>
  <c r="H19" i="443"/>
  <c r="I19" i="443"/>
  <c r="J19" i="443"/>
  <c r="Q19" i="443"/>
  <c r="R19" i="443"/>
  <c r="W19" i="443"/>
  <c r="X19" i="443"/>
  <c r="Y19" i="443"/>
  <c r="Z19" i="443"/>
  <c r="AA19" i="443"/>
  <c r="AB19" i="443"/>
  <c r="AC19" i="443"/>
  <c r="B20" i="443"/>
  <c r="C20" i="443"/>
  <c r="D20" i="443"/>
  <c r="E20" i="443"/>
  <c r="G20" i="443"/>
  <c r="H20" i="443"/>
  <c r="I20" i="443"/>
  <c r="J20" i="443"/>
  <c r="N20" i="443"/>
  <c r="Q20" i="443"/>
  <c r="R20" i="443"/>
  <c r="W20" i="443"/>
  <c r="X20" i="443"/>
  <c r="Y20" i="443"/>
  <c r="Z20" i="443"/>
  <c r="AA20" i="443"/>
  <c r="AB20" i="443"/>
  <c r="AC20" i="443"/>
  <c r="B21" i="443"/>
  <c r="C21" i="443"/>
  <c r="E21" i="443"/>
  <c r="G21" i="443"/>
  <c r="H21" i="443"/>
  <c r="I21" i="443"/>
  <c r="J21" i="443"/>
  <c r="N21" i="443"/>
  <c r="Q21" i="443"/>
  <c r="R21" i="443"/>
  <c r="W21" i="443"/>
  <c r="X21" i="443"/>
  <c r="Y21" i="443"/>
  <c r="Z21" i="443"/>
  <c r="AA21" i="443"/>
  <c r="AB21" i="443"/>
  <c r="AC21" i="443"/>
  <c r="B22" i="443"/>
  <c r="C22" i="443"/>
  <c r="E22" i="443"/>
  <c r="G22" i="443"/>
  <c r="H22" i="443"/>
  <c r="I22" i="443"/>
  <c r="J22" i="443"/>
  <c r="N22" i="443"/>
  <c r="Q22" i="443"/>
  <c r="R22" i="443"/>
  <c r="W22" i="443"/>
  <c r="X22" i="443"/>
  <c r="Y22" i="443"/>
  <c r="Z22" i="443"/>
  <c r="AA22" i="443"/>
  <c r="AB22" i="443"/>
  <c r="AC22" i="443"/>
  <c r="B23" i="443"/>
  <c r="C23" i="443"/>
  <c r="D23" i="443"/>
  <c r="E23" i="443"/>
  <c r="G23" i="443"/>
  <c r="H23" i="443"/>
  <c r="I23" i="443"/>
  <c r="J23" i="443"/>
  <c r="N23" i="443"/>
  <c r="Q23" i="443"/>
  <c r="R23" i="443"/>
  <c r="W23" i="443"/>
  <c r="X23" i="443"/>
  <c r="Y23" i="443"/>
  <c r="Z23" i="443"/>
  <c r="AA23" i="443"/>
  <c r="AB23" i="443"/>
  <c r="AC23" i="443"/>
  <c r="B24" i="443"/>
  <c r="C24" i="443"/>
  <c r="D24" i="443"/>
  <c r="E24" i="443"/>
  <c r="G24" i="443"/>
  <c r="H24" i="443"/>
  <c r="I24" i="443"/>
  <c r="J24" i="443"/>
  <c r="N24" i="443"/>
  <c r="Q24" i="443"/>
  <c r="R24" i="443"/>
  <c r="W24" i="443"/>
  <c r="X24" i="443"/>
  <c r="Y24" i="443"/>
  <c r="Z24" i="443"/>
  <c r="AA24" i="443"/>
  <c r="AB24" i="443"/>
  <c r="AC24" i="443"/>
  <c r="B25" i="443"/>
  <c r="C25" i="443"/>
  <c r="D25" i="443"/>
  <c r="E25" i="443"/>
  <c r="G25" i="443"/>
  <c r="H25" i="443"/>
  <c r="I25" i="443"/>
  <c r="J25" i="443"/>
  <c r="Q25" i="443"/>
  <c r="R25" i="443"/>
  <c r="W25" i="443"/>
  <c r="X25" i="443"/>
  <c r="Y25" i="443"/>
  <c r="Z25" i="443"/>
  <c r="AA25" i="443"/>
  <c r="AB25" i="443"/>
  <c r="AC25" i="443"/>
  <c r="B26" i="443"/>
  <c r="C26" i="443"/>
  <c r="D26" i="443"/>
  <c r="E26" i="443"/>
  <c r="G26" i="443"/>
  <c r="H26" i="443"/>
  <c r="I26" i="443"/>
  <c r="J26" i="443"/>
  <c r="Q26" i="443"/>
  <c r="R26" i="443"/>
  <c r="W26" i="443"/>
  <c r="X26" i="443"/>
  <c r="Y26" i="443"/>
  <c r="Z26" i="443"/>
  <c r="AA26" i="443"/>
  <c r="AB26" i="443"/>
  <c r="AC26" i="443"/>
  <c r="B27" i="443"/>
  <c r="C27" i="443"/>
  <c r="D27" i="443"/>
  <c r="E27" i="443"/>
  <c r="G27" i="443"/>
  <c r="H27" i="443"/>
  <c r="I27" i="443"/>
  <c r="N27" i="443"/>
  <c r="Q27" i="443"/>
  <c r="R27" i="443"/>
  <c r="W27" i="443"/>
  <c r="X27" i="443"/>
  <c r="Y27" i="443"/>
  <c r="Z27" i="443"/>
  <c r="AA27" i="443"/>
  <c r="AB27" i="443"/>
  <c r="AC27" i="443"/>
  <c r="B28" i="443"/>
  <c r="C28" i="443"/>
  <c r="D28" i="443"/>
  <c r="E28" i="443"/>
  <c r="G28" i="443"/>
  <c r="H28" i="443"/>
  <c r="I28" i="443"/>
  <c r="J28" i="443"/>
  <c r="Q28" i="443"/>
  <c r="R28" i="443"/>
  <c r="W28" i="443"/>
  <c r="X28" i="443"/>
  <c r="Y28" i="443"/>
  <c r="Z28" i="443"/>
  <c r="AA28" i="443"/>
  <c r="AB28" i="443"/>
  <c r="AC28" i="443"/>
  <c r="B29" i="443"/>
  <c r="C29" i="443"/>
  <c r="D29" i="443"/>
  <c r="E29" i="443"/>
  <c r="G29" i="443"/>
  <c r="H29" i="443"/>
  <c r="I29" i="443"/>
  <c r="J29" i="443"/>
  <c r="N29" i="443"/>
  <c r="Q29" i="443"/>
  <c r="R29" i="443"/>
  <c r="W29" i="443"/>
  <c r="X29" i="443"/>
  <c r="Y29" i="443"/>
  <c r="Z29" i="443"/>
  <c r="AA29" i="443"/>
  <c r="AB29" i="443"/>
  <c r="AC29" i="443"/>
  <c r="B30" i="443"/>
  <c r="C30" i="443"/>
  <c r="D30" i="443"/>
  <c r="E30" i="443"/>
  <c r="G30" i="443"/>
  <c r="H30" i="443"/>
  <c r="I30" i="443"/>
  <c r="J30" i="443"/>
  <c r="R30" i="443"/>
  <c r="W30" i="443"/>
  <c r="X30" i="443"/>
  <c r="Y30" i="443"/>
  <c r="Z30" i="443"/>
  <c r="AA30" i="443"/>
  <c r="AB30" i="443"/>
  <c r="AC30" i="443"/>
  <c r="B31" i="443"/>
  <c r="C31" i="443"/>
  <c r="D31" i="443"/>
  <c r="E31" i="443"/>
  <c r="G31" i="443"/>
  <c r="H31" i="443"/>
  <c r="I31" i="443"/>
  <c r="J31" i="443"/>
  <c r="N31" i="443"/>
  <c r="Q31" i="443"/>
  <c r="R31" i="443"/>
  <c r="W31" i="443"/>
  <c r="X31" i="443"/>
  <c r="Y31" i="443"/>
  <c r="Z31" i="443"/>
  <c r="AA31" i="443"/>
  <c r="AB31" i="443"/>
  <c r="AC31" i="443"/>
  <c r="B32" i="443"/>
  <c r="C32" i="443"/>
  <c r="D32" i="443"/>
  <c r="E32" i="443"/>
  <c r="G32" i="443"/>
  <c r="H32" i="443"/>
  <c r="I32" i="443"/>
  <c r="J32" i="443"/>
  <c r="N32" i="443"/>
  <c r="Q32" i="443"/>
  <c r="R32" i="443"/>
  <c r="W32" i="443"/>
  <c r="X32" i="443"/>
  <c r="Y32" i="443"/>
  <c r="Z32" i="443"/>
  <c r="AA32" i="443"/>
  <c r="AB32" i="443"/>
  <c r="AC32" i="443"/>
  <c r="B33" i="443"/>
  <c r="C33" i="443"/>
  <c r="D33" i="443"/>
  <c r="E33" i="443"/>
  <c r="G33" i="443"/>
  <c r="H33" i="443"/>
  <c r="I33" i="443"/>
  <c r="J33" i="443"/>
  <c r="N33" i="443"/>
  <c r="Q33" i="443"/>
  <c r="R33" i="443"/>
  <c r="W33" i="443"/>
  <c r="X33" i="443"/>
  <c r="Y33" i="443"/>
  <c r="Z33" i="443"/>
  <c r="AA33" i="443"/>
  <c r="AB33" i="443"/>
  <c r="AC33" i="443"/>
  <c r="B34" i="443"/>
  <c r="C34" i="443"/>
  <c r="D34" i="443"/>
  <c r="E34" i="443"/>
  <c r="G34" i="443"/>
  <c r="H34" i="443"/>
  <c r="I34" i="443"/>
  <c r="J34" i="443"/>
  <c r="W34" i="443"/>
  <c r="X34" i="443"/>
  <c r="Y34" i="443"/>
  <c r="Z34" i="443"/>
  <c r="AA34" i="443"/>
  <c r="AB34" i="443"/>
  <c r="AC34" i="443"/>
  <c r="B35" i="443"/>
  <c r="C35" i="443"/>
  <c r="D35" i="443"/>
  <c r="E35" i="443"/>
  <c r="G35" i="443"/>
  <c r="H35" i="443"/>
  <c r="I35" i="443"/>
  <c r="J35" i="443"/>
  <c r="N35" i="443"/>
  <c r="Q35" i="443"/>
  <c r="R35" i="443"/>
  <c r="W35" i="443"/>
  <c r="X35" i="443"/>
  <c r="Y35" i="443"/>
  <c r="Z35" i="443"/>
  <c r="AA35" i="443"/>
  <c r="AB35" i="443"/>
  <c r="AC35" i="443"/>
  <c r="B36" i="443"/>
  <c r="C36" i="443"/>
  <c r="D36" i="443"/>
  <c r="E36" i="443"/>
  <c r="G36" i="443"/>
  <c r="H36" i="443"/>
  <c r="I36" i="443"/>
  <c r="J36" i="443"/>
  <c r="N36" i="443"/>
  <c r="Q36" i="443"/>
  <c r="R36" i="443"/>
  <c r="W36" i="443"/>
  <c r="X36" i="443"/>
  <c r="Y36" i="443"/>
  <c r="Z36" i="443"/>
  <c r="AA36" i="443"/>
  <c r="AB36" i="443"/>
  <c r="AC36" i="443"/>
  <c r="B37" i="443"/>
  <c r="C37" i="443"/>
  <c r="D37" i="443"/>
  <c r="E37" i="443"/>
  <c r="G37" i="443"/>
  <c r="H37" i="443"/>
  <c r="I37" i="443"/>
  <c r="J37" i="443"/>
  <c r="R37" i="443"/>
  <c r="W37" i="443"/>
  <c r="X37" i="443"/>
  <c r="Y37" i="443"/>
  <c r="Z37" i="443"/>
  <c r="AA37" i="443"/>
  <c r="AB37" i="443"/>
  <c r="AC37" i="443"/>
  <c r="B38" i="443"/>
  <c r="C38" i="443"/>
  <c r="E38" i="443"/>
  <c r="G38" i="443"/>
  <c r="H38" i="443"/>
  <c r="I38" i="443"/>
  <c r="J38" i="443"/>
  <c r="Q38" i="443"/>
  <c r="R38" i="443"/>
  <c r="W38" i="443"/>
  <c r="X38" i="443"/>
  <c r="Y38" i="443"/>
  <c r="Z38" i="443"/>
  <c r="AA38" i="443"/>
  <c r="AB38" i="443"/>
  <c r="AC38" i="443"/>
  <c r="B39" i="443"/>
  <c r="C39" i="443"/>
  <c r="D39" i="443"/>
  <c r="E39" i="443"/>
  <c r="G39" i="443"/>
  <c r="H39" i="443"/>
  <c r="I39" i="443"/>
  <c r="J39" i="443"/>
  <c r="R39" i="443"/>
  <c r="W39" i="443"/>
  <c r="X39" i="443"/>
  <c r="Y39" i="443"/>
  <c r="Z39" i="443"/>
  <c r="AA39" i="443"/>
  <c r="AB39" i="443"/>
  <c r="AC39" i="443"/>
  <c r="B40" i="443"/>
  <c r="C40" i="443"/>
  <c r="D40" i="443"/>
  <c r="E40" i="443"/>
  <c r="G40" i="443"/>
  <c r="H40" i="443"/>
  <c r="I40" i="443"/>
  <c r="J40" i="443"/>
  <c r="R40" i="443"/>
  <c r="W40" i="443"/>
  <c r="X40" i="443"/>
  <c r="Y40" i="443"/>
  <c r="Z40" i="443"/>
  <c r="AA40" i="443"/>
  <c r="AB40" i="443"/>
  <c r="AC40" i="443"/>
  <c r="B41" i="443"/>
  <c r="C41" i="443"/>
  <c r="D41" i="443"/>
  <c r="E41" i="443"/>
  <c r="G41" i="443"/>
  <c r="H41" i="443"/>
  <c r="I41" i="443"/>
  <c r="J41" i="443"/>
  <c r="Q41" i="443"/>
  <c r="R41" i="443"/>
  <c r="W41" i="443"/>
  <c r="X41" i="443"/>
  <c r="Y41" i="443"/>
  <c r="Z41" i="443"/>
  <c r="AA41" i="443"/>
  <c r="AB41" i="443"/>
  <c r="AC41" i="443"/>
  <c r="B42" i="443"/>
  <c r="C42" i="443"/>
  <c r="D42" i="443"/>
  <c r="E42" i="443"/>
  <c r="G42" i="443"/>
  <c r="H42" i="443"/>
  <c r="I42" i="443"/>
  <c r="J42" i="443"/>
  <c r="N42" i="443"/>
  <c r="Q42" i="443"/>
  <c r="R42" i="443"/>
  <c r="W42" i="443"/>
  <c r="X42" i="443"/>
  <c r="Y42" i="443"/>
  <c r="Z42" i="443"/>
  <c r="AA42" i="443"/>
  <c r="AB42" i="443"/>
  <c r="AC42" i="443"/>
  <c r="B43" i="443"/>
  <c r="C43" i="443"/>
  <c r="D43" i="443"/>
  <c r="E43" i="443"/>
  <c r="G43" i="443"/>
  <c r="H43" i="443"/>
  <c r="I43" i="443"/>
  <c r="J43" i="443"/>
  <c r="N43" i="443"/>
  <c r="Q43" i="443"/>
  <c r="R43" i="443"/>
  <c r="W43" i="443"/>
  <c r="X43" i="443"/>
  <c r="Y43" i="443"/>
  <c r="Z43" i="443"/>
  <c r="AA43" i="443"/>
  <c r="AB43" i="443"/>
  <c r="AC43" i="443"/>
  <c r="B44" i="443"/>
  <c r="C44" i="443"/>
  <c r="D44" i="443"/>
  <c r="E44" i="443"/>
  <c r="G44" i="443"/>
  <c r="H44" i="443"/>
  <c r="I44" i="443"/>
  <c r="J44" i="443"/>
  <c r="Q44" i="443"/>
  <c r="R44" i="443"/>
  <c r="W44" i="443"/>
  <c r="X44" i="443"/>
  <c r="Y44" i="443"/>
  <c r="Z44" i="443"/>
  <c r="AA44" i="443"/>
  <c r="AB44" i="443"/>
  <c r="AC44" i="443"/>
  <c r="B45" i="443"/>
  <c r="C45" i="443"/>
  <c r="D45" i="443"/>
  <c r="E45" i="443"/>
  <c r="G45" i="443"/>
  <c r="H45" i="443"/>
  <c r="I45" i="443"/>
  <c r="J45" i="443"/>
  <c r="N45" i="443"/>
  <c r="Q45" i="443"/>
  <c r="R45" i="443"/>
  <c r="W45" i="443"/>
  <c r="X45" i="443"/>
  <c r="Y45" i="443"/>
  <c r="Z45" i="443"/>
  <c r="AA45" i="443"/>
  <c r="AB45" i="443"/>
  <c r="AC45" i="443"/>
  <c r="B46" i="443"/>
  <c r="C46" i="443"/>
  <c r="D46" i="443"/>
  <c r="E46" i="443"/>
  <c r="G46" i="443"/>
  <c r="H46" i="443"/>
  <c r="I46" i="443"/>
  <c r="J46" i="443"/>
  <c r="N46" i="443"/>
  <c r="R46" i="443"/>
  <c r="W46" i="443"/>
  <c r="X46" i="443"/>
  <c r="Y46" i="443"/>
  <c r="Z46" i="443"/>
  <c r="AA46" i="443"/>
  <c r="AB46" i="443"/>
  <c r="AC46" i="443"/>
  <c r="B47" i="443"/>
  <c r="C47" i="443"/>
  <c r="E47" i="443"/>
  <c r="G47" i="443"/>
  <c r="H47" i="443"/>
  <c r="I47" i="443"/>
  <c r="J47" i="443"/>
  <c r="Q47" i="443"/>
  <c r="R47" i="443"/>
  <c r="W47" i="443"/>
  <c r="X47" i="443"/>
  <c r="Y47" i="443"/>
  <c r="Z47" i="443"/>
  <c r="AA47" i="443"/>
  <c r="AB47" i="443"/>
  <c r="AC47" i="443"/>
  <c r="B48" i="443"/>
  <c r="C48" i="443"/>
  <c r="D48" i="443"/>
  <c r="E48" i="443"/>
  <c r="G48" i="443"/>
  <c r="H48" i="443"/>
  <c r="I48" i="443"/>
  <c r="J48" i="443"/>
  <c r="N48" i="443"/>
  <c r="Q48" i="443"/>
  <c r="R48" i="443"/>
  <c r="W48" i="443"/>
  <c r="X48" i="443"/>
  <c r="Y48" i="443"/>
  <c r="Z48" i="443"/>
  <c r="AA48" i="443"/>
  <c r="AB48" i="443"/>
  <c r="AC48" i="443"/>
  <c r="B49" i="443"/>
  <c r="C49" i="443"/>
  <c r="E49" i="443"/>
  <c r="G49" i="443"/>
  <c r="H49" i="443"/>
  <c r="I49" i="443"/>
  <c r="J49" i="443"/>
  <c r="N49" i="443"/>
  <c r="Q49" i="443"/>
  <c r="R49" i="443"/>
  <c r="W49" i="443"/>
  <c r="X49" i="443"/>
  <c r="Y49" i="443"/>
  <c r="Z49" i="443"/>
  <c r="AA49" i="443"/>
  <c r="AB49" i="443"/>
  <c r="AC49" i="443"/>
  <c r="B50" i="443"/>
  <c r="C50" i="443"/>
  <c r="D50" i="443"/>
  <c r="E50" i="443"/>
  <c r="G50" i="443"/>
  <c r="H50" i="443"/>
  <c r="I50" i="443"/>
  <c r="J50" i="443"/>
  <c r="R50" i="443"/>
  <c r="W50" i="443"/>
  <c r="X50" i="443"/>
  <c r="Y50" i="443"/>
  <c r="Z50" i="443"/>
  <c r="AA50" i="443"/>
  <c r="AB50" i="443"/>
  <c r="AC50" i="443"/>
  <c r="B51" i="443"/>
  <c r="C51" i="443"/>
  <c r="D51" i="443"/>
  <c r="E51" i="443"/>
  <c r="G51" i="443"/>
  <c r="H51" i="443"/>
  <c r="I51" i="443"/>
  <c r="J51" i="443"/>
  <c r="N51" i="443"/>
  <c r="Q51" i="443"/>
  <c r="R51" i="443"/>
  <c r="W51" i="443"/>
  <c r="X51" i="443"/>
  <c r="Y51" i="443"/>
  <c r="Z51" i="443"/>
  <c r="AA51" i="443"/>
  <c r="AB51" i="443"/>
  <c r="AC51" i="443"/>
  <c r="B52" i="443"/>
  <c r="C52" i="443"/>
  <c r="D52" i="443"/>
  <c r="E52" i="443"/>
  <c r="G52" i="443"/>
  <c r="H52" i="443"/>
  <c r="I52" i="443"/>
  <c r="J52" i="443"/>
  <c r="Q52" i="443"/>
  <c r="X52" i="443"/>
  <c r="Y52" i="443"/>
  <c r="Z52" i="443"/>
  <c r="AB52" i="443"/>
  <c r="AC52" i="443"/>
  <c r="B53" i="443"/>
  <c r="C53" i="443"/>
  <c r="D53" i="443"/>
  <c r="E53" i="443"/>
  <c r="G53" i="443"/>
  <c r="H53" i="443"/>
  <c r="I53" i="443"/>
  <c r="J53" i="443"/>
  <c r="N53" i="443"/>
  <c r="Q53" i="443"/>
  <c r="R53" i="443"/>
  <c r="W53" i="443"/>
  <c r="X53" i="443"/>
  <c r="Y53" i="443"/>
  <c r="Z53" i="443"/>
  <c r="AA53" i="443"/>
  <c r="AB53" i="443"/>
  <c r="AC53" i="443"/>
  <c r="B54" i="443"/>
  <c r="C54" i="443"/>
  <c r="D54" i="443"/>
  <c r="E54" i="443"/>
  <c r="G54" i="443"/>
  <c r="H54" i="443"/>
  <c r="I54" i="443"/>
  <c r="J54" i="443"/>
  <c r="Q54" i="443"/>
  <c r="R54" i="443"/>
  <c r="W54" i="443"/>
  <c r="X54" i="443"/>
  <c r="Y54" i="443"/>
  <c r="Z54" i="443"/>
  <c r="AA54" i="443"/>
  <c r="AB54" i="443"/>
  <c r="AC54" i="443"/>
  <c r="B55" i="443"/>
  <c r="C55" i="443"/>
  <c r="D55" i="443"/>
  <c r="E55" i="443"/>
  <c r="G55" i="443"/>
  <c r="H55" i="443"/>
  <c r="I55" i="443"/>
  <c r="J55" i="443"/>
  <c r="Q55" i="443"/>
  <c r="R55" i="443"/>
  <c r="W55" i="443"/>
  <c r="X55" i="443"/>
  <c r="Y55" i="443"/>
  <c r="Z55" i="443"/>
  <c r="AA55" i="443"/>
  <c r="AB55" i="443"/>
  <c r="AC55" i="443"/>
  <c r="B56" i="443"/>
  <c r="C56" i="443"/>
  <c r="E56" i="443"/>
  <c r="G56" i="443"/>
  <c r="H56" i="443"/>
  <c r="I56" i="443"/>
  <c r="J56" i="443"/>
  <c r="Q56" i="443"/>
  <c r="R56" i="443"/>
  <c r="W56" i="443"/>
  <c r="X56" i="443"/>
  <c r="Y56" i="443"/>
  <c r="Z56" i="443"/>
  <c r="AA56" i="443"/>
  <c r="AB56" i="443"/>
  <c r="AC56" i="443"/>
  <c r="B57" i="443"/>
  <c r="C57" i="443"/>
  <c r="D57" i="443"/>
  <c r="E57" i="443"/>
  <c r="G57" i="443"/>
  <c r="H57" i="443"/>
  <c r="I57" i="443"/>
  <c r="J57" i="443"/>
  <c r="N57" i="443"/>
  <c r="Q57" i="443"/>
  <c r="R57" i="443"/>
  <c r="W57" i="443"/>
  <c r="X57" i="443"/>
  <c r="Y57" i="443"/>
  <c r="Z57" i="443"/>
  <c r="AA57" i="443"/>
  <c r="AB57" i="443"/>
  <c r="AC57" i="443"/>
  <c r="B58" i="443"/>
  <c r="C58" i="443"/>
  <c r="E58" i="443"/>
  <c r="G58" i="443"/>
  <c r="H58" i="443"/>
  <c r="I58" i="443"/>
  <c r="J58" i="443"/>
  <c r="N58" i="443"/>
  <c r="Q58" i="443"/>
  <c r="R58" i="443"/>
  <c r="W58" i="443"/>
  <c r="X58" i="443"/>
  <c r="Y58" i="443"/>
  <c r="Z58" i="443"/>
  <c r="AA58" i="443"/>
  <c r="AB58" i="443"/>
  <c r="AC58" i="443"/>
  <c r="B59" i="443"/>
  <c r="C59" i="443"/>
  <c r="D59" i="443"/>
  <c r="E59" i="443"/>
  <c r="G59" i="443"/>
  <c r="H59" i="443"/>
  <c r="I59" i="443"/>
  <c r="J59" i="443"/>
  <c r="Q59" i="443"/>
  <c r="R59" i="443"/>
  <c r="W59" i="443"/>
  <c r="X59" i="443"/>
  <c r="Y59" i="443"/>
  <c r="Z59" i="443"/>
  <c r="AA59" i="443"/>
  <c r="AB59" i="443"/>
  <c r="AC59" i="443"/>
  <c r="B60" i="443"/>
  <c r="D60" i="443"/>
  <c r="E60" i="443"/>
  <c r="G60" i="443"/>
  <c r="H60" i="443"/>
  <c r="I60" i="443"/>
  <c r="J60" i="443"/>
  <c r="N60" i="443"/>
  <c r="Q60" i="443"/>
  <c r="R60" i="443"/>
  <c r="W60" i="443"/>
  <c r="X60" i="443"/>
  <c r="Y60" i="443"/>
  <c r="Z60" i="443"/>
  <c r="AA60" i="443"/>
  <c r="AB60" i="443"/>
  <c r="AC60" i="443"/>
  <c r="B61" i="443"/>
  <c r="C61" i="443"/>
  <c r="D61" i="443"/>
  <c r="E61" i="443"/>
  <c r="G61" i="443"/>
  <c r="H61" i="443"/>
  <c r="I61" i="443"/>
  <c r="J61" i="443"/>
  <c r="N61" i="443"/>
  <c r="Q61" i="443"/>
  <c r="R61" i="443"/>
  <c r="W61" i="443"/>
  <c r="X61" i="443"/>
  <c r="Y61" i="443"/>
  <c r="Z61" i="443"/>
  <c r="AA61" i="443"/>
  <c r="AB61" i="443"/>
  <c r="AC61" i="443"/>
  <c r="B62" i="443"/>
  <c r="C62" i="443"/>
  <c r="D62" i="443"/>
  <c r="E62" i="443"/>
  <c r="G62" i="443"/>
  <c r="H62" i="443"/>
  <c r="I62" i="443"/>
  <c r="J62" i="443"/>
  <c r="Q62" i="443"/>
  <c r="W62" i="443"/>
  <c r="X62" i="443"/>
  <c r="Y62" i="443"/>
  <c r="Z62" i="443"/>
  <c r="AA62" i="443"/>
  <c r="AB62" i="443"/>
  <c r="AC62" i="443"/>
  <c r="B63" i="443"/>
  <c r="C63" i="443"/>
  <c r="E63" i="443"/>
  <c r="G63" i="443"/>
  <c r="H63" i="443"/>
  <c r="I63" i="443"/>
  <c r="J63" i="443"/>
  <c r="Q63" i="443"/>
  <c r="R63" i="443"/>
  <c r="W63" i="443"/>
  <c r="X63" i="443"/>
  <c r="Y63" i="443"/>
  <c r="Z63" i="443"/>
  <c r="AA63" i="443"/>
  <c r="AB63" i="443"/>
  <c r="AC63" i="443"/>
  <c r="B64" i="443"/>
  <c r="C64" i="443"/>
  <c r="D64" i="443"/>
  <c r="E64" i="443"/>
  <c r="G64" i="443"/>
  <c r="H64" i="443"/>
  <c r="I64" i="443"/>
  <c r="J64" i="443"/>
  <c r="N64" i="443"/>
  <c r="Q64" i="443"/>
  <c r="R64" i="443"/>
  <c r="W64" i="443"/>
  <c r="X64" i="443"/>
  <c r="Y64" i="443"/>
  <c r="Z64" i="443"/>
  <c r="AA64" i="443"/>
  <c r="AB64" i="443"/>
  <c r="AC64" i="443"/>
  <c r="B65" i="443"/>
  <c r="C65" i="443"/>
  <c r="E65" i="443"/>
  <c r="G65" i="443"/>
  <c r="H65" i="443"/>
  <c r="I65" i="443"/>
  <c r="J65" i="443"/>
  <c r="N65" i="443"/>
  <c r="R65" i="443"/>
  <c r="W65" i="443"/>
  <c r="X65" i="443"/>
  <c r="Y65" i="443"/>
  <c r="Z65" i="443"/>
  <c r="AA65" i="443"/>
  <c r="AB65" i="443"/>
  <c r="AC65" i="443"/>
  <c r="B66" i="443"/>
  <c r="C66" i="443"/>
  <c r="E66" i="443"/>
  <c r="G66" i="443"/>
  <c r="H66" i="443"/>
  <c r="I66" i="443"/>
  <c r="J66" i="443"/>
  <c r="Q66" i="443"/>
  <c r="R66" i="443"/>
  <c r="W66" i="443"/>
  <c r="X66" i="443"/>
  <c r="Y66" i="443"/>
  <c r="Z66" i="443"/>
  <c r="AA66" i="443"/>
  <c r="AB66" i="443"/>
  <c r="AC66" i="443"/>
  <c r="B67" i="443"/>
  <c r="C67" i="443"/>
  <c r="D67" i="443"/>
  <c r="E67" i="443"/>
  <c r="G67" i="443"/>
  <c r="H67" i="443"/>
  <c r="I67" i="443"/>
  <c r="J67" i="443"/>
  <c r="N67" i="443"/>
  <c r="R67" i="443"/>
  <c r="W67" i="443"/>
  <c r="X67" i="443"/>
  <c r="Y67" i="443"/>
  <c r="Z67" i="443"/>
  <c r="AA67" i="443"/>
  <c r="AB67" i="443"/>
  <c r="AC67" i="443"/>
  <c r="B68" i="443"/>
  <c r="C68" i="443"/>
  <c r="D68" i="443"/>
  <c r="E68" i="443"/>
  <c r="G68" i="443"/>
  <c r="H68" i="443"/>
  <c r="I68" i="443"/>
  <c r="J68" i="443"/>
  <c r="R68" i="443"/>
  <c r="W68" i="443"/>
  <c r="X68" i="443"/>
  <c r="Y68" i="443"/>
  <c r="Z68" i="443"/>
  <c r="AB68" i="443"/>
  <c r="AC68" i="443"/>
  <c r="B69" i="443"/>
  <c r="C69" i="443"/>
  <c r="D69" i="443"/>
  <c r="E69" i="443"/>
  <c r="G69" i="443"/>
  <c r="H69" i="443"/>
  <c r="I69" i="443"/>
  <c r="J69" i="443"/>
  <c r="N69" i="443"/>
  <c r="Q69" i="443"/>
  <c r="R69" i="443"/>
  <c r="W69" i="443"/>
  <c r="X69" i="443"/>
  <c r="Y69" i="443"/>
  <c r="Z69" i="443"/>
  <c r="AA69" i="443"/>
  <c r="AB69" i="443"/>
  <c r="AC69" i="443"/>
  <c r="B70" i="443"/>
  <c r="C70" i="443"/>
  <c r="D70" i="443"/>
  <c r="E70" i="443"/>
  <c r="G70" i="443"/>
  <c r="H70" i="443"/>
  <c r="I70" i="443"/>
  <c r="J70" i="443"/>
  <c r="N70" i="443"/>
  <c r="Q70" i="443"/>
  <c r="R70" i="443"/>
  <c r="W70" i="443"/>
  <c r="X70" i="443"/>
  <c r="Y70" i="443"/>
  <c r="Z70" i="443"/>
  <c r="AA70" i="443"/>
  <c r="AB70" i="443"/>
  <c r="AC70" i="443"/>
  <c r="B71" i="443"/>
  <c r="C71" i="443"/>
  <c r="D71" i="443"/>
  <c r="E71" i="443"/>
  <c r="G71" i="443"/>
  <c r="H71" i="443"/>
  <c r="I71" i="443"/>
  <c r="J71" i="443"/>
  <c r="N71" i="443"/>
  <c r="Q71" i="443"/>
  <c r="R71" i="443"/>
  <c r="W71" i="443"/>
  <c r="X71" i="443"/>
  <c r="Y71" i="443"/>
  <c r="Z71" i="443"/>
  <c r="AA71" i="443"/>
  <c r="AB71" i="443"/>
  <c r="AC71" i="443"/>
  <c r="B72" i="443"/>
  <c r="C72" i="443"/>
  <c r="D72" i="443"/>
  <c r="E72" i="443"/>
  <c r="G72" i="443"/>
  <c r="H72" i="443"/>
  <c r="I72" i="443"/>
  <c r="J72" i="443"/>
  <c r="Q72" i="443"/>
  <c r="R72" i="443"/>
  <c r="W72" i="443"/>
  <c r="X72" i="443"/>
  <c r="Y72" i="443"/>
  <c r="Z72" i="443"/>
  <c r="AA72" i="443"/>
  <c r="AB72" i="443"/>
  <c r="AC72" i="443"/>
  <c r="B73" i="443"/>
  <c r="C73" i="443"/>
  <c r="D73" i="443"/>
  <c r="E73" i="443"/>
  <c r="G73" i="443"/>
  <c r="H73" i="443"/>
  <c r="I73" i="443"/>
  <c r="J73" i="443"/>
  <c r="N73" i="443"/>
  <c r="Q73" i="443"/>
  <c r="R73" i="443"/>
  <c r="W73" i="443"/>
  <c r="X73" i="443"/>
  <c r="Y73" i="443"/>
  <c r="Z73" i="443"/>
  <c r="AA73" i="443"/>
  <c r="AB73" i="443"/>
  <c r="AC73" i="443"/>
  <c r="B74" i="443"/>
  <c r="C74" i="443"/>
  <c r="D74" i="443"/>
  <c r="E74" i="443"/>
  <c r="G74" i="443"/>
  <c r="H74" i="443"/>
  <c r="I74" i="443"/>
  <c r="J74" i="443"/>
  <c r="N74" i="443"/>
  <c r="Q74" i="443"/>
  <c r="R74" i="443"/>
  <c r="W74" i="443"/>
  <c r="X74" i="443"/>
  <c r="Y74" i="443"/>
  <c r="Z74" i="443"/>
  <c r="AA74" i="443"/>
  <c r="AB74" i="443"/>
  <c r="AC74" i="443"/>
  <c r="B75" i="443"/>
  <c r="C75" i="443"/>
  <c r="D75" i="443"/>
  <c r="E75" i="443"/>
  <c r="G75" i="443"/>
  <c r="H75" i="443"/>
  <c r="I75" i="443"/>
  <c r="J75" i="443"/>
  <c r="Q75" i="443"/>
  <c r="R75" i="443"/>
  <c r="W75" i="443"/>
  <c r="X75" i="443"/>
  <c r="Y75" i="443"/>
  <c r="Z75" i="443"/>
  <c r="AA75" i="443"/>
  <c r="AB75" i="443"/>
  <c r="AC75" i="443"/>
  <c r="B76" i="443"/>
  <c r="C76" i="443"/>
  <c r="D76" i="443"/>
  <c r="E76" i="443"/>
  <c r="G76" i="443"/>
  <c r="H76" i="443"/>
  <c r="I76" i="443"/>
  <c r="J76" i="443"/>
  <c r="N76" i="443"/>
  <c r="R76" i="443"/>
  <c r="W76" i="443"/>
  <c r="X76" i="443"/>
  <c r="Y76" i="443"/>
  <c r="Z76" i="443"/>
  <c r="AA76" i="443"/>
  <c r="AB76" i="443"/>
  <c r="AC76" i="443"/>
  <c r="B77" i="443"/>
  <c r="C77" i="443"/>
  <c r="D77" i="443"/>
  <c r="E77" i="443"/>
  <c r="G77" i="443"/>
  <c r="H77" i="443"/>
  <c r="I77" i="443"/>
  <c r="J77" i="443"/>
  <c r="N77" i="443"/>
  <c r="Q77" i="443"/>
  <c r="R77" i="443"/>
  <c r="W77" i="443"/>
  <c r="X77" i="443"/>
  <c r="Y77" i="443"/>
  <c r="Z77" i="443"/>
  <c r="AA77" i="443"/>
  <c r="AB77" i="443"/>
  <c r="AC77" i="443"/>
  <c r="B78" i="443"/>
  <c r="C78" i="443"/>
  <c r="D78" i="443"/>
  <c r="E78" i="443"/>
  <c r="G78" i="443"/>
  <c r="H78" i="443"/>
  <c r="I78" i="443"/>
  <c r="J78" i="443"/>
  <c r="Q78" i="443"/>
  <c r="R78" i="443"/>
  <c r="W78" i="443"/>
  <c r="X78" i="443"/>
  <c r="Y78" i="443"/>
  <c r="Z78" i="443"/>
  <c r="AA78" i="443"/>
  <c r="AB78" i="443"/>
  <c r="AC78" i="443"/>
  <c r="B79" i="443"/>
  <c r="C79" i="443"/>
  <c r="D79" i="443"/>
  <c r="E79" i="443"/>
  <c r="G79" i="443"/>
  <c r="H79" i="443"/>
  <c r="I79" i="443"/>
  <c r="J79" i="443"/>
  <c r="Q79" i="443"/>
  <c r="R79" i="443"/>
  <c r="W79" i="443"/>
  <c r="X79" i="443"/>
  <c r="Y79" i="443"/>
  <c r="Z79" i="443"/>
  <c r="AB79" i="443"/>
  <c r="AC79" i="443"/>
  <c r="B80" i="443"/>
  <c r="C80" i="443"/>
  <c r="E80" i="443"/>
  <c r="G80" i="443"/>
  <c r="H80" i="443"/>
  <c r="I80" i="443"/>
  <c r="J80" i="443"/>
  <c r="Q80" i="443"/>
  <c r="R80" i="443"/>
  <c r="W80" i="443"/>
  <c r="X80" i="443"/>
  <c r="Y80" i="443"/>
  <c r="Z80" i="443"/>
  <c r="AA80" i="443"/>
  <c r="AB80" i="443"/>
  <c r="AC80" i="443"/>
  <c r="B81" i="443"/>
  <c r="C81" i="443"/>
  <c r="E81" i="443"/>
  <c r="G81" i="443"/>
  <c r="H81" i="443"/>
  <c r="I81" i="443"/>
  <c r="J81" i="443"/>
  <c r="N81" i="443"/>
  <c r="Q81" i="443"/>
  <c r="R81" i="443"/>
  <c r="W81" i="443"/>
  <c r="X81" i="443"/>
  <c r="Y81" i="443"/>
  <c r="Z81" i="443"/>
  <c r="AA81" i="443"/>
  <c r="AB81" i="443"/>
  <c r="AC81" i="443"/>
  <c r="B82" i="443"/>
  <c r="C82" i="443"/>
  <c r="D82" i="443"/>
  <c r="E82" i="443"/>
  <c r="G82" i="443"/>
  <c r="H82" i="443"/>
  <c r="I82" i="443"/>
  <c r="J82" i="443"/>
  <c r="R82" i="443"/>
  <c r="W82" i="443"/>
  <c r="X82" i="443"/>
  <c r="Y82" i="443"/>
  <c r="Z82" i="443"/>
  <c r="AA82" i="443"/>
  <c r="AB82" i="443"/>
  <c r="AC82" i="443"/>
  <c r="B83" i="443"/>
  <c r="C83" i="443"/>
  <c r="D83" i="443"/>
  <c r="E83" i="443"/>
  <c r="G83" i="443"/>
  <c r="H83" i="443"/>
  <c r="I83" i="443"/>
  <c r="J83" i="443"/>
  <c r="Q83" i="443"/>
  <c r="R83" i="443"/>
  <c r="W83" i="443"/>
  <c r="X83" i="443"/>
  <c r="Y83" i="443"/>
  <c r="Z83" i="443"/>
  <c r="AA83" i="443"/>
  <c r="AB83" i="443"/>
  <c r="AC83" i="443"/>
  <c r="B84" i="443"/>
  <c r="C84" i="443"/>
  <c r="D84" i="443"/>
  <c r="E84" i="443"/>
  <c r="G84" i="443"/>
  <c r="H84" i="443"/>
  <c r="I84" i="443"/>
  <c r="J84" i="443"/>
  <c r="R84" i="443"/>
  <c r="W84" i="443"/>
  <c r="X84" i="443"/>
  <c r="Y84" i="443"/>
  <c r="Z84" i="443"/>
  <c r="AB84" i="443"/>
  <c r="AC84" i="443"/>
  <c r="B85" i="443"/>
  <c r="C85" i="443"/>
  <c r="D85" i="443"/>
  <c r="E85" i="443"/>
  <c r="G85" i="443"/>
  <c r="H85" i="443"/>
  <c r="I85" i="443"/>
  <c r="J85" i="443"/>
  <c r="Q85" i="443"/>
  <c r="R85" i="443"/>
  <c r="W85" i="443"/>
  <c r="X85" i="443"/>
  <c r="Y85" i="443"/>
  <c r="Z85" i="443"/>
  <c r="AA85" i="443"/>
  <c r="AB85" i="443"/>
  <c r="AC85" i="443"/>
  <c r="B86" i="443"/>
  <c r="C86" i="443"/>
  <c r="D86" i="443"/>
  <c r="E86" i="443"/>
  <c r="G86" i="443"/>
  <c r="H86" i="443"/>
  <c r="I86" i="443"/>
  <c r="J86" i="443"/>
  <c r="Q86" i="443"/>
  <c r="R86" i="443"/>
  <c r="W86" i="443"/>
  <c r="X86" i="443"/>
  <c r="Y86" i="443"/>
  <c r="Z86" i="443"/>
  <c r="AB86" i="443"/>
  <c r="AC86" i="443"/>
  <c r="B87" i="443"/>
  <c r="C87" i="443"/>
  <c r="D87" i="443"/>
  <c r="E87" i="443"/>
  <c r="G87" i="443"/>
  <c r="H87" i="443"/>
  <c r="I87" i="443"/>
  <c r="J87" i="443"/>
  <c r="N87" i="443"/>
  <c r="Q87" i="443"/>
  <c r="R87" i="443"/>
  <c r="W87" i="443"/>
  <c r="X87" i="443"/>
  <c r="Y87" i="443"/>
  <c r="Z87" i="443"/>
  <c r="AA87" i="443"/>
  <c r="AB87" i="443"/>
  <c r="AC87" i="443"/>
  <c r="B88" i="443"/>
  <c r="C88" i="443"/>
  <c r="E88" i="443"/>
  <c r="G88" i="443"/>
  <c r="H88" i="443"/>
  <c r="I88" i="443"/>
  <c r="J88" i="443"/>
  <c r="Q88" i="443"/>
  <c r="R88" i="443"/>
  <c r="W88" i="443"/>
  <c r="X88" i="443"/>
  <c r="Y88" i="443"/>
  <c r="Z88" i="443"/>
  <c r="AA88" i="443"/>
  <c r="AB88" i="443"/>
  <c r="AC88" i="443"/>
  <c r="B89" i="443"/>
  <c r="E89" i="443"/>
  <c r="G89" i="443"/>
  <c r="H89" i="443"/>
  <c r="I89" i="443"/>
  <c r="J89" i="443"/>
  <c r="Q89" i="443"/>
  <c r="R89" i="443"/>
  <c r="W89" i="443"/>
  <c r="X89" i="443"/>
  <c r="Y89" i="443"/>
  <c r="Z89" i="443"/>
  <c r="AA89" i="443"/>
  <c r="AB89" i="443"/>
  <c r="AC89" i="443"/>
  <c r="B90" i="443"/>
  <c r="C90" i="443"/>
  <c r="D90" i="443"/>
  <c r="E90" i="443"/>
  <c r="G90" i="443"/>
  <c r="H90" i="443"/>
  <c r="I90" i="443"/>
  <c r="J90" i="443"/>
  <c r="N90" i="443"/>
  <c r="Q90" i="443"/>
  <c r="R90" i="443"/>
  <c r="W90" i="443"/>
  <c r="X90" i="443"/>
  <c r="Y90" i="443"/>
  <c r="Z90" i="443"/>
  <c r="AA90" i="443"/>
  <c r="AB90" i="443"/>
  <c r="AC90" i="443"/>
  <c r="B91" i="443"/>
  <c r="C91" i="443"/>
  <c r="E91" i="443"/>
  <c r="G91" i="443"/>
  <c r="H91" i="443"/>
  <c r="I91" i="443"/>
  <c r="J91" i="443"/>
  <c r="R91" i="443"/>
  <c r="W91" i="443"/>
  <c r="X91" i="443"/>
  <c r="Y91" i="443"/>
  <c r="Z91" i="443"/>
  <c r="AB91" i="443"/>
  <c r="AC91" i="443"/>
  <c r="B92" i="443"/>
  <c r="C92" i="443"/>
  <c r="D92" i="443"/>
  <c r="E92" i="443"/>
  <c r="G92" i="443"/>
  <c r="H92" i="443"/>
  <c r="I92" i="443"/>
  <c r="J92" i="443"/>
  <c r="N92" i="443"/>
  <c r="R92" i="443"/>
  <c r="W92" i="443"/>
  <c r="X92" i="443"/>
  <c r="Y92" i="443"/>
  <c r="Z92" i="443"/>
  <c r="AA92" i="443"/>
  <c r="AB92" i="443"/>
  <c r="AC92" i="443"/>
  <c r="B93" i="443"/>
  <c r="C93" i="443"/>
  <c r="D93" i="443"/>
  <c r="E93" i="443"/>
  <c r="G93" i="443"/>
  <c r="H93" i="443"/>
  <c r="I93" i="443"/>
  <c r="J93" i="443"/>
  <c r="Q93" i="443"/>
  <c r="R93" i="443"/>
  <c r="W93" i="443"/>
  <c r="X93" i="443"/>
  <c r="Y93" i="443"/>
  <c r="Z93" i="443"/>
  <c r="AA93" i="443"/>
  <c r="AB93" i="443"/>
  <c r="AC93" i="443"/>
  <c r="B94" i="443"/>
  <c r="C94" i="443"/>
  <c r="E94" i="443"/>
  <c r="G94" i="443"/>
  <c r="H94" i="443"/>
  <c r="I94" i="443"/>
  <c r="J94" i="443"/>
  <c r="Q94" i="443"/>
  <c r="W94" i="443"/>
  <c r="X94" i="443"/>
  <c r="Y94" i="443"/>
  <c r="Z94" i="443"/>
  <c r="AA94" i="443"/>
  <c r="AB94" i="443"/>
  <c r="AC94" i="443"/>
  <c r="B95" i="443"/>
  <c r="C95" i="443"/>
  <c r="D95" i="443"/>
  <c r="E95" i="443"/>
  <c r="G95" i="443"/>
  <c r="H95" i="443"/>
  <c r="I95" i="443"/>
  <c r="J95" i="443"/>
  <c r="N95" i="443"/>
  <c r="Q95" i="443"/>
  <c r="R95" i="443"/>
  <c r="W95" i="443"/>
  <c r="X95" i="443"/>
  <c r="Y95" i="443"/>
  <c r="Z95" i="443"/>
  <c r="AA95" i="443"/>
  <c r="AB95" i="443"/>
  <c r="AC95" i="443"/>
  <c r="B96" i="443"/>
  <c r="C96" i="443"/>
  <c r="D96" i="443"/>
  <c r="E96" i="443"/>
  <c r="G96" i="443"/>
  <c r="H96" i="443"/>
  <c r="I96" i="443"/>
  <c r="J96" i="443"/>
  <c r="N96" i="443"/>
  <c r="Q96" i="443"/>
  <c r="R96" i="443"/>
  <c r="W96" i="443"/>
  <c r="X96" i="443"/>
  <c r="Y96" i="443"/>
  <c r="Z96" i="443"/>
  <c r="AA96" i="443"/>
  <c r="AB96" i="443"/>
  <c r="AC96" i="443"/>
  <c r="B97" i="443"/>
  <c r="C97" i="443"/>
  <c r="D97" i="443"/>
  <c r="E97" i="443"/>
  <c r="G97" i="443"/>
  <c r="H97" i="443"/>
  <c r="I97" i="443"/>
  <c r="J97" i="443"/>
  <c r="N97" i="443"/>
  <c r="Q97" i="443"/>
  <c r="R97" i="443"/>
  <c r="W97" i="443"/>
  <c r="X97" i="443"/>
  <c r="Y97" i="443"/>
  <c r="Z97" i="443"/>
  <c r="AA97" i="443"/>
  <c r="AB97" i="443"/>
  <c r="AC97" i="443"/>
  <c r="B98" i="443"/>
  <c r="C98" i="443"/>
  <c r="E98" i="443"/>
  <c r="G98" i="443"/>
  <c r="H98" i="443"/>
  <c r="I98" i="443"/>
  <c r="J98" i="443"/>
  <c r="Q98" i="443"/>
  <c r="R98" i="443"/>
  <c r="W98" i="443"/>
  <c r="X98" i="443"/>
  <c r="Z98" i="443"/>
  <c r="AA98" i="443"/>
  <c r="AB98" i="443"/>
  <c r="AC98" i="443"/>
  <c r="B99" i="443"/>
  <c r="C99" i="443"/>
  <c r="E99" i="443"/>
  <c r="G99" i="443"/>
  <c r="H99" i="443"/>
  <c r="I99" i="443"/>
  <c r="J99" i="443"/>
  <c r="R99" i="443"/>
  <c r="W99" i="443"/>
  <c r="X99" i="443"/>
  <c r="Y99" i="443"/>
  <c r="Z99" i="443"/>
  <c r="AA99" i="443"/>
  <c r="AB99" i="443"/>
  <c r="AC99" i="443"/>
  <c r="B100" i="443"/>
  <c r="C100" i="443"/>
  <c r="D100" i="443"/>
  <c r="E100" i="443"/>
  <c r="G100" i="443"/>
  <c r="H100" i="443"/>
  <c r="I100" i="443"/>
  <c r="J100" i="443"/>
  <c r="N100" i="443"/>
  <c r="Q100" i="443"/>
  <c r="R100" i="443"/>
  <c r="W100" i="443"/>
  <c r="X100" i="443"/>
  <c r="Y100" i="443"/>
  <c r="Z100" i="443"/>
  <c r="AA100" i="443"/>
  <c r="AB100" i="443"/>
  <c r="AC100" i="443"/>
  <c r="B101" i="443"/>
  <c r="C101" i="443"/>
  <c r="D101" i="443"/>
  <c r="E101" i="443"/>
  <c r="G101" i="443"/>
  <c r="H101" i="443"/>
  <c r="I101" i="443"/>
  <c r="J101" i="443"/>
  <c r="N101" i="443"/>
  <c r="Q101" i="443"/>
  <c r="R101" i="443"/>
  <c r="W101" i="443"/>
  <c r="X101" i="443"/>
  <c r="Y101" i="443"/>
  <c r="Z101" i="443"/>
  <c r="AA101" i="443"/>
  <c r="AB101" i="443"/>
  <c r="AC101" i="443"/>
  <c r="B102" i="443"/>
  <c r="C102" i="443"/>
  <c r="D102" i="443"/>
  <c r="E102" i="443"/>
  <c r="G102" i="443"/>
  <c r="H102" i="443"/>
  <c r="I102" i="443"/>
  <c r="J102" i="443"/>
  <c r="Q102" i="443"/>
  <c r="R102" i="443"/>
  <c r="W102" i="443"/>
  <c r="X102" i="443"/>
  <c r="Y102" i="443"/>
  <c r="Z102" i="443"/>
  <c r="AA102" i="443"/>
  <c r="AB102" i="443"/>
  <c r="AC102" i="443"/>
  <c r="B103" i="443"/>
  <c r="C103" i="443"/>
  <c r="D103" i="443"/>
  <c r="E103" i="443"/>
  <c r="G103" i="443"/>
  <c r="H103" i="443"/>
  <c r="I103" i="443"/>
  <c r="J103" i="443"/>
  <c r="N103" i="443"/>
  <c r="Q103" i="443"/>
  <c r="R103" i="443"/>
  <c r="W103" i="443"/>
  <c r="X103" i="443"/>
  <c r="Y103" i="443"/>
  <c r="Z103" i="443"/>
  <c r="AA103" i="443"/>
  <c r="AB103" i="443"/>
  <c r="AC103" i="443"/>
  <c r="B104" i="443"/>
  <c r="C104" i="443"/>
  <c r="D104" i="443"/>
  <c r="E104" i="443"/>
  <c r="G104" i="443"/>
  <c r="H104" i="443"/>
  <c r="I104" i="443"/>
  <c r="J104" i="443"/>
  <c r="Q104" i="443"/>
  <c r="R104" i="443"/>
  <c r="W104" i="443"/>
  <c r="X104" i="443"/>
  <c r="Y104" i="443"/>
  <c r="Z104" i="443"/>
  <c r="AA104" i="443"/>
  <c r="AB104" i="443"/>
  <c r="AC104" i="443"/>
  <c r="B105" i="443"/>
  <c r="C105" i="443"/>
  <c r="D105" i="443"/>
  <c r="E105" i="443"/>
  <c r="G105" i="443"/>
  <c r="H105" i="443"/>
  <c r="I105" i="443"/>
  <c r="J105" i="443"/>
  <c r="N105" i="443"/>
  <c r="Q105" i="443"/>
  <c r="R105" i="443"/>
  <c r="T105" i="443"/>
  <c r="W105" i="443"/>
  <c r="X105" i="443"/>
  <c r="Y105" i="443"/>
  <c r="Z105" i="443"/>
  <c r="AA105" i="443"/>
  <c r="AB105" i="443"/>
  <c r="AC105" i="443"/>
  <c r="B106" i="443"/>
  <c r="C106" i="443"/>
  <c r="D106" i="443"/>
  <c r="E106" i="443"/>
  <c r="G106" i="443"/>
  <c r="H106" i="443"/>
  <c r="I106" i="443"/>
  <c r="J106" i="443"/>
  <c r="Q106" i="443"/>
  <c r="R106" i="443"/>
  <c r="T106" i="443"/>
  <c r="W106" i="443"/>
  <c r="X106" i="443"/>
  <c r="Y106" i="443"/>
  <c r="Z106" i="443"/>
  <c r="AA106" i="443"/>
  <c r="AB106" i="443"/>
  <c r="AC106" i="443"/>
  <c r="B107" i="443"/>
  <c r="C107" i="443"/>
  <c r="E107" i="443"/>
  <c r="G107" i="443"/>
  <c r="H107" i="443"/>
  <c r="I107" i="443"/>
  <c r="J107" i="443"/>
  <c r="Q107" i="443"/>
  <c r="R107" i="443"/>
  <c r="T107" i="443"/>
  <c r="W107" i="443"/>
  <c r="X107" i="443"/>
  <c r="Y107" i="443"/>
  <c r="Z107" i="443"/>
  <c r="AA107" i="443"/>
  <c r="AB107" i="443"/>
  <c r="AC107" i="443"/>
  <c r="B108" i="443"/>
  <c r="C108" i="443"/>
  <c r="E108" i="443"/>
  <c r="G108" i="443"/>
  <c r="H108" i="443"/>
  <c r="I108" i="443"/>
  <c r="J108" i="443"/>
  <c r="Q108" i="443"/>
  <c r="R108" i="443"/>
  <c r="T108" i="443"/>
  <c r="W108" i="443"/>
  <c r="X108" i="443"/>
  <c r="Y108" i="443"/>
  <c r="Z108" i="443"/>
  <c r="AA108" i="443"/>
  <c r="AB108" i="443"/>
  <c r="AC108" i="443"/>
  <c r="B109" i="443"/>
  <c r="C109" i="443"/>
  <c r="D109" i="443"/>
  <c r="E109" i="443"/>
  <c r="G109" i="443"/>
  <c r="H109" i="443"/>
  <c r="I109" i="443"/>
  <c r="J109" i="443"/>
  <c r="Q109" i="443"/>
  <c r="R109" i="443"/>
  <c r="W109" i="443"/>
  <c r="X109" i="443"/>
  <c r="Y109" i="443"/>
  <c r="Z109" i="443"/>
  <c r="AA109" i="443"/>
  <c r="AB109" i="443"/>
  <c r="AC109" i="443"/>
  <c r="B110" i="443"/>
  <c r="C110" i="443"/>
  <c r="D110" i="443"/>
  <c r="E110" i="443"/>
  <c r="G110" i="443"/>
  <c r="H110" i="443"/>
  <c r="I110" i="443"/>
  <c r="J110" i="443"/>
  <c r="N110" i="443"/>
  <c r="Q110" i="443"/>
  <c r="R110" i="443"/>
  <c r="T110" i="443"/>
  <c r="W110" i="443"/>
  <c r="X110" i="443"/>
  <c r="Y110" i="443"/>
  <c r="Z110" i="443"/>
  <c r="AA110" i="443"/>
  <c r="AB110" i="443"/>
  <c r="AC110" i="443"/>
  <c r="B111" i="443"/>
  <c r="C111" i="443"/>
  <c r="D111" i="443"/>
  <c r="E111" i="443"/>
  <c r="G111" i="443"/>
  <c r="H111" i="443"/>
  <c r="I111" i="443"/>
  <c r="J111" i="443"/>
  <c r="N111" i="443"/>
  <c r="Q111" i="443"/>
  <c r="R111" i="443"/>
  <c r="W111" i="443"/>
  <c r="X111" i="443"/>
  <c r="Y111" i="443"/>
  <c r="Z111" i="443"/>
  <c r="AA111" i="443"/>
  <c r="AB111" i="443"/>
  <c r="AC111" i="443"/>
  <c r="B112" i="443"/>
  <c r="C112" i="443"/>
  <c r="E112" i="443"/>
  <c r="G112" i="443"/>
  <c r="H112" i="443"/>
  <c r="I112" i="443"/>
  <c r="J112" i="443"/>
  <c r="Q112" i="443"/>
  <c r="R112" i="443"/>
  <c r="W112" i="443"/>
  <c r="X112" i="443"/>
  <c r="Y112" i="443"/>
  <c r="Z112" i="443"/>
  <c r="AB112" i="443"/>
  <c r="AC112" i="443"/>
  <c r="B113" i="443"/>
  <c r="C113" i="443"/>
  <c r="D113" i="443"/>
  <c r="E113" i="443"/>
  <c r="G113" i="443"/>
  <c r="H113" i="443"/>
  <c r="I113" i="443"/>
  <c r="J113" i="443"/>
  <c r="N113" i="443"/>
  <c r="Q113" i="443"/>
  <c r="R113" i="443"/>
  <c r="W113" i="443"/>
  <c r="X113" i="443"/>
  <c r="Y113" i="443"/>
  <c r="Z113" i="443"/>
  <c r="AA113" i="443"/>
  <c r="AB113" i="443"/>
  <c r="AC113" i="443"/>
  <c r="B114" i="443"/>
  <c r="C114" i="443"/>
  <c r="D114" i="443"/>
  <c r="E114" i="443"/>
  <c r="G114" i="443"/>
  <c r="H114" i="443"/>
  <c r="I114" i="443"/>
  <c r="J114" i="443"/>
  <c r="Q114" i="443"/>
  <c r="R114" i="443"/>
  <c r="W114" i="443"/>
  <c r="X114" i="443"/>
  <c r="Y114" i="443"/>
  <c r="Z114" i="443"/>
  <c r="AA114" i="443"/>
  <c r="AB114" i="443"/>
  <c r="AC114" i="443"/>
  <c r="B115" i="443"/>
  <c r="C115" i="443"/>
  <c r="D115" i="443"/>
  <c r="E115" i="443"/>
  <c r="G115" i="443"/>
  <c r="H115" i="443"/>
  <c r="I115" i="443"/>
  <c r="J115" i="443"/>
  <c r="N115" i="443"/>
  <c r="Q115" i="443"/>
  <c r="R115" i="443"/>
  <c r="W115" i="443"/>
  <c r="X115" i="443"/>
  <c r="Y115" i="443"/>
  <c r="Z115" i="443"/>
  <c r="AA115" i="443"/>
  <c r="AB115" i="443"/>
  <c r="AC115" i="443"/>
  <c r="B116" i="443"/>
  <c r="C116" i="443"/>
  <c r="D116" i="443"/>
  <c r="E116" i="443"/>
  <c r="G116" i="443"/>
  <c r="H116" i="443"/>
  <c r="I116" i="443"/>
  <c r="J116" i="443"/>
  <c r="N116" i="443"/>
  <c r="Q116" i="443"/>
  <c r="R116" i="443"/>
  <c r="W116" i="443"/>
  <c r="X116" i="443"/>
  <c r="Y116" i="443"/>
  <c r="Z116" i="443"/>
  <c r="AA116" i="443"/>
  <c r="AB116" i="443"/>
  <c r="AC116" i="443"/>
  <c r="B117" i="443"/>
  <c r="C117" i="443"/>
  <c r="D117" i="443"/>
  <c r="E117" i="443"/>
  <c r="G117" i="443"/>
  <c r="H117" i="443"/>
  <c r="I117" i="443"/>
  <c r="J117" i="443"/>
  <c r="Q117" i="443"/>
  <c r="R117" i="443"/>
  <c r="W117" i="443"/>
  <c r="X117" i="443"/>
  <c r="Y117" i="443"/>
  <c r="Z117" i="443"/>
  <c r="AA117" i="443"/>
  <c r="AB117" i="443"/>
  <c r="AC117" i="443"/>
  <c r="B118" i="443"/>
  <c r="C118" i="443"/>
  <c r="D118" i="443"/>
  <c r="E118" i="443"/>
  <c r="G118" i="443"/>
  <c r="H118" i="443"/>
  <c r="I118" i="443"/>
  <c r="J118" i="443"/>
  <c r="N118" i="443"/>
  <c r="Q118" i="443"/>
  <c r="R118" i="443"/>
  <c r="W118" i="443"/>
  <c r="X118" i="443"/>
  <c r="Y118" i="443"/>
  <c r="Z118" i="443"/>
  <c r="AA118" i="443"/>
  <c r="AB118" i="443"/>
  <c r="AC118" i="443"/>
  <c r="B119" i="443"/>
  <c r="C119" i="443"/>
  <c r="D119" i="443"/>
  <c r="E119" i="443"/>
  <c r="G119" i="443"/>
  <c r="H119" i="443"/>
  <c r="I119" i="443"/>
  <c r="J119" i="443"/>
  <c r="N119" i="443"/>
  <c r="Q119" i="443"/>
  <c r="R119" i="443"/>
  <c r="W119" i="443"/>
  <c r="X119" i="443"/>
  <c r="Y119" i="443"/>
  <c r="Z119" i="443"/>
  <c r="AA119" i="443"/>
  <c r="AB119" i="443"/>
  <c r="AC119" i="443"/>
  <c r="B120" i="443"/>
  <c r="C120" i="443"/>
  <c r="D120" i="443"/>
  <c r="E120" i="443"/>
  <c r="G120" i="443"/>
  <c r="H120" i="443"/>
  <c r="I120" i="443"/>
  <c r="J120" i="443"/>
  <c r="Q120" i="443"/>
  <c r="R120" i="443"/>
  <c r="W120" i="443"/>
  <c r="X120" i="443"/>
  <c r="Y120" i="443"/>
  <c r="Z120" i="443"/>
  <c r="AA120" i="443"/>
  <c r="AB120" i="443"/>
  <c r="AC120" i="443"/>
  <c r="B121" i="443"/>
  <c r="C121" i="443"/>
  <c r="D121" i="443"/>
  <c r="E121" i="443"/>
  <c r="G121" i="443"/>
  <c r="H121" i="443"/>
  <c r="I121" i="443"/>
  <c r="J121" i="443"/>
  <c r="Q121" i="443"/>
  <c r="R121" i="443"/>
  <c r="W121" i="443"/>
  <c r="X121" i="443"/>
  <c r="Y121" i="443"/>
  <c r="Z121" i="443"/>
  <c r="AA121" i="443"/>
  <c r="AB121" i="443"/>
  <c r="AC121" i="443"/>
  <c r="B122" i="443"/>
  <c r="C122" i="443"/>
  <c r="D122" i="443"/>
  <c r="E122" i="443"/>
  <c r="G122" i="443"/>
  <c r="H122" i="443"/>
  <c r="I122" i="443"/>
  <c r="J122" i="443"/>
  <c r="Q122" i="443"/>
  <c r="R122" i="443"/>
  <c r="W122" i="443"/>
  <c r="X122" i="443"/>
  <c r="Y122" i="443"/>
  <c r="Z122" i="443"/>
  <c r="AA122" i="443"/>
  <c r="AB122" i="443"/>
  <c r="AC122" i="443"/>
  <c r="B123" i="443"/>
  <c r="C123" i="443"/>
  <c r="D123" i="443"/>
  <c r="E123" i="443"/>
  <c r="G123" i="443"/>
  <c r="H123" i="443"/>
  <c r="I123" i="443"/>
  <c r="J123" i="443"/>
  <c r="Q123" i="443"/>
  <c r="R123" i="443"/>
  <c r="W123" i="443"/>
  <c r="X123" i="443"/>
  <c r="Y123" i="443"/>
  <c r="Z123" i="443"/>
  <c r="AA123" i="443"/>
  <c r="AB123" i="443"/>
  <c r="AC123" i="443"/>
  <c r="C5" i="443"/>
  <c r="D5" i="443"/>
  <c r="E5" i="443"/>
  <c r="G5" i="443"/>
  <c r="H5" i="443"/>
  <c r="I5" i="443"/>
  <c r="J5" i="443"/>
  <c r="Q5" i="443"/>
  <c r="R5" i="443"/>
  <c r="W5" i="443"/>
  <c r="X5" i="443"/>
  <c r="Y5" i="443"/>
  <c r="Z5" i="443"/>
  <c r="AA5" i="443"/>
  <c r="AB5" i="443"/>
  <c r="AC5" i="443"/>
  <c r="B5" i="443"/>
  <c r="A6" i="443"/>
  <c r="B6" i="442"/>
  <c r="C6" i="442"/>
  <c r="E6" i="442"/>
  <c r="G6" i="442"/>
  <c r="H6" i="442"/>
  <c r="I6" i="442"/>
  <c r="J6" i="442"/>
  <c r="Q6" i="442"/>
  <c r="R6" i="442"/>
  <c r="W6" i="442"/>
  <c r="X6" i="442"/>
  <c r="Y6" i="442"/>
  <c r="Z6" i="442"/>
  <c r="AA6" i="442"/>
  <c r="AB6" i="442"/>
  <c r="B7" i="442"/>
  <c r="C7" i="442"/>
  <c r="E7" i="442"/>
  <c r="G7" i="442"/>
  <c r="H7" i="442"/>
  <c r="I7" i="442"/>
  <c r="Q7" i="442"/>
  <c r="R7" i="442"/>
  <c r="W7" i="442"/>
  <c r="X7" i="442"/>
  <c r="Y7" i="442"/>
  <c r="Z7" i="442"/>
  <c r="AA7" i="442"/>
  <c r="AB7" i="442"/>
  <c r="B8" i="442"/>
  <c r="C8" i="442"/>
  <c r="D8" i="442"/>
  <c r="E8" i="442"/>
  <c r="G8" i="442"/>
  <c r="H8" i="442"/>
  <c r="I8" i="442"/>
  <c r="J8" i="442"/>
  <c r="N8" i="442"/>
  <c r="Q8" i="442"/>
  <c r="R8" i="442"/>
  <c r="W8" i="442"/>
  <c r="X8" i="442"/>
  <c r="Y8" i="442"/>
  <c r="Z8" i="442"/>
  <c r="AA8" i="442"/>
  <c r="AB8" i="442"/>
  <c r="B9" i="442"/>
  <c r="C9" i="442"/>
  <c r="D9" i="442"/>
  <c r="E9" i="442"/>
  <c r="G9" i="442"/>
  <c r="H9" i="442"/>
  <c r="I9" i="442"/>
  <c r="J9" i="442"/>
  <c r="N9" i="442"/>
  <c r="Q9" i="442"/>
  <c r="R9" i="442"/>
  <c r="W9" i="442"/>
  <c r="X9" i="442"/>
  <c r="Y9" i="442"/>
  <c r="Z9" i="442"/>
  <c r="AA9" i="442"/>
  <c r="AB9" i="442"/>
  <c r="B10" i="442"/>
  <c r="C10" i="442"/>
  <c r="D10" i="442"/>
  <c r="E10" i="442"/>
  <c r="G10" i="442"/>
  <c r="H10" i="442"/>
  <c r="I10" i="442"/>
  <c r="J10" i="442"/>
  <c r="Q10" i="442"/>
  <c r="R10" i="442"/>
  <c r="W10" i="442"/>
  <c r="X10" i="442"/>
  <c r="Y10" i="442"/>
  <c r="Z10" i="442"/>
  <c r="AA10" i="442"/>
  <c r="AB10" i="442"/>
  <c r="B11" i="442"/>
  <c r="C11" i="442"/>
  <c r="E11" i="442"/>
  <c r="G11" i="442"/>
  <c r="H11" i="442"/>
  <c r="I11" i="442"/>
  <c r="J11" i="442"/>
  <c r="Q11" i="442"/>
  <c r="R11" i="442"/>
  <c r="W11" i="442"/>
  <c r="X11" i="442"/>
  <c r="Y11" i="442"/>
  <c r="Z11" i="442"/>
  <c r="AA11" i="442"/>
  <c r="AB11" i="442"/>
  <c r="B12" i="442"/>
  <c r="C12" i="442"/>
  <c r="D12" i="442"/>
  <c r="E12" i="442"/>
  <c r="G12" i="442"/>
  <c r="H12" i="442"/>
  <c r="I12" i="442"/>
  <c r="J12" i="442"/>
  <c r="Q12" i="442"/>
  <c r="R12" i="442"/>
  <c r="W12" i="442"/>
  <c r="X12" i="442"/>
  <c r="Y12" i="442"/>
  <c r="Z12" i="442"/>
  <c r="AA12" i="442"/>
  <c r="AB12" i="442"/>
  <c r="B13" i="442"/>
  <c r="C13" i="442"/>
  <c r="D13" i="442"/>
  <c r="E13" i="442"/>
  <c r="G13" i="442"/>
  <c r="H13" i="442"/>
  <c r="I13" i="442"/>
  <c r="J13" i="442"/>
  <c r="N13" i="442"/>
  <c r="Q13" i="442"/>
  <c r="R13" i="442"/>
  <c r="W13" i="442"/>
  <c r="X13" i="442"/>
  <c r="Y13" i="442"/>
  <c r="Z13" i="442"/>
  <c r="AA13" i="442"/>
  <c r="AB13" i="442"/>
  <c r="B14" i="442"/>
  <c r="C14" i="442"/>
  <c r="D14" i="442"/>
  <c r="E14" i="442"/>
  <c r="G14" i="442"/>
  <c r="H14" i="442"/>
  <c r="I14" i="442"/>
  <c r="J14" i="442"/>
  <c r="Q14" i="442"/>
  <c r="R14" i="442"/>
  <c r="W14" i="442"/>
  <c r="X14" i="442"/>
  <c r="Y14" i="442"/>
  <c r="Z14" i="442"/>
  <c r="AA14" i="442"/>
  <c r="AB14" i="442"/>
  <c r="B15" i="442"/>
  <c r="C15" i="442"/>
  <c r="D15" i="442"/>
  <c r="E15" i="442"/>
  <c r="G15" i="442"/>
  <c r="H15" i="442"/>
  <c r="I15" i="442"/>
  <c r="J15" i="442"/>
  <c r="M15" i="442"/>
  <c r="Q15" i="442"/>
  <c r="R15" i="442"/>
  <c r="W15" i="442"/>
  <c r="X15" i="442"/>
  <c r="Y15" i="442"/>
  <c r="Z15" i="442"/>
  <c r="AA15" i="442"/>
  <c r="AB15" i="442"/>
  <c r="B16" i="442"/>
  <c r="C16" i="442"/>
  <c r="D16" i="442"/>
  <c r="E16" i="442"/>
  <c r="G16" i="442"/>
  <c r="H16" i="442"/>
  <c r="I16" i="442"/>
  <c r="J16" i="442"/>
  <c r="Q16" i="442"/>
  <c r="R16" i="442"/>
  <c r="W16" i="442"/>
  <c r="X16" i="442"/>
  <c r="Y16" i="442"/>
  <c r="Z16" i="442"/>
  <c r="AA16" i="442"/>
  <c r="AB16" i="442"/>
  <c r="B17" i="442"/>
  <c r="C17" i="442"/>
  <c r="D17" i="442"/>
  <c r="E17" i="442"/>
  <c r="G17" i="442"/>
  <c r="H17" i="442"/>
  <c r="I17" i="442"/>
  <c r="J17" i="442"/>
  <c r="Q17" i="442"/>
  <c r="R17" i="442"/>
  <c r="W17" i="442"/>
  <c r="X17" i="442"/>
  <c r="Y17" i="442"/>
  <c r="Z17" i="442"/>
  <c r="AA17" i="442"/>
  <c r="AB17" i="442"/>
  <c r="B18" i="442"/>
  <c r="C18" i="442"/>
  <c r="D18" i="442"/>
  <c r="E18" i="442"/>
  <c r="G18" i="442"/>
  <c r="H18" i="442"/>
  <c r="I18" i="442"/>
  <c r="J18" i="442"/>
  <c r="Q18" i="442"/>
  <c r="R18" i="442"/>
  <c r="W18" i="442"/>
  <c r="X18" i="442"/>
  <c r="Y18" i="442"/>
  <c r="Z18" i="442"/>
  <c r="AA18" i="442"/>
  <c r="AB18" i="442"/>
  <c r="B19" i="442"/>
  <c r="C19" i="442"/>
  <c r="D19" i="442"/>
  <c r="E19" i="442"/>
  <c r="G19" i="442"/>
  <c r="H19" i="442"/>
  <c r="I19" i="442"/>
  <c r="Q19" i="442"/>
  <c r="R19" i="442"/>
  <c r="W19" i="442"/>
  <c r="X19" i="442"/>
  <c r="Y19" i="442"/>
  <c r="Z19" i="442"/>
  <c r="AA19" i="442"/>
  <c r="AB19" i="442"/>
  <c r="B20" i="442"/>
  <c r="C20" i="442"/>
  <c r="D20" i="442"/>
  <c r="E20" i="442"/>
  <c r="G20" i="442"/>
  <c r="H20" i="442"/>
  <c r="I20" i="442"/>
  <c r="J20" i="442"/>
  <c r="Q20" i="442"/>
  <c r="R20" i="442"/>
  <c r="W20" i="442"/>
  <c r="X20" i="442"/>
  <c r="Y20" i="442"/>
  <c r="Z20" i="442"/>
  <c r="AA20" i="442"/>
  <c r="AB20" i="442"/>
  <c r="B21" i="442"/>
  <c r="C21" i="442"/>
  <c r="E21" i="442"/>
  <c r="G21" i="442"/>
  <c r="H21" i="442"/>
  <c r="I21" i="442"/>
  <c r="Q21" i="442"/>
  <c r="R21" i="442"/>
  <c r="W21" i="442"/>
  <c r="X21" i="442"/>
  <c r="Y21" i="442"/>
  <c r="Z21" i="442"/>
  <c r="AA21" i="442"/>
  <c r="AB21" i="442"/>
  <c r="B22" i="442"/>
  <c r="D22" i="442"/>
  <c r="E22" i="442"/>
  <c r="G22" i="442"/>
  <c r="H22" i="442"/>
  <c r="I22" i="442"/>
  <c r="J22" i="442"/>
  <c r="Q22" i="442"/>
  <c r="R22" i="442"/>
  <c r="W22" i="442"/>
  <c r="X22" i="442"/>
  <c r="Y22" i="442"/>
  <c r="Z22" i="442"/>
  <c r="AA22" i="442"/>
  <c r="AB22" i="442"/>
  <c r="B23" i="442"/>
  <c r="C23" i="442"/>
  <c r="D23" i="442"/>
  <c r="E23" i="442"/>
  <c r="G23" i="442"/>
  <c r="H23" i="442"/>
  <c r="I23" i="442"/>
  <c r="J23" i="442"/>
  <c r="Q23" i="442"/>
  <c r="R23" i="442"/>
  <c r="W23" i="442"/>
  <c r="X23" i="442"/>
  <c r="Y23" i="442"/>
  <c r="Z23" i="442"/>
  <c r="AA23" i="442"/>
  <c r="AB23" i="442"/>
  <c r="B24" i="442"/>
  <c r="C24" i="442"/>
  <c r="E24" i="442"/>
  <c r="G24" i="442"/>
  <c r="H24" i="442"/>
  <c r="I24" i="442"/>
  <c r="J24" i="442"/>
  <c r="N24" i="442"/>
  <c r="Q24" i="442"/>
  <c r="R24" i="442"/>
  <c r="W24" i="442"/>
  <c r="X24" i="442"/>
  <c r="Y24" i="442"/>
  <c r="Z24" i="442"/>
  <c r="AA24" i="442"/>
  <c r="AB24" i="442"/>
  <c r="B25" i="442"/>
  <c r="C25" i="442"/>
  <c r="D25" i="442"/>
  <c r="E25" i="442"/>
  <c r="G25" i="442"/>
  <c r="H25" i="442"/>
  <c r="I25" i="442"/>
  <c r="J25" i="442"/>
  <c r="Q25" i="442"/>
  <c r="R25" i="442"/>
  <c r="W25" i="442"/>
  <c r="X25" i="442"/>
  <c r="Y25" i="442"/>
  <c r="Z25" i="442"/>
  <c r="AA25" i="442"/>
  <c r="AB25" i="442"/>
  <c r="B26" i="442"/>
  <c r="C26" i="442"/>
  <c r="D26" i="442"/>
  <c r="E26" i="442"/>
  <c r="G26" i="442"/>
  <c r="H26" i="442"/>
  <c r="I26" i="442"/>
  <c r="J26" i="442"/>
  <c r="N26" i="442"/>
  <c r="Q26" i="442"/>
  <c r="R26" i="442"/>
  <c r="W26" i="442"/>
  <c r="X26" i="442"/>
  <c r="Y26" i="442"/>
  <c r="Z26" i="442"/>
  <c r="AA26" i="442"/>
  <c r="AB26" i="442"/>
  <c r="B27" i="442"/>
  <c r="C27" i="442"/>
  <c r="D27" i="442"/>
  <c r="E27" i="442"/>
  <c r="G27" i="442"/>
  <c r="H27" i="442"/>
  <c r="I27" i="442"/>
  <c r="J27" i="442"/>
  <c r="Q27" i="442"/>
  <c r="R27" i="442"/>
  <c r="W27" i="442"/>
  <c r="X27" i="442"/>
  <c r="Y27" i="442"/>
  <c r="Z27" i="442"/>
  <c r="AA27" i="442"/>
  <c r="AB27" i="442"/>
  <c r="B28" i="442"/>
  <c r="C28" i="442"/>
  <c r="D28" i="442"/>
  <c r="E28" i="442"/>
  <c r="G28" i="442"/>
  <c r="H28" i="442"/>
  <c r="I28" i="442"/>
  <c r="J28" i="442"/>
  <c r="N28" i="442"/>
  <c r="Q28" i="442"/>
  <c r="R28" i="442"/>
  <c r="W28" i="442"/>
  <c r="X28" i="442"/>
  <c r="Y28" i="442"/>
  <c r="Z28" i="442"/>
  <c r="AA28" i="442"/>
  <c r="AB28" i="442"/>
  <c r="B29" i="442"/>
  <c r="C29" i="442"/>
  <c r="E29" i="442"/>
  <c r="G29" i="442"/>
  <c r="H29" i="442"/>
  <c r="I29" i="442"/>
  <c r="J29" i="442"/>
  <c r="Q29" i="442"/>
  <c r="R29" i="442"/>
  <c r="W29" i="442"/>
  <c r="X29" i="442"/>
  <c r="Y29" i="442"/>
  <c r="Z29" i="442"/>
  <c r="AA29" i="442"/>
  <c r="AB29" i="442"/>
  <c r="B30" i="442"/>
  <c r="C30" i="442"/>
  <c r="D30" i="442"/>
  <c r="E30" i="442"/>
  <c r="G30" i="442"/>
  <c r="H30" i="442"/>
  <c r="I30" i="442"/>
  <c r="J30" i="442"/>
  <c r="N30" i="442"/>
  <c r="Q30" i="442"/>
  <c r="R30" i="442"/>
  <c r="W30" i="442"/>
  <c r="X30" i="442"/>
  <c r="Y30" i="442"/>
  <c r="Z30" i="442"/>
  <c r="AA30" i="442"/>
  <c r="AB30" i="442"/>
  <c r="B31" i="442"/>
  <c r="C31" i="442"/>
  <c r="D31" i="442"/>
  <c r="E31" i="442"/>
  <c r="G31" i="442"/>
  <c r="H31" i="442"/>
  <c r="I31" i="442"/>
  <c r="J31" i="442"/>
  <c r="N31" i="442"/>
  <c r="Q31" i="442"/>
  <c r="R31" i="442"/>
  <c r="W31" i="442"/>
  <c r="X31" i="442"/>
  <c r="Y31" i="442"/>
  <c r="Z31" i="442"/>
  <c r="AA31" i="442"/>
  <c r="AB31" i="442"/>
  <c r="B32" i="442"/>
  <c r="C32" i="442"/>
  <c r="E32" i="442"/>
  <c r="G32" i="442"/>
  <c r="H32" i="442"/>
  <c r="I32" i="442"/>
  <c r="J32" i="442"/>
  <c r="Q32" i="442"/>
  <c r="R32" i="442"/>
  <c r="W32" i="442"/>
  <c r="X32" i="442"/>
  <c r="Y32" i="442"/>
  <c r="Z32" i="442"/>
  <c r="AA32" i="442"/>
  <c r="AB32" i="442"/>
  <c r="B33" i="442"/>
  <c r="C33" i="442"/>
  <c r="D33" i="442"/>
  <c r="E33" i="442"/>
  <c r="G33" i="442"/>
  <c r="H33" i="442"/>
  <c r="I33" i="442"/>
  <c r="J33" i="442"/>
  <c r="N33" i="442"/>
  <c r="Q33" i="442"/>
  <c r="R33" i="442"/>
  <c r="W33" i="442"/>
  <c r="X33" i="442"/>
  <c r="Y33" i="442"/>
  <c r="Z33" i="442"/>
  <c r="AA33" i="442"/>
  <c r="AB33" i="442"/>
  <c r="B34" i="442"/>
  <c r="C34" i="442"/>
  <c r="D34" i="442"/>
  <c r="E34" i="442"/>
  <c r="G34" i="442"/>
  <c r="H34" i="442"/>
  <c r="I34" i="442"/>
  <c r="J34" i="442"/>
  <c r="Q34" i="442"/>
  <c r="R34" i="442"/>
  <c r="W34" i="442"/>
  <c r="X34" i="442"/>
  <c r="Y34" i="442"/>
  <c r="Z34" i="442"/>
  <c r="AA34" i="442"/>
  <c r="AB34" i="442"/>
  <c r="B35" i="442"/>
  <c r="C35" i="442"/>
  <c r="E35" i="442"/>
  <c r="G35" i="442"/>
  <c r="H35" i="442"/>
  <c r="I35" i="442"/>
  <c r="J35" i="442"/>
  <c r="Q35" i="442"/>
  <c r="R35" i="442"/>
  <c r="W35" i="442"/>
  <c r="X35" i="442"/>
  <c r="Y35" i="442"/>
  <c r="Z35" i="442"/>
  <c r="AA35" i="442"/>
  <c r="AB35" i="442"/>
  <c r="B36" i="442"/>
  <c r="C36" i="442"/>
  <c r="E36" i="442"/>
  <c r="G36" i="442"/>
  <c r="H36" i="442"/>
  <c r="I36" i="442"/>
  <c r="J36" i="442"/>
  <c r="Q36" i="442"/>
  <c r="R36" i="442"/>
  <c r="W36" i="442"/>
  <c r="X36" i="442"/>
  <c r="Y36" i="442"/>
  <c r="Z36" i="442"/>
  <c r="AA36" i="442"/>
  <c r="AB36" i="442"/>
  <c r="B37" i="442"/>
  <c r="C37" i="442"/>
  <c r="D37" i="442"/>
  <c r="E37" i="442"/>
  <c r="G37" i="442"/>
  <c r="H37" i="442"/>
  <c r="I37" i="442"/>
  <c r="J37" i="442"/>
  <c r="N37" i="442"/>
  <c r="Q37" i="442"/>
  <c r="R37" i="442"/>
  <c r="W37" i="442"/>
  <c r="X37" i="442"/>
  <c r="Y37" i="442"/>
  <c r="Z37" i="442"/>
  <c r="AA37" i="442"/>
  <c r="AB37" i="442"/>
  <c r="B38" i="442"/>
  <c r="C38" i="442"/>
  <c r="D38" i="442"/>
  <c r="E38" i="442"/>
  <c r="G38" i="442"/>
  <c r="H38" i="442"/>
  <c r="I38" i="442"/>
  <c r="J38" i="442"/>
  <c r="N38" i="442"/>
  <c r="Q38" i="442"/>
  <c r="R38" i="442"/>
  <c r="W38" i="442"/>
  <c r="X38" i="442"/>
  <c r="Y38" i="442"/>
  <c r="Z38" i="442"/>
  <c r="AA38" i="442"/>
  <c r="AB38" i="442"/>
  <c r="B39" i="442"/>
  <c r="C39" i="442"/>
  <c r="D39" i="442"/>
  <c r="E39" i="442"/>
  <c r="G39" i="442"/>
  <c r="H39" i="442"/>
  <c r="I39" i="442"/>
  <c r="J39" i="442"/>
  <c r="N39" i="442"/>
  <c r="Q39" i="442"/>
  <c r="R39" i="442"/>
  <c r="W39" i="442"/>
  <c r="X39" i="442"/>
  <c r="Y39" i="442"/>
  <c r="Z39" i="442"/>
  <c r="AA39" i="442"/>
  <c r="AB39" i="442"/>
  <c r="B40" i="442"/>
  <c r="C40" i="442"/>
  <c r="D40" i="442"/>
  <c r="E40" i="442"/>
  <c r="G40" i="442"/>
  <c r="H40" i="442"/>
  <c r="I40" i="442"/>
  <c r="J40" i="442"/>
  <c r="Q40" i="442"/>
  <c r="R40" i="442"/>
  <c r="W40" i="442"/>
  <c r="X40" i="442"/>
  <c r="Y40" i="442"/>
  <c r="Z40" i="442"/>
  <c r="AA40" i="442"/>
  <c r="AB40" i="442"/>
  <c r="B41" i="442"/>
  <c r="C41" i="442"/>
  <c r="E41" i="442"/>
  <c r="G41" i="442"/>
  <c r="H41" i="442"/>
  <c r="I41" i="442"/>
  <c r="J41" i="442"/>
  <c r="Q41" i="442"/>
  <c r="R41" i="442"/>
  <c r="W41" i="442"/>
  <c r="X41" i="442"/>
  <c r="Y41" i="442"/>
  <c r="Z41" i="442"/>
  <c r="AA41" i="442"/>
  <c r="AB41" i="442"/>
  <c r="B42" i="442"/>
  <c r="C42" i="442"/>
  <c r="D42" i="442"/>
  <c r="E42" i="442"/>
  <c r="G42" i="442"/>
  <c r="H42" i="442"/>
  <c r="I42" i="442"/>
  <c r="J42" i="442"/>
  <c r="Q42" i="442"/>
  <c r="R42" i="442"/>
  <c r="W42" i="442"/>
  <c r="X42" i="442"/>
  <c r="Y42" i="442"/>
  <c r="Z42" i="442"/>
  <c r="AA42" i="442"/>
  <c r="AB42" i="442"/>
  <c r="B43" i="442"/>
  <c r="C43" i="442"/>
  <c r="D43" i="442"/>
  <c r="E43" i="442"/>
  <c r="G43" i="442"/>
  <c r="H43" i="442"/>
  <c r="I43" i="442"/>
  <c r="J43" i="442"/>
  <c r="N43" i="442"/>
  <c r="Q43" i="442"/>
  <c r="R43" i="442"/>
  <c r="W43" i="442"/>
  <c r="X43" i="442"/>
  <c r="Y43" i="442"/>
  <c r="Z43" i="442"/>
  <c r="AA43" i="442"/>
  <c r="AB43" i="442"/>
  <c r="B44" i="442"/>
  <c r="C44" i="442"/>
  <c r="D44" i="442"/>
  <c r="E44" i="442"/>
  <c r="G44" i="442"/>
  <c r="H44" i="442"/>
  <c r="I44" i="442"/>
  <c r="J44" i="442"/>
  <c r="N44" i="442"/>
  <c r="Q44" i="442"/>
  <c r="R44" i="442"/>
  <c r="W44" i="442"/>
  <c r="X44" i="442"/>
  <c r="Y44" i="442"/>
  <c r="Z44" i="442"/>
  <c r="AA44" i="442"/>
  <c r="AB44" i="442"/>
  <c r="B45" i="442"/>
  <c r="C45" i="442"/>
  <c r="D45" i="442"/>
  <c r="E45" i="442"/>
  <c r="G45" i="442"/>
  <c r="H45" i="442"/>
  <c r="I45" i="442"/>
  <c r="J45" i="442"/>
  <c r="Q45" i="442"/>
  <c r="R45" i="442"/>
  <c r="W45" i="442"/>
  <c r="X45" i="442"/>
  <c r="Y45" i="442"/>
  <c r="Z45" i="442"/>
  <c r="AA45" i="442"/>
  <c r="AB45" i="442"/>
  <c r="B46" i="442"/>
  <c r="C46" i="442"/>
  <c r="E46" i="442"/>
  <c r="G46" i="442"/>
  <c r="H46" i="442"/>
  <c r="I46" i="442"/>
  <c r="J46" i="442"/>
  <c r="Q46" i="442"/>
  <c r="R46" i="442"/>
  <c r="W46" i="442"/>
  <c r="X46" i="442"/>
  <c r="Y46" i="442"/>
  <c r="Z46" i="442"/>
  <c r="AA46" i="442"/>
  <c r="AB46" i="442"/>
  <c r="B47" i="442"/>
  <c r="C47" i="442"/>
  <c r="D47" i="442"/>
  <c r="E47" i="442"/>
  <c r="F47" i="442"/>
  <c r="G47" i="442"/>
  <c r="H47" i="442"/>
  <c r="I47" i="442"/>
  <c r="J47" i="442"/>
  <c r="K47" i="442"/>
  <c r="L47" i="442"/>
  <c r="P47" i="442"/>
  <c r="Q47" i="442"/>
  <c r="R47" i="442"/>
  <c r="T47" i="442"/>
  <c r="W47" i="442"/>
  <c r="X47" i="442"/>
  <c r="Y47" i="442"/>
  <c r="Z47" i="442"/>
  <c r="AA47" i="442"/>
  <c r="AB47" i="442"/>
  <c r="B48" i="442"/>
  <c r="C48" i="442"/>
  <c r="D48" i="442"/>
  <c r="E48" i="442"/>
  <c r="G48" i="442"/>
  <c r="H48" i="442"/>
  <c r="I48" i="442"/>
  <c r="J48" i="442"/>
  <c r="N48" i="442"/>
  <c r="Q48" i="442"/>
  <c r="R48" i="442"/>
  <c r="W48" i="442"/>
  <c r="X48" i="442"/>
  <c r="Y48" i="442"/>
  <c r="Z48" i="442"/>
  <c r="AA48" i="442"/>
  <c r="AB48" i="442"/>
  <c r="B49" i="442"/>
  <c r="C49" i="442"/>
  <c r="D49" i="442"/>
  <c r="E49" i="442"/>
  <c r="G49" i="442"/>
  <c r="H49" i="442"/>
  <c r="I49" i="442"/>
  <c r="J49" i="442"/>
  <c r="N49" i="442"/>
  <c r="Q49" i="442"/>
  <c r="R49" i="442"/>
  <c r="W49" i="442"/>
  <c r="X49" i="442"/>
  <c r="Y49" i="442"/>
  <c r="Z49" i="442"/>
  <c r="AA49" i="442"/>
  <c r="AB49" i="442"/>
  <c r="B50" i="442"/>
  <c r="C50" i="442"/>
  <c r="D50" i="442"/>
  <c r="E50" i="442"/>
  <c r="G50" i="442"/>
  <c r="H50" i="442"/>
  <c r="I50" i="442"/>
  <c r="J50" i="442"/>
  <c r="K50" i="442"/>
  <c r="L50" i="442"/>
  <c r="M50" i="442"/>
  <c r="P50" i="442"/>
  <c r="Q50" i="442"/>
  <c r="R50" i="442"/>
  <c r="S50" i="442"/>
  <c r="T50" i="442"/>
  <c r="W50" i="442"/>
  <c r="X50" i="442"/>
  <c r="Y50" i="442"/>
  <c r="Z50" i="442"/>
  <c r="AA50" i="442"/>
  <c r="AB50" i="442"/>
  <c r="B51" i="442"/>
  <c r="C51" i="442"/>
  <c r="D51" i="442"/>
  <c r="E51" i="442"/>
  <c r="G51" i="442"/>
  <c r="H51" i="442"/>
  <c r="I51" i="442"/>
  <c r="J51" i="442"/>
  <c r="K51" i="442"/>
  <c r="L51" i="442"/>
  <c r="M51" i="442"/>
  <c r="P51" i="442"/>
  <c r="Q51" i="442"/>
  <c r="R51" i="442"/>
  <c r="S51" i="442"/>
  <c r="T51" i="442"/>
  <c r="W51" i="442"/>
  <c r="X51" i="442"/>
  <c r="Y51" i="442"/>
  <c r="Z51" i="442"/>
  <c r="AA51" i="442"/>
  <c r="AB51" i="442"/>
  <c r="C5" i="442"/>
  <c r="D5" i="442"/>
  <c r="E5" i="442"/>
  <c r="G5" i="442"/>
  <c r="H5" i="442"/>
  <c r="I5" i="442"/>
  <c r="J5" i="442"/>
  <c r="Q5" i="442"/>
  <c r="R5" i="442"/>
  <c r="W5" i="442"/>
  <c r="X5" i="442"/>
  <c r="Y5" i="442"/>
  <c r="Z5" i="442"/>
  <c r="AA5" i="442"/>
  <c r="AB5" i="442"/>
  <c r="B5" i="442"/>
  <c r="A6" i="442"/>
  <c r="A7" i="442" s="1"/>
  <c r="A8" i="442" s="1"/>
  <c r="A9" i="442" s="1"/>
  <c r="A10" i="442" s="1"/>
  <c r="A11" i="442" s="1"/>
  <c r="A12" i="442" s="1"/>
  <c r="A13" i="442" s="1"/>
  <c r="A14" i="442" s="1"/>
  <c r="A15" i="442" s="1"/>
  <c r="A16" i="442" s="1"/>
  <c r="A17" i="442" s="1"/>
  <c r="A18" i="442" s="1"/>
  <c r="A19" i="442" s="1"/>
  <c r="A20" i="442" s="1"/>
  <c r="A21" i="442" s="1"/>
  <c r="A22" i="442" s="1"/>
  <c r="A23" i="442" s="1"/>
  <c r="A24" i="442" s="1"/>
  <c r="A25" i="442" s="1"/>
  <c r="A26" i="442" s="1"/>
  <c r="A27" i="442" s="1"/>
  <c r="A28" i="442" s="1"/>
  <c r="A29" i="442" s="1"/>
  <c r="A30" i="442" s="1"/>
  <c r="A31" i="442" s="1"/>
  <c r="A32" i="442" s="1"/>
  <c r="A33" i="442" s="1"/>
  <c r="A34" i="442" s="1"/>
  <c r="A35" i="442" s="1"/>
  <c r="A36" i="442" s="1"/>
  <c r="A37" i="442" s="1"/>
  <c r="A38" i="442" s="1"/>
  <c r="A39" i="442" s="1"/>
  <c r="A40" i="442" s="1"/>
  <c r="A41" i="442" s="1"/>
  <c r="A42" i="442" s="1"/>
  <c r="A43" i="442" s="1"/>
  <c r="A44" i="442" s="1"/>
  <c r="A45" i="442" s="1"/>
  <c r="A46" i="442" s="1"/>
  <c r="A47" i="442" s="1"/>
  <c r="A48" i="442" s="1"/>
  <c r="A49" i="442" s="1"/>
  <c r="A50" i="442" s="1"/>
  <c r="A51" i="442" s="1"/>
  <c r="S132" i="433"/>
  <c r="N132" i="433"/>
  <c r="K132" i="433"/>
  <c r="L132" i="433" s="1"/>
  <c r="F132" i="433"/>
  <c r="A132" i="433"/>
  <c r="G19" i="97"/>
  <c r="H19" i="97"/>
  <c r="Y26" i="441"/>
  <c r="E25" i="441"/>
  <c r="C19" i="97" s="1"/>
  <c r="G25" i="441"/>
  <c r="E19" i="97" s="1"/>
  <c r="H25" i="441"/>
  <c r="F19" i="97" s="1"/>
  <c r="I25" i="441"/>
  <c r="J25" i="441"/>
  <c r="J26" i="441" s="1"/>
  <c r="N25" i="441"/>
  <c r="L19" i="97" s="1"/>
  <c r="Q25" i="441"/>
  <c r="R25" i="441"/>
  <c r="W25" i="441"/>
  <c r="U19" i="97" s="1"/>
  <c r="X25" i="441"/>
  <c r="V19" i="97" s="1"/>
  <c r="Y25" i="441"/>
  <c r="W19" i="97" s="1"/>
  <c r="Z25" i="441"/>
  <c r="X19" i="97" s="1"/>
  <c r="AA25" i="441"/>
  <c r="Y19" i="97" s="1"/>
  <c r="E21" i="441"/>
  <c r="F21" i="441"/>
  <c r="G21" i="441"/>
  <c r="H21" i="441"/>
  <c r="I21" i="441"/>
  <c r="J21" i="441"/>
  <c r="N21" i="441"/>
  <c r="Q21" i="441"/>
  <c r="R21" i="441"/>
  <c r="W21" i="441"/>
  <c r="X21" i="441"/>
  <c r="Y21" i="441"/>
  <c r="Z21" i="441"/>
  <c r="AA21" i="441"/>
  <c r="D21" i="441"/>
  <c r="E18" i="441"/>
  <c r="G18" i="441"/>
  <c r="H18" i="441"/>
  <c r="I18" i="441"/>
  <c r="J18" i="441"/>
  <c r="N18" i="441"/>
  <c r="Q18" i="441"/>
  <c r="R18" i="441"/>
  <c r="X18" i="441"/>
  <c r="Y18" i="441"/>
  <c r="Z18" i="441"/>
  <c r="Z26" i="441" s="1"/>
  <c r="AA18" i="441"/>
  <c r="E13" i="441"/>
  <c r="G13" i="441"/>
  <c r="H13" i="441"/>
  <c r="I13" i="441"/>
  <c r="J13" i="441"/>
  <c r="Q13" i="441"/>
  <c r="R13" i="441"/>
  <c r="W13" i="441"/>
  <c r="X13" i="441"/>
  <c r="Y13" i="441"/>
  <c r="Z13" i="441"/>
  <c r="AA13" i="441"/>
  <c r="E7" i="441"/>
  <c r="F7" i="441"/>
  <c r="G7" i="441"/>
  <c r="H7" i="441"/>
  <c r="I7" i="441"/>
  <c r="J7" i="441"/>
  <c r="N7" i="441"/>
  <c r="Q7" i="441"/>
  <c r="R7" i="441"/>
  <c r="W7" i="441"/>
  <c r="X7" i="441"/>
  <c r="Y7" i="441"/>
  <c r="Z7" i="441"/>
  <c r="AA7" i="441"/>
  <c r="D7" i="441"/>
  <c r="AB26" i="441"/>
  <c r="S24" i="441"/>
  <c r="N24" i="441"/>
  <c r="K24" i="441"/>
  <c r="L24" i="441" s="1"/>
  <c r="P24" i="441" s="1"/>
  <c r="D24" i="441"/>
  <c r="S12" i="441"/>
  <c r="N12" i="441"/>
  <c r="J12" i="441"/>
  <c r="K12" i="441" s="1"/>
  <c r="L12" i="441" s="1"/>
  <c r="F12" i="441"/>
  <c r="F13" i="441" s="1"/>
  <c r="S17" i="441"/>
  <c r="N17" i="441"/>
  <c r="K17" i="441"/>
  <c r="L17" i="441" s="1"/>
  <c r="P17" i="441" s="1"/>
  <c r="D17" i="441"/>
  <c r="F17" i="441" s="1"/>
  <c r="S11" i="441"/>
  <c r="K11" i="441"/>
  <c r="L11" i="441" s="1"/>
  <c r="D11" i="441"/>
  <c r="F11" i="441" s="1"/>
  <c r="S23" i="441"/>
  <c r="S25" i="441" s="1"/>
  <c r="K23" i="441"/>
  <c r="F23" i="441"/>
  <c r="S6" i="441"/>
  <c r="S7" i="441" s="1"/>
  <c r="K6" i="441"/>
  <c r="F6" i="441"/>
  <c r="S16" i="441"/>
  <c r="K16" i="441"/>
  <c r="L16" i="441" s="1"/>
  <c r="P16" i="441" s="1"/>
  <c r="D16" i="441"/>
  <c r="F16" i="441" s="1"/>
  <c r="S15" i="441"/>
  <c r="S18" i="441" s="1"/>
  <c r="K15" i="441"/>
  <c r="L15" i="441" s="1"/>
  <c r="P15" i="441" s="1"/>
  <c r="D15" i="441"/>
  <c r="S10" i="441"/>
  <c r="K10" i="441"/>
  <c r="L10" i="441" s="1"/>
  <c r="P10" i="441" s="1"/>
  <c r="D10" i="441"/>
  <c r="F10" i="441" s="1"/>
  <c r="S9" i="441"/>
  <c r="N9" i="441"/>
  <c r="N13" i="441" s="1"/>
  <c r="K9" i="441"/>
  <c r="L9" i="441" s="1"/>
  <c r="L13" i="441" s="1"/>
  <c r="F9" i="441"/>
  <c r="S20" i="441"/>
  <c r="S21" i="441" s="1"/>
  <c r="K20" i="441"/>
  <c r="F20" i="441"/>
  <c r="AA14" i="440"/>
  <c r="Z14" i="440"/>
  <c r="Y14" i="440"/>
  <c r="X14" i="440"/>
  <c r="W14" i="440"/>
  <c r="R14" i="440"/>
  <c r="Q14" i="440"/>
  <c r="J14" i="440"/>
  <c r="I14" i="440"/>
  <c r="H14" i="440"/>
  <c r="L15" i="440" s="1"/>
  <c r="G14" i="440"/>
  <c r="E14" i="440"/>
  <c r="S13" i="440"/>
  <c r="N13" i="440"/>
  <c r="K13" i="440"/>
  <c r="L13" i="440" s="1"/>
  <c r="F13" i="440"/>
  <c r="S12" i="440"/>
  <c r="L12" i="440"/>
  <c r="P12" i="440" s="1"/>
  <c r="K12" i="440"/>
  <c r="F12" i="440"/>
  <c r="S11" i="440"/>
  <c r="K11" i="440"/>
  <c r="L11" i="440" s="1"/>
  <c r="D11" i="440"/>
  <c r="F11" i="440" s="1"/>
  <c r="S10" i="440"/>
  <c r="K10" i="440"/>
  <c r="L10" i="440" s="1"/>
  <c r="F10" i="440"/>
  <c r="S9" i="440"/>
  <c r="K9" i="440"/>
  <c r="L9" i="440" s="1"/>
  <c r="P9" i="440" s="1"/>
  <c r="F9" i="440"/>
  <c r="S8" i="440"/>
  <c r="K8" i="440"/>
  <c r="L8" i="440" s="1"/>
  <c r="F8" i="440"/>
  <c r="S7" i="440"/>
  <c r="K7" i="440"/>
  <c r="L7" i="440" s="1"/>
  <c r="P7" i="440" s="1"/>
  <c r="F7" i="440"/>
  <c r="D7" i="440"/>
  <c r="S6" i="440"/>
  <c r="L6" i="440"/>
  <c r="P6" i="440" s="1"/>
  <c r="K6" i="440"/>
  <c r="F6" i="440"/>
  <c r="A6" i="440"/>
  <c r="A7" i="440" s="1"/>
  <c r="A8" i="440" s="1"/>
  <c r="A9" i="440" s="1"/>
  <c r="A10" i="440" s="1"/>
  <c r="A11" i="440" s="1"/>
  <c r="A12" i="440" s="1"/>
  <c r="A13" i="440" s="1"/>
  <c r="S5" i="440"/>
  <c r="K5" i="440"/>
  <c r="D5" i="440"/>
  <c r="D14" i="440" s="1"/>
  <c r="AA15" i="439"/>
  <c r="Z15" i="439"/>
  <c r="Y15" i="439"/>
  <c r="X15" i="439"/>
  <c r="W15" i="439"/>
  <c r="R15" i="439"/>
  <c r="Q15" i="439"/>
  <c r="I15" i="439"/>
  <c r="H15" i="439"/>
  <c r="G15" i="439"/>
  <c r="E15" i="439"/>
  <c r="S14" i="439"/>
  <c r="K14" i="439"/>
  <c r="L14" i="439" s="1"/>
  <c r="F14" i="439"/>
  <c r="S13" i="439"/>
  <c r="L13" i="439"/>
  <c r="P13" i="439" s="1"/>
  <c r="K13" i="439"/>
  <c r="F13" i="439"/>
  <c r="S12" i="439"/>
  <c r="K12" i="439"/>
  <c r="L12" i="439" s="1"/>
  <c r="F12" i="439"/>
  <c r="S11" i="439"/>
  <c r="K11" i="439"/>
  <c r="L11" i="439" s="1"/>
  <c r="F11" i="439"/>
  <c r="S10" i="439"/>
  <c r="K10" i="439"/>
  <c r="L10" i="439" s="1"/>
  <c r="F10" i="439"/>
  <c r="S9" i="439"/>
  <c r="J9" i="439"/>
  <c r="K9" i="439" s="1"/>
  <c r="L9" i="439" s="1"/>
  <c r="D9" i="439"/>
  <c r="F9" i="439" s="1"/>
  <c r="S8" i="439"/>
  <c r="K8" i="439"/>
  <c r="L8" i="439" s="1"/>
  <c r="F8" i="439"/>
  <c r="S7" i="439"/>
  <c r="N7" i="439"/>
  <c r="N15" i="439" s="1"/>
  <c r="K7" i="439"/>
  <c r="L7" i="439" s="1"/>
  <c r="D7" i="439"/>
  <c r="D15" i="439" s="1"/>
  <c r="S6" i="439"/>
  <c r="K6" i="439"/>
  <c r="L6" i="439" s="1"/>
  <c r="F6" i="439"/>
  <c r="A6" i="439"/>
  <c r="S5" i="439"/>
  <c r="S15" i="439" s="1"/>
  <c r="K5" i="439"/>
  <c r="L5" i="439" s="1"/>
  <c r="F5" i="439"/>
  <c r="E27" i="438"/>
  <c r="G27" i="438"/>
  <c r="H27" i="438"/>
  <c r="I27" i="438"/>
  <c r="J27" i="438"/>
  <c r="N27" i="438"/>
  <c r="Q27" i="438"/>
  <c r="Q28" i="438" s="1"/>
  <c r="R27" i="438"/>
  <c r="V27" i="438"/>
  <c r="X27" i="438"/>
  <c r="Y27" i="438"/>
  <c r="Z27" i="438"/>
  <c r="AA27" i="438"/>
  <c r="G28" i="438"/>
  <c r="X28" i="438"/>
  <c r="AA28" i="438"/>
  <c r="E23" i="438"/>
  <c r="E28" i="438" s="1"/>
  <c r="G23" i="438"/>
  <c r="H23" i="438"/>
  <c r="H28" i="438" s="1"/>
  <c r="I23" i="438"/>
  <c r="J23" i="438"/>
  <c r="N23" i="438"/>
  <c r="Q23" i="438"/>
  <c r="R23" i="438"/>
  <c r="X23" i="438"/>
  <c r="Y23" i="438"/>
  <c r="Z23" i="438"/>
  <c r="AA23" i="438"/>
  <c r="E15" i="438"/>
  <c r="F15" i="438"/>
  <c r="G15" i="438"/>
  <c r="H15" i="438"/>
  <c r="I15" i="438"/>
  <c r="J15" i="438"/>
  <c r="N15" i="438"/>
  <c r="Q15" i="438"/>
  <c r="R15" i="438"/>
  <c r="V15" i="438"/>
  <c r="X15" i="438"/>
  <c r="Y15" i="438"/>
  <c r="Z15" i="438"/>
  <c r="AA15" i="438"/>
  <c r="D15" i="438"/>
  <c r="E12" i="438"/>
  <c r="F12" i="438"/>
  <c r="G12" i="438"/>
  <c r="H12" i="438"/>
  <c r="I12" i="438"/>
  <c r="J12" i="438"/>
  <c r="Q12" i="438"/>
  <c r="R12" i="438"/>
  <c r="V12" i="438"/>
  <c r="X12" i="438"/>
  <c r="Y12" i="438"/>
  <c r="Z12" i="438"/>
  <c r="AA12" i="438"/>
  <c r="D12" i="438"/>
  <c r="E9" i="438"/>
  <c r="G9" i="438"/>
  <c r="H9" i="438"/>
  <c r="I9" i="438"/>
  <c r="J9" i="438"/>
  <c r="N9" i="438"/>
  <c r="Q9" i="438"/>
  <c r="R9" i="438"/>
  <c r="V9" i="438"/>
  <c r="X9" i="438"/>
  <c r="Y9" i="438"/>
  <c r="Z9" i="438"/>
  <c r="AA9" i="438"/>
  <c r="S22" i="438"/>
  <c r="K22" i="438"/>
  <c r="L22" i="438" s="1"/>
  <c r="F22" i="438"/>
  <c r="S21" i="438"/>
  <c r="K21" i="438"/>
  <c r="L21" i="438" s="1"/>
  <c r="F21" i="438"/>
  <c r="S20" i="438"/>
  <c r="N20" i="438"/>
  <c r="U20" i="438" s="1"/>
  <c r="W20" i="438" s="1"/>
  <c r="K20" i="438"/>
  <c r="L20" i="438" s="1"/>
  <c r="P20" i="438" s="1"/>
  <c r="M20" i="438" s="1"/>
  <c r="D20" i="438"/>
  <c r="F20" i="438" s="1"/>
  <c r="S8" i="438"/>
  <c r="N8" i="438"/>
  <c r="U8" i="438" s="1"/>
  <c r="W8" i="438" s="1"/>
  <c r="K8" i="438"/>
  <c r="L8" i="438" s="1"/>
  <c r="P8" i="438" s="1"/>
  <c r="D8" i="438"/>
  <c r="S26" i="438"/>
  <c r="K26" i="438"/>
  <c r="L26" i="438" s="1"/>
  <c r="P26" i="438" s="1"/>
  <c r="F26" i="438"/>
  <c r="S7" i="438"/>
  <c r="K7" i="438"/>
  <c r="L7" i="438" s="1"/>
  <c r="P7" i="438" s="1"/>
  <c r="F7" i="438"/>
  <c r="S14" i="438"/>
  <c r="S15" i="438" s="1"/>
  <c r="K14" i="438"/>
  <c r="F14" i="438"/>
  <c r="S19" i="438"/>
  <c r="N19" i="438"/>
  <c r="K19" i="438"/>
  <c r="L19" i="438" s="1"/>
  <c r="D19" i="438"/>
  <c r="F19" i="438" s="1"/>
  <c r="S11" i="438"/>
  <c r="S12" i="438" s="1"/>
  <c r="N11" i="438"/>
  <c r="N12" i="438" s="1"/>
  <c r="N28" i="438" s="1"/>
  <c r="K11" i="438"/>
  <c r="F11" i="438"/>
  <c r="S18" i="438"/>
  <c r="N18" i="438"/>
  <c r="K18" i="438"/>
  <c r="L18" i="438" s="1"/>
  <c r="P18" i="438" s="1"/>
  <c r="F18" i="438"/>
  <c r="A18" i="438"/>
  <c r="S25" i="438"/>
  <c r="S27" i="438" s="1"/>
  <c r="S28" i="438" s="1"/>
  <c r="K25" i="438"/>
  <c r="D25" i="438"/>
  <c r="D27" i="438" s="1"/>
  <c r="S6" i="438"/>
  <c r="S9" i="438" s="1"/>
  <c r="K6" i="438"/>
  <c r="L6" i="438" s="1"/>
  <c r="F6" i="438"/>
  <c r="S17" i="438"/>
  <c r="S23" i="438" s="1"/>
  <c r="N17" i="438"/>
  <c r="K17" i="438"/>
  <c r="K23" i="438" s="1"/>
  <c r="F17" i="438"/>
  <c r="F23" i="438" s="1"/>
  <c r="E16" i="437"/>
  <c r="G16" i="437"/>
  <c r="H16" i="437"/>
  <c r="H17" i="437" s="1"/>
  <c r="I16" i="437"/>
  <c r="J16" i="437"/>
  <c r="L16" i="437"/>
  <c r="Q16" i="437"/>
  <c r="R16" i="437"/>
  <c r="S16" i="437"/>
  <c r="W16" i="437"/>
  <c r="X16" i="437"/>
  <c r="X17" i="437" s="1"/>
  <c r="Y16" i="437"/>
  <c r="Z16" i="437"/>
  <c r="AA16" i="437"/>
  <c r="AA17" i="437" s="1"/>
  <c r="E17" i="437"/>
  <c r="D16" i="437"/>
  <c r="E12" i="437"/>
  <c r="G12" i="437"/>
  <c r="H12" i="437"/>
  <c r="I12" i="437"/>
  <c r="J12" i="437"/>
  <c r="R12" i="437"/>
  <c r="W12" i="437"/>
  <c r="X12" i="437"/>
  <c r="Y12" i="437"/>
  <c r="Z12" i="437"/>
  <c r="AA12" i="437"/>
  <c r="N11" i="437"/>
  <c r="M11" i="437"/>
  <c r="K11" i="437"/>
  <c r="L11" i="437" s="1"/>
  <c r="F11" i="437"/>
  <c r="N10" i="437"/>
  <c r="U10" i="437" s="1"/>
  <c r="V10" i="437" s="1"/>
  <c r="M10" i="437"/>
  <c r="K10" i="437"/>
  <c r="L10" i="437" s="1"/>
  <c r="F10" i="437"/>
  <c r="S9" i="437"/>
  <c r="S12" i="437" s="1"/>
  <c r="S17" i="437" s="1"/>
  <c r="N9" i="437"/>
  <c r="K9" i="437"/>
  <c r="L9" i="437" s="1"/>
  <c r="P9" i="437" s="1"/>
  <c r="F9" i="437"/>
  <c r="S8" i="437"/>
  <c r="K8" i="437"/>
  <c r="L8" i="437" s="1"/>
  <c r="P8" i="437" s="1"/>
  <c r="D8" i="437"/>
  <c r="D12" i="437" s="1"/>
  <c r="D17" i="437" s="1"/>
  <c r="Q7" i="437"/>
  <c r="S7" i="437" s="1"/>
  <c r="N7" i="437"/>
  <c r="N12" i="437" s="1"/>
  <c r="K7" i="437"/>
  <c r="F7" i="437"/>
  <c r="S15" i="437"/>
  <c r="K15" i="437"/>
  <c r="L15" i="437" s="1"/>
  <c r="P15" i="437" s="1"/>
  <c r="F15" i="437"/>
  <c r="S14" i="437"/>
  <c r="N14" i="437"/>
  <c r="N16" i="437" s="1"/>
  <c r="K14" i="437"/>
  <c r="L14" i="437" s="1"/>
  <c r="P14" i="437" s="1"/>
  <c r="F14" i="437"/>
  <c r="F16" i="437" s="1"/>
  <c r="S6" i="437"/>
  <c r="K6" i="437"/>
  <c r="L6" i="437" s="1"/>
  <c r="G6" i="437"/>
  <c r="F6" i="437"/>
  <c r="AA15" i="436"/>
  <c r="Z15" i="436"/>
  <c r="Y15" i="436"/>
  <c r="X15" i="436"/>
  <c r="V15" i="436"/>
  <c r="R15" i="436"/>
  <c r="Q15" i="436"/>
  <c r="J15" i="436"/>
  <c r="I15" i="436"/>
  <c r="H15" i="436"/>
  <c r="G15" i="436"/>
  <c r="E15" i="436"/>
  <c r="S14" i="436"/>
  <c r="K14" i="436"/>
  <c r="L14" i="436" s="1"/>
  <c r="F14" i="436"/>
  <c r="S13" i="436"/>
  <c r="N13" i="436"/>
  <c r="K13" i="436"/>
  <c r="L13" i="436" s="1"/>
  <c r="F13" i="436"/>
  <c r="S12" i="436"/>
  <c r="K12" i="436"/>
  <c r="L12" i="436" s="1"/>
  <c r="F12" i="436"/>
  <c r="S11" i="436"/>
  <c r="N11" i="436"/>
  <c r="K11" i="436"/>
  <c r="L11" i="436" s="1"/>
  <c r="P11" i="436" s="1"/>
  <c r="F11" i="436"/>
  <c r="S10" i="436"/>
  <c r="N10" i="436"/>
  <c r="K10" i="436"/>
  <c r="L10" i="436" s="1"/>
  <c r="D10" i="436"/>
  <c r="F10" i="436" s="1"/>
  <c r="S9" i="436"/>
  <c r="K9" i="436"/>
  <c r="L9" i="436" s="1"/>
  <c r="P9" i="436" s="1"/>
  <c r="F9" i="436"/>
  <c r="S8" i="436"/>
  <c r="K8" i="436"/>
  <c r="L8" i="436" s="1"/>
  <c r="P8" i="436" s="1"/>
  <c r="D8" i="436"/>
  <c r="F8" i="436" s="1"/>
  <c r="S7" i="436"/>
  <c r="N7" i="436"/>
  <c r="K7" i="436"/>
  <c r="L7" i="436" s="1"/>
  <c r="P7" i="436" s="1"/>
  <c r="D7" i="436"/>
  <c r="F7" i="436" s="1"/>
  <c r="S6" i="436"/>
  <c r="N6" i="436"/>
  <c r="K6" i="436"/>
  <c r="L6" i="436" s="1"/>
  <c r="P6" i="436" s="1"/>
  <c r="D6" i="436"/>
  <c r="F6" i="436" s="1"/>
  <c r="A6" i="436"/>
  <c r="S5" i="436"/>
  <c r="S15" i="436" s="1"/>
  <c r="N5" i="436"/>
  <c r="K5" i="436"/>
  <c r="L5" i="436" s="1"/>
  <c r="D5" i="436"/>
  <c r="D15" i="436" s="1"/>
  <c r="AB7" i="435"/>
  <c r="AA7" i="435"/>
  <c r="Z7" i="435"/>
  <c r="Y7" i="435"/>
  <c r="X7" i="435"/>
  <c r="V7" i="435"/>
  <c r="R7" i="435"/>
  <c r="Q7" i="435"/>
  <c r="J7" i="435"/>
  <c r="I7" i="435"/>
  <c r="H7" i="435"/>
  <c r="G7" i="435"/>
  <c r="E7" i="435"/>
  <c r="S6" i="435"/>
  <c r="K6" i="435"/>
  <c r="L6" i="435" s="1"/>
  <c r="P6" i="435" s="1"/>
  <c r="D6" i="435"/>
  <c r="F6" i="435" s="1"/>
  <c r="A6" i="435"/>
  <c r="S5" i="435"/>
  <c r="N5" i="435"/>
  <c r="N7" i="435" s="1"/>
  <c r="K5" i="435"/>
  <c r="D5" i="435"/>
  <c r="D7" i="435" s="1"/>
  <c r="F8" i="435" s="1"/>
  <c r="AA15" i="434"/>
  <c r="Z15" i="434"/>
  <c r="Y15" i="434"/>
  <c r="X15" i="434"/>
  <c r="R15" i="434"/>
  <c r="Q15" i="434"/>
  <c r="J15" i="434"/>
  <c r="I15" i="434"/>
  <c r="H15" i="434"/>
  <c r="G15" i="434"/>
  <c r="E15" i="434"/>
  <c r="S14" i="434"/>
  <c r="K14" i="434"/>
  <c r="L14" i="434" s="1"/>
  <c r="F14" i="434"/>
  <c r="S13" i="434"/>
  <c r="K13" i="434"/>
  <c r="L13" i="434" s="1"/>
  <c r="P13" i="434" s="1"/>
  <c r="D13" i="434"/>
  <c r="D15" i="434" s="1"/>
  <c r="F16" i="434" s="1"/>
  <c r="S12" i="434"/>
  <c r="P12" i="434"/>
  <c r="M12" i="434" s="1"/>
  <c r="K12" i="434"/>
  <c r="L12" i="434" s="1"/>
  <c r="F12" i="434"/>
  <c r="S11" i="434"/>
  <c r="N11" i="434"/>
  <c r="K11" i="434"/>
  <c r="L11" i="434" s="1"/>
  <c r="P11" i="434" s="1"/>
  <c r="F11" i="434"/>
  <c r="S10" i="434"/>
  <c r="K10" i="434"/>
  <c r="L10" i="434" s="1"/>
  <c r="P10" i="434" s="1"/>
  <c r="F10" i="434"/>
  <c r="S9" i="434"/>
  <c r="K9" i="434"/>
  <c r="L9" i="434" s="1"/>
  <c r="P9" i="434" s="1"/>
  <c r="F9" i="434"/>
  <c r="S8" i="434"/>
  <c r="L8" i="434"/>
  <c r="P8" i="434" s="1"/>
  <c r="K8" i="434"/>
  <c r="F8" i="434"/>
  <c r="S7" i="434"/>
  <c r="P7" i="434"/>
  <c r="L7" i="434"/>
  <c r="K7" i="434"/>
  <c r="F7" i="434"/>
  <c r="S6" i="434"/>
  <c r="K6" i="434"/>
  <c r="L6" i="434" s="1"/>
  <c r="P6" i="434" s="1"/>
  <c r="F6" i="434"/>
  <c r="A6" i="434"/>
  <c r="S5" i="434"/>
  <c r="N5" i="434"/>
  <c r="K5" i="434"/>
  <c r="F5" i="434"/>
  <c r="A6" i="433"/>
  <c r="B17" i="433"/>
  <c r="C17" i="433"/>
  <c r="E17" i="433"/>
  <c r="E18" i="433" s="1"/>
  <c r="G17" i="433"/>
  <c r="G18" i="433" s="1"/>
  <c r="H17" i="433"/>
  <c r="H18" i="433" s="1"/>
  <c r="I17" i="433"/>
  <c r="I18" i="433" s="1"/>
  <c r="J17" i="433"/>
  <c r="J18" i="433" s="1"/>
  <c r="N17" i="433"/>
  <c r="N18" i="433" s="1"/>
  <c r="Q17" i="433"/>
  <c r="Q18" i="433" s="1"/>
  <c r="R17" i="433"/>
  <c r="R18" i="433" s="1"/>
  <c r="V17" i="433"/>
  <c r="V18" i="433" s="1"/>
  <c r="X17" i="433"/>
  <c r="X18" i="433" s="1"/>
  <c r="Y17" i="433"/>
  <c r="Y18" i="433" s="1"/>
  <c r="Z17" i="433"/>
  <c r="Z18" i="433" s="1"/>
  <c r="AA17" i="433"/>
  <c r="AA18" i="433" s="1"/>
  <c r="AB17" i="433"/>
  <c r="AC17" i="433"/>
  <c r="B112" i="433"/>
  <c r="C112" i="433"/>
  <c r="E112" i="433"/>
  <c r="E113" i="433" s="1"/>
  <c r="G112" i="433"/>
  <c r="G113" i="433" s="1"/>
  <c r="H112" i="433"/>
  <c r="H113" i="433" s="1"/>
  <c r="I112" i="433"/>
  <c r="I113" i="433" s="1"/>
  <c r="J112" i="433"/>
  <c r="J113" i="433" s="1"/>
  <c r="N112" i="433"/>
  <c r="N113" i="433" s="1"/>
  <c r="Q112" i="433"/>
  <c r="Q113" i="433" s="1"/>
  <c r="R112" i="433"/>
  <c r="R113" i="433" s="1"/>
  <c r="V112" i="433"/>
  <c r="V113" i="433" s="1"/>
  <c r="X112" i="433"/>
  <c r="X113" i="433" s="1"/>
  <c r="Y112" i="433"/>
  <c r="Y113" i="433" s="1"/>
  <c r="Z112" i="433"/>
  <c r="Z113" i="433" s="1"/>
  <c r="AA112" i="433"/>
  <c r="AA113" i="433" s="1"/>
  <c r="AB112" i="433"/>
  <c r="AC112" i="433"/>
  <c r="B36" i="433"/>
  <c r="C36" i="433"/>
  <c r="E36" i="433"/>
  <c r="G36" i="433"/>
  <c r="H36" i="433"/>
  <c r="I36" i="433"/>
  <c r="J36" i="433"/>
  <c r="Q36" i="433"/>
  <c r="R36" i="433"/>
  <c r="V36" i="433"/>
  <c r="X36" i="433"/>
  <c r="Y36" i="433"/>
  <c r="Z36" i="433"/>
  <c r="AA36" i="433"/>
  <c r="AB36" i="433"/>
  <c r="AC36" i="433"/>
  <c r="B37" i="433"/>
  <c r="C37" i="433"/>
  <c r="D37" i="433"/>
  <c r="E37" i="433"/>
  <c r="G37" i="433"/>
  <c r="H37" i="433"/>
  <c r="I37" i="433"/>
  <c r="J37" i="433"/>
  <c r="Q37" i="433"/>
  <c r="R37" i="433"/>
  <c r="V37" i="433"/>
  <c r="X37" i="433"/>
  <c r="Y37" i="433"/>
  <c r="Z37" i="433"/>
  <c r="AA37" i="433"/>
  <c r="AB37" i="433"/>
  <c r="AC37" i="433"/>
  <c r="B38" i="433"/>
  <c r="C38" i="433"/>
  <c r="D38" i="433"/>
  <c r="E38" i="433"/>
  <c r="G38" i="433"/>
  <c r="H38" i="433"/>
  <c r="I38" i="433"/>
  <c r="J38" i="433"/>
  <c r="Q38" i="433"/>
  <c r="R38" i="433"/>
  <c r="V38" i="433"/>
  <c r="X38" i="433"/>
  <c r="Y38" i="433"/>
  <c r="Z38" i="433"/>
  <c r="AA38" i="433"/>
  <c r="AB38" i="433"/>
  <c r="AC38" i="433"/>
  <c r="B119" i="433"/>
  <c r="C119" i="433"/>
  <c r="E119" i="433"/>
  <c r="G119" i="433"/>
  <c r="H119" i="433"/>
  <c r="I119" i="433"/>
  <c r="J119" i="433"/>
  <c r="Q119" i="433"/>
  <c r="R119" i="433"/>
  <c r="V119" i="433"/>
  <c r="X119" i="433"/>
  <c r="Y119" i="433"/>
  <c r="Z119" i="433"/>
  <c r="AA119" i="433"/>
  <c r="AB119" i="433"/>
  <c r="AC119" i="433"/>
  <c r="B109" i="433"/>
  <c r="C109" i="433"/>
  <c r="E109" i="433"/>
  <c r="G109" i="433"/>
  <c r="H109" i="433"/>
  <c r="I109" i="433"/>
  <c r="J109" i="433"/>
  <c r="Q109" i="433"/>
  <c r="R109" i="433"/>
  <c r="V109" i="433"/>
  <c r="X109" i="433"/>
  <c r="Y109" i="433"/>
  <c r="Z109" i="433"/>
  <c r="AA109" i="433"/>
  <c r="AB109" i="433"/>
  <c r="AC109" i="433"/>
  <c r="B63" i="433"/>
  <c r="C63" i="433"/>
  <c r="D63" i="433"/>
  <c r="E63" i="433"/>
  <c r="G63" i="433"/>
  <c r="H63" i="433"/>
  <c r="I63" i="433"/>
  <c r="J63" i="433"/>
  <c r="Q63" i="433"/>
  <c r="R63" i="433"/>
  <c r="V63" i="433"/>
  <c r="X63" i="433"/>
  <c r="Y63" i="433"/>
  <c r="Z63" i="433"/>
  <c r="AA63" i="433"/>
  <c r="AB63" i="433"/>
  <c r="AC63" i="433"/>
  <c r="B20" i="433"/>
  <c r="C20" i="433"/>
  <c r="D20" i="433"/>
  <c r="E20" i="433"/>
  <c r="G20" i="433"/>
  <c r="H20" i="433"/>
  <c r="I20" i="433"/>
  <c r="J20" i="433"/>
  <c r="N20" i="433"/>
  <c r="Q20" i="433"/>
  <c r="R20" i="433"/>
  <c r="V20" i="433"/>
  <c r="X20" i="433"/>
  <c r="Y20" i="433"/>
  <c r="Z20" i="433"/>
  <c r="AA20" i="433"/>
  <c r="AB20" i="433"/>
  <c r="AC20" i="433"/>
  <c r="B39" i="433"/>
  <c r="C39" i="433"/>
  <c r="D39" i="433"/>
  <c r="E39" i="433"/>
  <c r="G39" i="433"/>
  <c r="H39" i="433"/>
  <c r="I39" i="433"/>
  <c r="J39" i="433"/>
  <c r="Q39" i="433"/>
  <c r="R39" i="433"/>
  <c r="V39" i="433"/>
  <c r="X39" i="433"/>
  <c r="Y39" i="433"/>
  <c r="Z39" i="433"/>
  <c r="AA39" i="433"/>
  <c r="AB39" i="433"/>
  <c r="AC39" i="433"/>
  <c r="B40" i="433"/>
  <c r="C40" i="433"/>
  <c r="E40" i="433"/>
  <c r="G40" i="433"/>
  <c r="H40" i="433"/>
  <c r="I40" i="433"/>
  <c r="J40" i="433"/>
  <c r="Q40" i="433"/>
  <c r="R40" i="433"/>
  <c r="V40" i="433"/>
  <c r="X40" i="433"/>
  <c r="Y40" i="433"/>
  <c r="Z40" i="433"/>
  <c r="AA40" i="433"/>
  <c r="AB40" i="433"/>
  <c r="AC40" i="433"/>
  <c r="B14" i="433"/>
  <c r="C14" i="433"/>
  <c r="E14" i="433"/>
  <c r="G14" i="433"/>
  <c r="H14" i="433"/>
  <c r="I14" i="433"/>
  <c r="J14" i="433"/>
  <c r="Q14" i="433"/>
  <c r="R14" i="433"/>
  <c r="V14" i="433"/>
  <c r="X14" i="433"/>
  <c r="Y14" i="433"/>
  <c r="Z14" i="433"/>
  <c r="AA14" i="433"/>
  <c r="AB14" i="433"/>
  <c r="AC14" i="433"/>
  <c r="B41" i="433"/>
  <c r="C41" i="433"/>
  <c r="E41" i="433"/>
  <c r="G41" i="433"/>
  <c r="H41" i="433"/>
  <c r="I41" i="433"/>
  <c r="J41" i="433"/>
  <c r="Q41" i="433"/>
  <c r="R41" i="433"/>
  <c r="V41" i="433"/>
  <c r="X41" i="433"/>
  <c r="Y41" i="433"/>
  <c r="Z41" i="433"/>
  <c r="AA41" i="433"/>
  <c r="AB41" i="433"/>
  <c r="AC41" i="433"/>
  <c r="B21" i="433"/>
  <c r="C21" i="433"/>
  <c r="E21" i="433"/>
  <c r="G21" i="433"/>
  <c r="H21" i="433"/>
  <c r="I21" i="433"/>
  <c r="J21" i="433"/>
  <c r="N21" i="433"/>
  <c r="Q21" i="433"/>
  <c r="R21" i="433"/>
  <c r="V21" i="433"/>
  <c r="X21" i="433"/>
  <c r="Y21" i="433"/>
  <c r="Z21" i="433"/>
  <c r="AA21" i="433"/>
  <c r="AB21" i="433"/>
  <c r="AC21" i="433"/>
  <c r="B64" i="433"/>
  <c r="C64" i="433"/>
  <c r="D64" i="433"/>
  <c r="E64" i="433"/>
  <c r="G64" i="433"/>
  <c r="H64" i="433"/>
  <c r="I64" i="433"/>
  <c r="J64" i="433"/>
  <c r="N64" i="433"/>
  <c r="Q64" i="433"/>
  <c r="R64" i="433"/>
  <c r="V64" i="433"/>
  <c r="X64" i="433"/>
  <c r="Y64" i="433"/>
  <c r="Z64" i="433"/>
  <c r="AA64" i="433"/>
  <c r="AB64" i="433"/>
  <c r="AC64" i="433"/>
  <c r="B65" i="433"/>
  <c r="C65" i="433"/>
  <c r="D65" i="433"/>
  <c r="E65" i="433"/>
  <c r="G65" i="433"/>
  <c r="H65" i="433"/>
  <c r="I65" i="433"/>
  <c r="J65" i="433"/>
  <c r="N65" i="433"/>
  <c r="Q65" i="433"/>
  <c r="R65" i="433"/>
  <c r="V65" i="433"/>
  <c r="X65" i="433"/>
  <c r="Y65" i="433"/>
  <c r="Z65" i="433"/>
  <c r="AA65" i="433"/>
  <c r="AB65" i="433"/>
  <c r="AC65" i="433"/>
  <c r="B66" i="433"/>
  <c r="C66" i="433"/>
  <c r="D66" i="433"/>
  <c r="E66" i="433"/>
  <c r="G66" i="433"/>
  <c r="H66" i="433"/>
  <c r="I66" i="433"/>
  <c r="N66" i="433"/>
  <c r="Q66" i="433"/>
  <c r="R66" i="433"/>
  <c r="V66" i="433"/>
  <c r="X66" i="433"/>
  <c r="Y66" i="433"/>
  <c r="Z66" i="433"/>
  <c r="AA66" i="433"/>
  <c r="AB66" i="433"/>
  <c r="AC66" i="433"/>
  <c r="B67" i="433"/>
  <c r="C67" i="433"/>
  <c r="E67" i="433"/>
  <c r="G67" i="433"/>
  <c r="H67" i="433"/>
  <c r="I67" i="433"/>
  <c r="J67" i="433"/>
  <c r="N67" i="433"/>
  <c r="Q67" i="433"/>
  <c r="R67" i="433"/>
  <c r="V67" i="433"/>
  <c r="X67" i="433"/>
  <c r="Y67" i="433"/>
  <c r="Z67" i="433"/>
  <c r="AA67" i="433"/>
  <c r="AB67" i="433"/>
  <c r="AC67" i="433"/>
  <c r="B32" i="433"/>
  <c r="C32" i="433"/>
  <c r="E32" i="433"/>
  <c r="G32" i="433"/>
  <c r="H32" i="433"/>
  <c r="I32" i="433"/>
  <c r="J32" i="433"/>
  <c r="Q32" i="433"/>
  <c r="R32" i="433"/>
  <c r="V32" i="433"/>
  <c r="X32" i="433"/>
  <c r="Y32" i="433"/>
  <c r="Z32" i="433"/>
  <c r="AA32" i="433"/>
  <c r="AB32" i="433"/>
  <c r="AC32" i="433"/>
  <c r="B68" i="433"/>
  <c r="C68" i="433"/>
  <c r="D68" i="433"/>
  <c r="E68" i="433"/>
  <c r="G68" i="433"/>
  <c r="H68" i="433"/>
  <c r="I68" i="433"/>
  <c r="J68" i="433"/>
  <c r="Q68" i="433"/>
  <c r="R68" i="433"/>
  <c r="V68" i="433"/>
  <c r="X68" i="433"/>
  <c r="Y68" i="433"/>
  <c r="Z68" i="433"/>
  <c r="AA68" i="433"/>
  <c r="AB68" i="433"/>
  <c r="AC68" i="433"/>
  <c r="B69" i="433"/>
  <c r="C69" i="433"/>
  <c r="D69" i="433"/>
  <c r="E69" i="433"/>
  <c r="G69" i="433"/>
  <c r="H69" i="433"/>
  <c r="I69" i="433"/>
  <c r="J69" i="433"/>
  <c r="N69" i="433"/>
  <c r="Q69" i="433"/>
  <c r="R69" i="433"/>
  <c r="V69" i="433"/>
  <c r="X69" i="433"/>
  <c r="Y69" i="433"/>
  <c r="Z69" i="433"/>
  <c r="AA69" i="433"/>
  <c r="AB69" i="433"/>
  <c r="AC69" i="433"/>
  <c r="B22" i="433"/>
  <c r="C22" i="433"/>
  <c r="D22" i="433"/>
  <c r="E22" i="433"/>
  <c r="G22" i="433"/>
  <c r="H22" i="433"/>
  <c r="I22" i="433"/>
  <c r="J22" i="433"/>
  <c r="Q22" i="433"/>
  <c r="R22" i="433"/>
  <c r="V22" i="433"/>
  <c r="X22" i="433"/>
  <c r="Y22" i="433"/>
  <c r="Z22" i="433"/>
  <c r="AA22" i="433"/>
  <c r="AB22" i="433"/>
  <c r="AC22" i="433"/>
  <c r="B70" i="433"/>
  <c r="C70" i="433"/>
  <c r="D70" i="433"/>
  <c r="E70" i="433"/>
  <c r="G70" i="433"/>
  <c r="H70" i="433"/>
  <c r="I70" i="433"/>
  <c r="J70" i="433"/>
  <c r="Q70" i="433"/>
  <c r="R70" i="433"/>
  <c r="V70" i="433"/>
  <c r="X70" i="433"/>
  <c r="Y70" i="433"/>
  <c r="Z70" i="433"/>
  <c r="AA70" i="433"/>
  <c r="AB70" i="433"/>
  <c r="AC70" i="433"/>
  <c r="B115" i="433"/>
  <c r="C115" i="433"/>
  <c r="D115" i="433"/>
  <c r="E115" i="433"/>
  <c r="G115" i="433"/>
  <c r="H115" i="433"/>
  <c r="I115" i="433"/>
  <c r="J115" i="433"/>
  <c r="Q115" i="433"/>
  <c r="R115" i="433"/>
  <c r="V115" i="433"/>
  <c r="X115" i="433"/>
  <c r="Y115" i="433"/>
  <c r="Z115" i="433"/>
  <c r="AA115" i="433"/>
  <c r="AB115" i="433"/>
  <c r="AC115" i="433"/>
  <c r="B71" i="433"/>
  <c r="C71" i="433"/>
  <c r="D71" i="433"/>
  <c r="E71" i="433"/>
  <c r="G71" i="433"/>
  <c r="H71" i="433"/>
  <c r="I71" i="433"/>
  <c r="J71" i="433"/>
  <c r="Q71" i="433"/>
  <c r="R71" i="433"/>
  <c r="V71" i="433"/>
  <c r="X71" i="433"/>
  <c r="Y71" i="433"/>
  <c r="Z71" i="433"/>
  <c r="AA71" i="433"/>
  <c r="AB71" i="433"/>
  <c r="AC71" i="433"/>
  <c r="B99" i="433"/>
  <c r="C99" i="433"/>
  <c r="D99" i="433"/>
  <c r="E99" i="433"/>
  <c r="G99" i="433"/>
  <c r="H99" i="433"/>
  <c r="I99" i="433"/>
  <c r="J99" i="433"/>
  <c r="Q99" i="433"/>
  <c r="R99" i="433"/>
  <c r="V99" i="433"/>
  <c r="X99" i="433"/>
  <c r="Y99" i="433"/>
  <c r="Z99" i="433"/>
  <c r="AA99" i="433"/>
  <c r="AB99" i="433"/>
  <c r="AC99" i="433"/>
  <c r="B47" i="433"/>
  <c r="C47" i="433"/>
  <c r="D47" i="433"/>
  <c r="E47" i="433"/>
  <c r="G47" i="433"/>
  <c r="H47" i="433"/>
  <c r="Q47" i="433"/>
  <c r="R47" i="433"/>
  <c r="V47" i="433"/>
  <c r="X47" i="433"/>
  <c r="Y47" i="433"/>
  <c r="Z47" i="433"/>
  <c r="AA47" i="433"/>
  <c r="AB47" i="433"/>
  <c r="AC47" i="433"/>
  <c r="B48" i="433"/>
  <c r="C48" i="433"/>
  <c r="D48" i="433"/>
  <c r="E48" i="433"/>
  <c r="G48" i="433"/>
  <c r="H48" i="433"/>
  <c r="I48" i="433"/>
  <c r="J48" i="433"/>
  <c r="N48" i="433"/>
  <c r="Q48" i="433"/>
  <c r="R48" i="433"/>
  <c r="V48" i="433"/>
  <c r="X48" i="433"/>
  <c r="Y48" i="433"/>
  <c r="Z48" i="433"/>
  <c r="AA48" i="433"/>
  <c r="AB48" i="433"/>
  <c r="AC48" i="433"/>
  <c r="B72" i="433"/>
  <c r="C72" i="433"/>
  <c r="E72" i="433"/>
  <c r="G72" i="433"/>
  <c r="H72" i="433"/>
  <c r="I72" i="433"/>
  <c r="J72" i="433"/>
  <c r="Q72" i="433"/>
  <c r="R72" i="433"/>
  <c r="V72" i="433"/>
  <c r="X72" i="433"/>
  <c r="Y72" i="433"/>
  <c r="Z72" i="433"/>
  <c r="AA72" i="433"/>
  <c r="AB72" i="433"/>
  <c r="AC72" i="433"/>
  <c r="B73" i="433"/>
  <c r="C73" i="433"/>
  <c r="D73" i="433"/>
  <c r="E73" i="433"/>
  <c r="G73" i="433"/>
  <c r="H73" i="433"/>
  <c r="I73" i="433"/>
  <c r="J73" i="433"/>
  <c r="N73" i="433"/>
  <c r="Q73" i="433"/>
  <c r="R73" i="433"/>
  <c r="V73" i="433"/>
  <c r="X73" i="433"/>
  <c r="Y73" i="433"/>
  <c r="Z73" i="433"/>
  <c r="AA73" i="433"/>
  <c r="AB73" i="433"/>
  <c r="AC73" i="433"/>
  <c r="B74" i="433"/>
  <c r="C74" i="433"/>
  <c r="D74" i="433"/>
  <c r="E74" i="433"/>
  <c r="G74" i="433"/>
  <c r="H74" i="433"/>
  <c r="I74" i="433"/>
  <c r="J74" i="433"/>
  <c r="N74" i="433"/>
  <c r="Q74" i="433"/>
  <c r="R74" i="433"/>
  <c r="V74" i="433"/>
  <c r="X74" i="433"/>
  <c r="Y74" i="433"/>
  <c r="Z74" i="433"/>
  <c r="AA74" i="433"/>
  <c r="AB74" i="433"/>
  <c r="AC74" i="433"/>
  <c r="B6" i="433"/>
  <c r="C6" i="433"/>
  <c r="D6" i="433"/>
  <c r="D7" i="433" s="1"/>
  <c r="E6" i="433"/>
  <c r="E7" i="433" s="1"/>
  <c r="C6" i="97" s="1"/>
  <c r="G6" i="433"/>
  <c r="G7" i="433" s="1"/>
  <c r="E6" i="97" s="1"/>
  <c r="H6" i="433"/>
  <c r="H7" i="433" s="1"/>
  <c r="F6" i="97" s="1"/>
  <c r="I6" i="433"/>
  <c r="I7" i="433" s="1"/>
  <c r="J6" i="433"/>
  <c r="J7" i="433" s="1"/>
  <c r="H6" i="97" s="1"/>
  <c r="N6" i="433"/>
  <c r="N7" i="433" s="1"/>
  <c r="L6" i="97" s="1"/>
  <c r="Q6" i="433"/>
  <c r="Q7" i="433" s="1"/>
  <c r="O6" i="97" s="1"/>
  <c r="R6" i="433"/>
  <c r="R7" i="433" s="1"/>
  <c r="P6" i="97" s="1"/>
  <c r="V6" i="433"/>
  <c r="V7" i="433" s="1"/>
  <c r="T6" i="97" s="1"/>
  <c r="X6" i="433"/>
  <c r="X7" i="433" s="1"/>
  <c r="V6" i="97" s="1"/>
  <c r="Y6" i="433"/>
  <c r="Y7" i="433" s="1"/>
  <c r="W6" i="97" s="1"/>
  <c r="Z6" i="433"/>
  <c r="Z7" i="433" s="1"/>
  <c r="AA6" i="433"/>
  <c r="AA7" i="433" s="1"/>
  <c r="Y6" i="97" s="1"/>
  <c r="AB6" i="433"/>
  <c r="AC6" i="433"/>
  <c r="B120" i="433"/>
  <c r="C120" i="433"/>
  <c r="D120" i="433"/>
  <c r="E120" i="433"/>
  <c r="G120" i="433"/>
  <c r="H120" i="433"/>
  <c r="I120" i="433"/>
  <c r="J120" i="433"/>
  <c r="Q120" i="433"/>
  <c r="R120" i="433"/>
  <c r="V120" i="433"/>
  <c r="X120" i="433"/>
  <c r="Y120" i="433"/>
  <c r="Z120" i="433"/>
  <c r="AA120" i="433"/>
  <c r="AB120" i="433"/>
  <c r="AC120" i="433"/>
  <c r="B75" i="433"/>
  <c r="C75" i="433"/>
  <c r="E75" i="433"/>
  <c r="G75" i="433"/>
  <c r="H75" i="433"/>
  <c r="I75" i="433"/>
  <c r="J75" i="433"/>
  <c r="N75" i="433"/>
  <c r="Q75" i="433"/>
  <c r="R75" i="433"/>
  <c r="V75" i="433"/>
  <c r="X75" i="433"/>
  <c r="Y75" i="433"/>
  <c r="Z75" i="433"/>
  <c r="AA75" i="433"/>
  <c r="AB75" i="433"/>
  <c r="AC75" i="433"/>
  <c r="B9" i="433"/>
  <c r="C9" i="433"/>
  <c r="D9" i="433"/>
  <c r="E9" i="433"/>
  <c r="G9" i="433"/>
  <c r="H9" i="433"/>
  <c r="I9" i="433"/>
  <c r="J9" i="433"/>
  <c r="Q9" i="433"/>
  <c r="R9" i="433"/>
  <c r="V9" i="433"/>
  <c r="X9" i="433"/>
  <c r="Y9" i="433"/>
  <c r="Z9" i="433"/>
  <c r="AA9" i="433"/>
  <c r="AB9" i="433"/>
  <c r="AC9" i="433"/>
  <c r="B76" i="433"/>
  <c r="C76" i="433"/>
  <c r="D76" i="433"/>
  <c r="E76" i="433"/>
  <c r="G76" i="433"/>
  <c r="H76" i="433"/>
  <c r="I76" i="433"/>
  <c r="J76" i="433"/>
  <c r="N76" i="433"/>
  <c r="Q76" i="433"/>
  <c r="R76" i="433"/>
  <c r="V76" i="433"/>
  <c r="X76" i="433"/>
  <c r="Y76" i="433"/>
  <c r="Z76" i="433"/>
  <c r="AA76" i="433"/>
  <c r="AB76" i="433"/>
  <c r="AC76" i="433"/>
  <c r="B42" i="433"/>
  <c r="C42" i="433"/>
  <c r="E42" i="433"/>
  <c r="G42" i="433"/>
  <c r="H42" i="433"/>
  <c r="I42" i="433"/>
  <c r="J42" i="433"/>
  <c r="Q42" i="433"/>
  <c r="R42" i="433"/>
  <c r="V42" i="433"/>
  <c r="X42" i="433"/>
  <c r="Y42" i="433"/>
  <c r="Z42" i="433"/>
  <c r="AA42" i="433"/>
  <c r="AB42" i="433"/>
  <c r="AC42" i="433"/>
  <c r="B43" i="433"/>
  <c r="C43" i="433"/>
  <c r="D43" i="433"/>
  <c r="E43" i="433"/>
  <c r="G43" i="433"/>
  <c r="H43" i="433"/>
  <c r="I43" i="433"/>
  <c r="J43" i="433"/>
  <c r="N43" i="433"/>
  <c r="Q43" i="433"/>
  <c r="R43" i="433"/>
  <c r="V43" i="433"/>
  <c r="X43" i="433"/>
  <c r="Y43" i="433"/>
  <c r="Z43" i="433"/>
  <c r="AA43" i="433"/>
  <c r="AB43" i="433"/>
  <c r="AC43" i="433"/>
  <c r="B23" i="433"/>
  <c r="C23" i="433"/>
  <c r="D23" i="433"/>
  <c r="E23" i="433"/>
  <c r="G23" i="433"/>
  <c r="H23" i="433"/>
  <c r="I23" i="433"/>
  <c r="J23" i="433"/>
  <c r="N23" i="433"/>
  <c r="Q23" i="433"/>
  <c r="R23" i="433"/>
  <c r="V23" i="433"/>
  <c r="X23" i="433"/>
  <c r="Y23" i="433"/>
  <c r="Z23" i="433"/>
  <c r="AA23" i="433"/>
  <c r="AB23" i="433"/>
  <c r="AC23" i="433"/>
  <c r="B77" i="433"/>
  <c r="C77" i="433"/>
  <c r="D77" i="433"/>
  <c r="E77" i="433"/>
  <c r="G77" i="433"/>
  <c r="H77" i="433"/>
  <c r="I77" i="433"/>
  <c r="J77" i="433"/>
  <c r="N77" i="433"/>
  <c r="Q77" i="433"/>
  <c r="R77" i="433"/>
  <c r="V77" i="433"/>
  <c r="X77" i="433"/>
  <c r="Y77" i="433"/>
  <c r="Z77" i="433"/>
  <c r="AA77" i="433"/>
  <c r="AB77" i="433"/>
  <c r="AC77" i="433"/>
  <c r="B49" i="433"/>
  <c r="C49" i="433"/>
  <c r="D49" i="433"/>
  <c r="E49" i="433"/>
  <c r="G49" i="433"/>
  <c r="H49" i="433"/>
  <c r="I49" i="433"/>
  <c r="J49" i="433"/>
  <c r="N49" i="433"/>
  <c r="Q49" i="433"/>
  <c r="R49" i="433"/>
  <c r="V49" i="433"/>
  <c r="X49" i="433"/>
  <c r="Y49" i="433"/>
  <c r="Z49" i="433"/>
  <c r="AA49" i="433"/>
  <c r="AB49" i="433"/>
  <c r="AC49" i="433"/>
  <c r="B121" i="433"/>
  <c r="C121" i="433"/>
  <c r="E121" i="433"/>
  <c r="G121" i="433"/>
  <c r="H121" i="433"/>
  <c r="I121" i="433"/>
  <c r="J121" i="433"/>
  <c r="Q121" i="433"/>
  <c r="R121" i="433"/>
  <c r="V121" i="433"/>
  <c r="X121" i="433"/>
  <c r="Y121" i="433"/>
  <c r="Z121" i="433"/>
  <c r="AA121" i="433"/>
  <c r="AB121" i="433"/>
  <c r="AC121" i="433"/>
  <c r="B78" i="433"/>
  <c r="C78" i="433"/>
  <c r="D78" i="433"/>
  <c r="E78" i="433"/>
  <c r="G78" i="433"/>
  <c r="H78" i="433"/>
  <c r="I78" i="433"/>
  <c r="J78" i="433"/>
  <c r="N78" i="433"/>
  <c r="Q78" i="433"/>
  <c r="R78" i="433"/>
  <c r="V78" i="433"/>
  <c r="X78" i="433"/>
  <c r="Y78" i="433"/>
  <c r="Z78" i="433"/>
  <c r="AA78" i="433"/>
  <c r="AB78" i="433"/>
  <c r="AC78" i="433"/>
  <c r="B79" i="433"/>
  <c r="C79" i="433"/>
  <c r="E79" i="433"/>
  <c r="G79" i="433"/>
  <c r="H79" i="433"/>
  <c r="I79" i="433"/>
  <c r="J79" i="433"/>
  <c r="N79" i="433"/>
  <c r="Q79" i="433"/>
  <c r="R79" i="433"/>
  <c r="V79" i="433"/>
  <c r="X79" i="433"/>
  <c r="Y79" i="433"/>
  <c r="Z79" i="433"/>
  <c r="AA79" i="433"/>
  <c r="AB79" i="433"/>
  <c r="AC79" i="433"/>
  <c r="B80" i="433"/>
  <c r="C80" i="433"/>
  <c r="G80" i="433"/>
  <c r="H80" i="433"/>
  <c r="I80" i="433"/>
  <c r="J80" i="433"/>
  <c r="N80" i="433"/>
  <c r="Q80" i="433"/>
  <c r="R80" i="433"/>
  <c r="V80" i="433"/>
  <c r="X80" i="433"/>
  <c r="Y80" i="433"/>
  <c r="Z80" i="433"/>
  <c r="AA80" i="433"/>
  <c r="AB80" i="433"/>
  <c r="AC80" i="433"/>
  <c r="B50" i="433"/>
  <c r="C50" i="433"/>
  <c r="D50" i="433"/>
  <c r="E50" i="433"/>
  <c r="G50" i="433"/>
  <c r="H50" i="433"/>
  <c r="I50" i="433"/>
  <c r="J50" i="433"/>
  <c r="N50" i="433"/>
  <c r="Q50" i="433"/>
  <c r="R50" i="433"/>
  <c r="V50" i="433"/>
  <c r="X50" i="433"/>
  <c r="Y50" i="433"/>
  <c r="Z50" i="433"/>
  <c r="AA50" i="433"/>
  <c r="AB50" i="433"/>
  <c r="AC50" i="433"/>
  <c r="B81" i="433"/>
  <c r="C81" i="433"/>
  <c r="E81" i="433"/>
  <c r="G81" i="433"/>
  <c r="H81" i="433"/>
  <c r="I81" i="433"/>
  <c r="J81" i="433"/>
  <c r="N81" i="433"/>
  <c r="Q81" i="433"/>
  <c r="R81" i="433"/>
  <c r="V81" i="433"/>
  <c r="X81" i="433"/>
  <c r="Y81" i="433"/>
  <c r="Z81" i="433"/>
  <c r="AA81" i="433"/>
  <c r="AB81" i="433"/>
  <c r="AC81" i="433"/>
  <c r="B82" i="433"/>
  <c r="C82" i="433"/>
  <c r="D82" i="433"/>
  <c r="E82" i="433"/>
  <c r="G82" i="433"/>
  <c r="H82" i="433"/>
  <c r="I82" i="433"/>
  <c r="J82" i="433"/>
  <c r="N82" i="433"/>
  <c r="Q82" i="433"/>
  <c r="R82" i="433"/>
  <c r="V82" i="433"/>
  <c r="X82" i="433"/>
  <c r="Y82" i="433"/>
  <c r="Z82" i="433"/>
  <c r="AA82" i="433"/>
  <c r="AB82" i="433"/>
  <c r="AC82" i="433"/>
  <c r="B100" i="433"/>
  <c r="C100" i="433"/>
  <c r="D100" i="433"/>
  <c r="E100" i="433"/>
  <c r="G100" i="433"/>
  <c r="H100" i="433"/>
  <c r="I100" i="433"/>
  <c r="J100" i="433"/>
  <c r="N100" i="433"/>
  <c r="Q100" i="433"/>
  <c r="R100" i="433"/>
  <c r="V100" i="433"/>
  <c r="X100" i="433"/>
  <c r="Y100" i="433"/>
  <c r="Z100" i="433"/>
  <c r="AA100" i="433"/>
  <c r="AB100" i="433"/>
  <c r="AC100" i="433"/>
  <c r="B83" i="433"/>
  <c r="C83" i="433"/>
  <c r="D83" i="433"/>
  <c r="E83" i="433"/>
  <c r="G83" i="433"/>
  <c r="H83" i="433"/>
  <c r="I83" i="433"/>
  <c r="J83" i="433"/>
  <c r="N83" i="433"/>
  <c r="Q83" i="433"/>
  <c r="R83" i="433"/>
  <c r="V83" i="433"/>
  <c r="X83" i="433"/>
  <c r="Y83" i="433"/>
  <c r="Z83" i="433"/>
  <c r="AA83" i="433"/>
  <c r="AB83" i="433"/>
  <c r="AC83" i="433"/>
  <c r="B24" i="433"/>
  <c r="C24" i="433"/>
  <c r="D24" i="433"/>
  <c r="E24" i="433"/>
  <c r="G24" i="433"/>
  <c r="H24" i="433"/>
  <c r="I24" i="433"/>
  <c r="J24" i="433"/>
  <c r="N24" i="433"/>
  <c r="Q24" i="433"/>
  <c r="R24" i="433"/>
  <c r="V24" i="433"/>
  <c r="X24" i="433"/>
  <c r="Y24" i="433"/>
  <c r="Z24" i="433"/>
  <c r="AA24" i="433"/>
  <c r="AB24" i="433"/>
  <c r="AC24" i="433"/>
  <c r="B51" i="433"/>
  <c r="C51" i="433"/>
  <c r="D51" i="433"/>
  <c r="E51" i="433"/>
  <c r="G51" i="433"/>
  <c r="H51" i="433"/>
  <c r="I51" i="433"/>
  <c r="J51" i="433"/>
  <c r="N51" i="433"/>
  <c r="Q51" i="433"/>
  <c r="R51" i="433"/>
  <c r="V51" i="433"/>
  <c r="X51" i="433"/>
  <c r="Y51" i="433"/>
  <c r="Z51" i="433"/>
  <c r="AA51" i="433"/>
  <c r="AB51" i="433"/>
  <c r="AC51" i="433"/>
  <c r="B25" i="433"/>
  <c r="C25" i="433"/>
  <c r="D25" i="433"/>
  <c r="E25" i="433"/>
  <c r="G25" i="433"/>
  <c r="H25" i="433"/>
  <c r="I25" i="433"/>
  <c r="J25" i="433"/>
  <c r="Q25" i="433"/>
  <c r="R25" i="433"/>
  <c r="V25" i="433"/>
  <c r="X25" i="433"/>
  <c r="Y25" i="433"/>
  <c r="Z25" i="433"/>
  <c r="AA25" i="433"/>
  <c r="AB25" i="433"/>
  <c r="AC25" i="433"/>
  <c r="B10" i="433"/>
  <c r="C10" i="433"/>
  <c r="D10" i="433"/>
  <c r="E10" i="433"/>
  <c r="G10" i="433"/>
  <c r="H10" i="433"/>
  <c r="I10" i="433"/>
  <c r="J10" i="433"/>
  <c r="Q10" i="433"/>
  <c r="R10" i="433"/>
  <c r="V10" i="433"/>
  <c r="X10" i="433"/>
  <c r="Y10" i="433"/>
  <c r="Z10" i="433"/>
  <c r="AA10" i="433"/>
  <c r="AB10" i="433"/>
  <c r="AC10" i="433"/>
  <c r="B84" i="433"/>
  <c r="C84" i="433"/>
  <c r="D84" i="433"/>
  <c r="E84" i="433"/>
  <c r="G84" i="433"/>
  <c r="H84" i="433"/>
  <c r="I84" i="433"/>
  <c r="J84" i="433"/>
  <c r="N84" i="433"/>
  <c r="Q84" i="433"/>
  <c r="R84" i="433"/>
  <c r="V84" i="433"/>
  <c r="X84" i="433"/>
  <c r="Y84" i="433"/>
  <c r="Z84" i="433"/>
  <c r="AA84" i="433"/>
  <c r="AB84" i="433"/>
  <c r="AC84" i="433"/>
  <c r="B11" i="433"/>
  <c r="C11" i="433"/>
  <c r="E11" i="433"/>
  <c r="G11" i="433"/>
  <c r="H11" i="433"/>
  <c r="I11" i="433"/>
  <c r="J11" i="433"/>
  <c r="Q11" i="433"/>
  <c r="R11" i="433"/>
  <c r="V11" i="433"/>
  <c r="X11" i="433"/>
  <c r="Y11" i="433"/>
  <c r="Z11" i="433"/>
  <c r="AA11" i="433"/>
  <c r="AB11" i="433"/>
  <c r="AC11" i="433"/>
  <c r="B26" i="433"/>
  <c r="C26" i="433"/>
  <c r="D26" i="433"/>
  <c r="E26" i="433"/>
  <c r="G26" i="433"/>
  <c r="H26" i="433"/>
  <c r="I26" i="433"/>
  <c r="J26" i="433"/>
  <c r="N26" i="433"/>
  <c r="Q26" i="433"/>
  <c r="R26" i="433"/>
  <c r="V26" i="433"/>
  <c r="X26" i="433"/>
  <c r="Y26" i="433"/>
  <c r="Z26" i="433"/>
  <c r="AA26" i="433"/>
  <c r="AB26" i="433"/>
  <c r="AC26" i="433"/>
  <c r="B107" i="433"/>
  <c r="C107" i="433"/>
  <c r="D107" i="433"/>
  <c r="E107" i="433"/>
  <c r="G107" i="433"/>
  <c r="H107" i="433"/>
  <c r="I107" i="433"/>
  <c r="J107" i="433"/>
  <c r="Q107" i="433"/>
  <c r="R107" i="433"/>
  <c r="V107" i="433"/>
  <c r="X107" i="433"/>
  <c r="Y107" i="433"/>
  <c r="Z107" i="433"/>
  <c r="AA107" i="433"/>
  <c r="AB107" i="433"/>
  <c r="AC107" i="433"/>
  <c r="B85" i="433"/>
  <c r="C85" i="433"/>
  <c r="E85" i="433"/>
  <c r="G85" i="433"/>
  <c r="H85" i="433"/>
  <c r="I85" i="433"/>
  <c r="J85" i="433"/>
  <c r="Q85" i="433"/>
  <c r="R85" i="433"/>
  <c r="V85" i="433"/>
  <c r="X85" i="433"/>
  <c r="Y85" i="433"/>
  <c r="Z85" i="433"/>
  <c r="AA85" i="433"/>
  <c r="AB85" i="433"/>
  <c r="AC85" i="433"/>
  <c r="B101" i="433"/>
  <c r="C101" i="433"/>
  <c r="D101" i="433"/>
  <c r="E101" i="433"/>
  <c r="G101" i="433"/>
  <c r="H101" i="433"/>
  <c r="I101" i="433"/>
  <c r="J101" i="433"/>
  <c r="N101" i="433"/>
  <c r="Q101" i="433"/>
  <c r="R101" i="433"/>
  <c r="V101" i="433"/>
  <c r="X101" i="433"/>
  <c r="Y101" i="433"/>
  <c r="Z101" i="433"/>
  <c r="AA101" i="433"/>
  <c r="AB101" i="433"/>
  <c r="AC101" i="433"/>
  <c r="B98" i="433"/>
  <c r="C98" i="433"/>
  <c r="E98" i="433"/>
  <c r="G98" i="433"/>
  <c r="H98" i="433"/>
  <c r="I98" i="433"/>
  <c r="J98" i="433"/>
  <c r="Q98" i="433"/>
  <c r="R98" i="433"/>
  <c r="V98" i="433"/>
  <c r="X98" i="433"/>
  <c r="Y98" i="433"/>
  <c r="Z98" i="433"/>
  <c r="AA98" i="433"/>
  <c r="AB98" i="433"/>
  <c r="AC98" i="433"/>
  <c r="B95" i="433"/>
  <c r="C95" i="433"/>
  <c r="D95" i="433"/>
  <c r="E95" i="433"/>
  <c r="G95" i="433"/>
  <c r="H95" i="433"/>
  <c r="I95" i="433"/>
  <c r="J95" i="433"/>
  <c r="N95" i="433"/>
  <c r="Q95" i="433"/>
  <c r="R95" i="433"/>
  <c r="V95" i="433"/>
  <c r="X95" i="433"/>
  <c r="Y95" i="433"/>
  <c r="Z95" i="433"/>
  <c r="AA95" i="433"/>
  <c r="AB95" i="433"/>
  <c r="AC95" i="433"/>
  <c r="B27" i="433"/>
  <c r="C27" i="433"/>
  <c r="D27" i="433"/>
  <c r="E27" i="433"/>
  <c r="G27" i="433"/>
  <c r="H27" i="433"/>
  <c r="I27" i="433"/>
  <c r="J27" i="433"/>
  <c r="N27" i="433"/>
  <c r="Q27" i="433"/>
  <c r="R27" i="433"/>
  <c r="V27" i="433"/>
  <c r="X27" i="433"/>
  <c r="Y27" i="433"/>
  <c r="Z27" i="433"/>
  <c r="AA27" i="433"/>
  <c r="AB27" i="433"/>
  <c r="AC27" i="433"/>
  <c r="B86" i="433"/>
  <c r="C86" i="433"/>
  <c r="D86" i="433"/>
  <c r="E86" i="433"/>
  <c r="G86" i="433"/>
  <c r="H86" i="433"/>
  <c r="I86" i="433"/>
  <c r="J86" i="433"/>
  <c r="N86" i="433"/>
  <c r="Q86" i="433"/>
  <c r="R86" i="433"/>
  <c r="V86" i="433"/>
  <c r="X86" i="433"/>
  <c r="Y86" i="433"/>
  <c r="Z86" i="433"/>
  <c r="AA86" i="433"/>
  <c r="AB86" i="433"/>
  <c r="AC86" i="433"/>
  <c r="B92" i="433"/>
  <c r="C92" i="433"/>
  <c r="E92" i="433"/>
  <c r="G92" i="433"/>
  <c r="H92" i="433"/>
  <c r="I92" i="433"/>
  <c r="J92" i="433"/>
  <c r="Q92" i="433"/>
  <c r="R92" i="433"/>
  <c r="V92" i="433"/>
  <c r="X92" i="433"/>
  <c r="Y92" i="433"/>
  <c r="Z92" i="433"/>
  <c r="AA92" i="433"/>
  <c r="AB92" i="433"/>
  <c r="AC92" i="433"/>
  <c r="B33" i="433"/>
  <c r="C33" i="433"/>
  <c r="D33" i="433"/>
  <c r="E33" i="433"/>
  <c r="G33" i="433"/>
  <c r="H33" i="433"/>
  <c r="I33" i="433"/>
  <c r="J33" i="433"/>
  <c r="Q33" i="433"/>
  <c r="R33" i="433"/>
  <c r="V33" i="433"/>
  <c r="X33" i="433"/>
  <c r="Y33" i="433"/>
  <c r="Z33" i="433"/>
  <c r="AA33" i="433"/>
  <c r="AB33" i="433"/>
  <c r="AC33" i="433"/>
  <c r="B52" i="433"/>
  <c r="C52" i="433"/>
  <c r="D52" i="433"/>
  <c r="E52" i="433"/>
  <c r="G52" i="433"/>
  <c r="H52" i="433"/>
  <c r="I52" i="433"/>
  <c r="J52" i="433"/>
  <c r="N52" i="433"/>
  <c r="Q52" i="433"/>
  <c r="R52" i="433"/>
  <c r="V52" i="433"/>
  <c r="X52" i="433"/>
  <c r="Y52" i="433"/>
  <c r="Z52" i="433"/>
  <c r="AA52" i="433"/>
  <c r="AB52" i="433"/>
  <c r="AC52" i="433"/>
  <c r="B102" i="433"/>
  <c r="C102" i="433"/>
  <c r="D102" i="433"/>
  <c r="E102" i="433"/>
  <c r="G102" i="433"/>
  <c r="H102" i="433"/>
  <c r="I102" i="433"/>
  <c r="J102" i="433"/>
  <c r="N102" i="433"/>
  <c r="Q102" i="433"/>
  <c r="R102" i="433"/>
  <c r="V102" i="433"/>
  <c r="X102" i="433"/>
  <c r="Y102" i="433"/>
  <c r="Z102" i="433"/>
  <c r="AA102" i="433"/>
  <c r="AB102" i="433"/>
  <c r="AC102" i="433"/>
  <c r="B53" i="433"/>
  <c r="C53" i="433"/>
  <c r="D53" i="433"/>
  <c r="E53" i="433"/>
  <c r="G53" i="433"/>
  <c r="H53" i="433"/>
  <c r="I53" i="433"/>
  <c r="J53" i="433"/>
  <c r="Q53" i="433"/>
  <c r="R53" i="433"/>
  <c r="V53" i="433"/>
  <c r="X53" i="433"/>
  <c r="Y53" i="433"/>
  <c r="Z53" i="433"/>
  <c r="AA53" i="433"/>
  <c r="AB53" i="433"/>
  <c r="AC53" i="433"/>
  <c r="B87" i="433"/>
  <c r="C87" i="433"/>
  <c r="D87" i="433"/>
  <c r="E87" i="433"/>
  <c r="G87" i="433"/>
  <c r="H87" i="433"/>
  <c r="I87" i="433"/>
  <c r="J87" i="433"/>
  <c r="N87" i="433"/>
  <c r="Q87" i="433"/>
  <c r="R87" i="433"/>
  <c r="V87" i="433"/>
  <c r="X87" i="433"/>
  <c r="Y87" i="433"/>
  <c r="Z87" i="433"/>
  <c r="AA87" i="433"/>
  <c r="AB87" i="433"/>
  <c r="AC87" i="433"/>
  <c r="B122" i="433"/>
  <c r="C122" i="433"/>
  <c r="E122" i="433"/>
  <c r="G122" i="433"/>
  <c r="H122" i="433"/>
  <c r="I122" i="433"/>
  <c r="J122" i="433"/>
  <c r="N122" i="433"/>
  <c r="Q122" i="433"/>
  <c r="R122" i="433"/>
  <c r="V122" i="433"/>
  <c r="X122" i="433"/>
  <c r="Y122" i="433"/>
  <c r="Z122" i="433"/>
  <c r="AA122" i="433"/>
  <c r="AB122" i="433"/>
  <c r="AC122" i="433"/>
  <c r="B88" i="433"/>
  <c r="C88" i="433"/>
  <c r="D88" i="433"/>
  <c r="E88" i="433"/>
  <c r="G88" i="433"/>
  <c r="H88" i="433"/>
  <c r="I88" i="433"/>
  <c r="J88" i="433"/>
  <c r="N88" i="433"/>
  <c r="Q88" i="433"/>
  <c r="R88" i="433"/>
  <c r="V88" i="433"/>
  <c r="X88" i="433"/>
  <c r="Y88" i="433"/>
  <c r="Z88" i="433"/>
  <c r="AA88" i="433"/>
  <c r="AB88" i="433"/>
  <c r="AC88" i="433"/>
  <c r="B89" i="433"/>
  <c r="C89" i="433"/>
  <c r="D89" i="433"/>
  <c r="E89" i="433"/>
  <c r="G89" i="433"/>
  <c r="H89" i="433"/>
  <c r="I89" i="433"/>
  <c r="J89" i="433"/>
  <c r="N89" i="433"/>
  <c r="Q89" i="433"/>
  <c r="R89" i="433"/>
  <c r="V89" i="433"/>
  <c r="X89" i="433"/>
  <c r="Y89" i="433"/>
  <c r="Z89" i="433"/>
  <c r="AA89" i="433"/>
  <c r="AB89" i="433"/>
  <c r="AC89" i="433"/>
  <c r="B108" i="433"/>
  <c r="C108" i="433"/>
  <c r="D108" i="433"/>
  <c r="E108" i="433"/>
  <c r="G108" i="433"/>
  <c r="H108" i="433"/>
  <c r="I108" i="433"/>
  <c r="J108" i="433"/>
  <c r="N108" i="433"/>
  <c r="Q108" i="433"/>
  <c r="R108" i="433"/>
  <c r="V108" i="433"/>
  <c r="X108" i="433"/>
  <c r="Y108" i="433"/>
  <c r="Z108" i="433"/>
  <c r="AA108" i="433"/>
  <c r="AB108" i="433"/>
  <c r="AC108" i="433"/>
  <c r="B116" i="433"/>
  <c r="C116" i="433"/>
  <c r="D116" i="433"/>
  <c r="E116" i="433"/>
  <c r="G116" i="433"/>
  <c r="H116" i="433"/>
  <c r="I116" i="433"/>
  <c r="J116" i="433"/>
  <c r="N116" i="433"/>
  <c r="Q116" i="433"/>
  <c r="R116" i="433"/>
  <c r="V116" i="433"/>
  <c r="X116" i="433"/>
  <c r="Y116" i="433"/>
  <c r="Z116" i="433"/>
  <c r="AA116" i="433"/>
  <c r="AB116" i="433"/>
  <c r="AC116" i="433"/>
  <c r="B103" i="433"/>
  <c r="C103" i="433"/>
  <c r="D103" i="433"/>
  <c r="E103" i="433"/>
  <c r="G103" i="433"/>
  <c r="H103" i="433"/>
  <c r="I103" i="433"/>
  <c r="J103" i="433"/>
  <c r="N103" i="433"/>
  <c r="Q103" i="433"/>
  <c r="R103" i="433"/>
  <c r="V103" i="433"/>
  <c r="X103" i="433"/>
  <c r="Y103" i="433"/>
  <c r="Z103" i="433"/>
  <c r="AA103" i="433"/>
  <c r="AB103" i="433"/>
  <c r="AC103" i="433"/>
  <c r="B28" i="433"/>
  <c r="C28" i="433"/>
  <c r="D28" i="433"/>
  <c r="E28" i="433"/>
  <c r="G28" i="433"/>
  <c r="H28" i="433"/>
  <c r="I28" i="433"/>
  <c r="J28" i="433"/>
  <c r="N28" i="433"/>
  <c r="Q28" i="433"/>
  <c r="R28" i="433"/>
  <c r="V28" i="433"/>
  <c r="X28" i="433"/>
  <c r="Y28" i="433"/>
  <c r="Z28" i="433"/>
  <c r="AA28" i="433"/>
  <c r="AB28" i="433"/>
  <c r="AC28" i="433"/>
  <c r="B12" i="433"/>
  <c r="C12" i="433"/>
  <c r="D12" i="433"/>
  <c r="E12" i="433"/>
  <c r="G12" i="433"/>
  <c r="H12" i="433"/>
  <c r="I12" i="433"/>
  <c r="J12" i="433"/>
  <c r="N12" i="433"/>
  <c r="Q12" i="433"/>
  <c r="R12" i="433"/>
  <c r="V12" i="433"/>
  <c r="X12" i="433"/>
  <c r="Y12" i="433"/>
  <c r="Z12" i="433"/>
  <c r="AA12" i="433"/>
  <c r="AB12" i="433"/>
  <c r="AC12" i="433"/>
  <c r="B29" i="433"/>
  <c r="C29" i="433"/>
  <c r="E29" i="433"/>
  <c r="G29" i="433"/>
  <c r="H29" i="433"/>
  <c r="I29" i="433"/>
  <c r="J29" i="433"/>
  <c r="Q29" i="433"/>
  <c r="R29" i="433"/>
  <c r="V29" i="433"/>
  <c r="X29" i="433"/>
  <c r="Y29" i="433"/>
  <c r="Z29" i="433"/>
  <c r="AA29" i="433"/>
  <c r="AB29" i="433"/>
  <c r="AC29" i="433"/>
  <c r="B30" i="433"/>
  <c r="C30" i="433"/>
  <c r="D30" i="433"/>
  <c r="E30" i="433"/>
  <c r="G30" i="433"/>
  <c r="H30" i="433"/>
  <c r="I30" i="433"/>
  <c r="J30" i="433"/>
  <c r="Q30" i="433"/>
  <c r="R30" i="433"/>
  <c r="V30" i="433"/>
  <c r="X30" i="433"/>
  <c r="Y30" i="433"/>
  <c r="Z30" i="433"/>
  <c r="AA30" i="433"/>
  <c r="AB30" i="433"/>
  <c r="AC30" i="433"/>
  <c r="B34" i="433"/>
  <c r="C34" i="433"/>
  <c r="D34" i="433"/>
  <c r="E34" i="433"/>
  <c r="G34" i="433"/>
  <c r="H34" i="433"/>
  <c r="I34" i="433"/>
  <c r="J34" i="433"/>
  <c r="Q34" i="433"/>
  <c r="R34" i="433"/>
  <c r="V34" i="433"/>
  <c r="X34" i="433"/>
  <c r="Y34" i="433"/>
  <c r="Z34" i="433"/>
  <c r="AA34" i="433"/>
  <c r="AB34" i="433"/>
  <c r="AC34" i="433"/>
  <c r="B54" i="433"/>
  <c r="C54" i="433"/>
  <c r="D54" i="433"/>
  <c r="E54" i="433"/>
  <c r="G54" i="433"/>
  <c r="H54" i="433"/>
  <c r="I54" i="433"/>
  <c r="J54" i="433"/>
  <c r="N54" i="433"/>
  <c r="Q54" i="433"/>
  <c r="R54" i="433"/>
  <c r="V54" i="433"/>
  <c r="X54" i="433"/>
  <c r="Y54" i="433"/>
  <c r="Z54" i="433"/>
  <c r="AA54" i="433"/>
  <c r="AB54" i="433"/>
  <c r="AC54" i="433"/>
  <c r="B55" i="433"/>
  <c r="C55" i="433"/>
  <c r="D55" i="433"/>
  <c r="E55" i="433"/>
  <c r="G55" i="433"/>
  <c r="H55" i="433"/>
  <c r="I55" i="433"/>
  <c r="J55" i="433"/>
  <c r="N55" i="433"/>
  <c r="Q55" i="433"/>
  <c r="R55" i="433"/>
  <c r="V55" i="433"/>
  <c r="X55" i="433"/>
  <c r="Y55" i="433"/>
  <c r="Z55" i="433"/>
  <c r="AA55" i="433"/>
  <c r="AB55" i="433"/>
  <c r="AC55" i="433"/>
  <c r="B56" i="433"/>
  <c r="C56" i="433"/>
  <c r="D56" i="433"/>
  <c r="E56" i="433"/>
  <c r="G56" i="433"/>
  <c r="H56" i="433"/>
  <c r="I56" i="433"/>
  <c r="J56" i="433"/>
  <c r="N56" i="433"/>
  <c r="Q56" i="433"/>
  <c r="R56" i="433"/>
  <c r="V56" i="433"/>
  <c r="X56" i="433"/>
  <c r="Y56" i="433"/>
  <c r="Z56" i="433"/>
  <c r="AA56" i="433"/>
  <c r="AB56" i="433"/>
  <c r="AC56" i="433"/>
  <c r="B35" i="433"/>
  <c r="C35" i="433"/>
  <c r="E35" i="433"/>
  <c r="G35" i="433"/>
  <c r="H35" i="433"/>
  <c r="I35" i="433"/>
  <c r="J35" i="433"/>
  <c r="Q35" i="433"/>
  <c r="R35" i="433"/>
  <c r="V35" i="433"/>
  <c r="X35" i="433"/>
  <c r="Y35" i="433"/>
  <c r="Z35" i="433"/>
  <c r="AA35" i="433"/>
  <c r="AB35" i="433"/>
  <c r="AC35" i="433"/>
  <c r="B96" i="433"/>
  <c r="C96" i="433"/>
  <c r="E96" i="433"/>
  <c r="G96" i="433"/>
  <c r="H96" i="433"/>
  <c r="I96" i="433"/>
  <c r="J96" i="433"/>
  <c r="Q96" i="433"/>
  <c r="R96" i="433"/>
  <c r="V96" i="433"/>
  <c r="X96" i="433"/>
  <c r="Y96" i="433"/>
  <c r="Z96" i="433"/>
  <c r="AA96" i="433"/>
  <c r="AB96" i="433"/>
  <c r="AC96" i="433"/>
  <c r="B123" i="433"/>
  <c r="C123" i="433"/>
  <c r="D123" i="433"/>
  <c r="E123" i="433"/>
  <c r="G123" i="433"/>
  <c r="H123" i="433"/>
  <c r="I123" i="433"/>
  <c r="J123" i="433"/>
  <c r="N123" i="433"/>
  <c r="Q123" i="433"/>
  <c r="R123" i="433"/>
  <c r="V123" i="433"/>
  <c r="X123" i="433"/>
  <c r="Y123" i="433"/>
  <c r="Z123" i="433"/>
  <c r="AA123" i="433"/>
  <c r="AB123" i="433"/>
  <c r="AC123" i="433"/>
  <c r="B31" i="433"/>
  <c r="C31" i="433"/>
  <c r="D31" i="433"/>
  <c r="E31" i="433"/>
  <c r="G31" i="433"/>
  <c r="H31" i="433"/>
  <c r="I31" i="433"/>
  <c r="J31" i="433"/>
  <c r="Q31" i="433"/>
  <c r="R31" i="433"/>
  <c r="V31" i="433"/>
  <c r="X31" i="433"/>
  <c r="Y31" i="433"/>
  <c r="Z31" i="433"/>
  <c r="AA31" i="433"/>
  <c r="AB31" i="433"/>
  <c r="AC31" i="433"/>
  <c r="B13" i="433"/>
  <c r="C13" i="433"/>
  <c r="D13" i="433"/>
  <c r="E13" i="433"/>
  <c r="G13" i="433"/>
  <c r="H13" i="433"/>
  <c r="I13" i="433"/>
  <c r="J13" i="433"/>
  <c r="N13" i="433"/>
  <c r="Q13" i="433"/>
  <c r="R13" i="433"/>
  <c r="V13" i="433"/>
  <c r="X13" i="433"/>
  <c r="Y13" i="433"/>
  <c r="Z13" i="433"/>
  <c r="AA13" i="433"/>
  <c r="AB13" i="433"/>
  <c r="AC13" i="433"/>
  <c r="B97" i="433"/>
  <c r="C97" i="433"/>
  <c r="D97" i="433"/>
  <c r="E97" i="433"/>
  <c r="G97" i="433"/>
  <c r="H97" i="433"/>
  <c r="I97" i="433"/>
  <c r="J97" i="433"/>
  <c r="N97" i="433"/>
  <c r="Q97" i="433"/>
  <c r="R97" i="433"/>
  <c r="V97" i="433"/>
  <c r="X97" i="433"/>
  <c r="Y97" i="433"/>
  <c r="Z97" i="433"/>
  <c r="AA97" i="433"/>
  <c r="AB97" i="433"/>
  <c r="AC97" i="433"/>
  <c r="B44" i="433"/>
  <c r="C44" i="433"/>
  <c r="D44" i="433"/>
  <c r="E44" i="433"/>
  <c r="G44" i="433"/>
  <c r="H44" i="433"/>
  <c r="I44" i="433"/>
  <c r="J44" i="433"/>
  <c r="Q44" i="433"/>
  <c r="R44" i="433"/>
  <c r="V44" i="433"/>
  <c r="X44" i="433"/>
  <c r="Y44" i="433"/>
  <c r="Z44" i="433"/>
  <c r="AA44" i="433"/>
  <c r="AB44" i="433"/>
  <c r="AC44" i="433"/>
  <c r="B93" i="433"/>
  <c r="C93" i="433"/>
  <c r="E93" i="433"/>
  <c r="G93" i="433"/>
  <c r="H93" i="433"/>
  <c r="I93" i="433"/>
  <c r="J93" i="433"/>
  <c r="Q93" i="433"/>
  <c r="R93" i="433"/>
  <c r="V93" i="433"/>
  <c r="X93" i="433"/>
  <c r="Y93" i="433"/>
  <c r="Z93" i="433"/>
  <c r="AA93" i="433"/>
  <c r="AB93" i="433"/>
  <c r="AC93" i="433"/>
  <c r="B124" i="433"/>
  <c r="C124" i="433"/>
  <c r="D124" i="433"/>
  <c r="E124" i="433"/>
  <c r="G124" i="433"/>
  <c r="H124" i="433"/>
  <c r="I124" i="433"/>
  <c r="J124" i="433"/>
  <c r="Q124" i="433"/>
  <c r="R124" i="433"/>
  <c r="V124" i="433"/>
  <c r="X124" i="433"/>
  <c r="Y124" i="433"/>
  <c r="Z124" i="433"/>
  <c r="AA124" i="433"/>
  <c r="AB124" i="433"/>
  <c r="AC124" i="433"/>
  <c r="B57" i="433"/>
  <c r="C57" i="433"/>
  <c r="D57" i="433"/>
  <c r="E57" i="433"/>
  <c r="G57" i="433"/>
  <c r="H57" i="433"/>
  <c r="I57" i="433"/>
  <c r="J57" i="433"/>
  <c r="N57" i="433"/>
  <c r="Q57" i="433"/>
  <c r="R57" i="433"/>
  <c r="V57" i="433"/>
  <c r="X57" i="433"/>
  <c r="Y57" i="433"/>
  <c r="Z57" i="433"/>
  <c r="AA57" i="433"/>
  <c r="AB57" i="433"/>
  <c r="AC57" i="433"/>
  <c r="B104" i="433"/>
  <c r="C104" i="433"/>
  <c r="E104" i="433"/>
  <c r="G104" i="433"/>
  <c r="H104" i="433"/>
  <c r="I104" i="433"/>
  <c r="J104" i="433"/>
  <c r="Q104" i="433"/>
  <c r="R104" i="433"/>
  <c r="V104" i="433"/>
  <c r="X104" i="433"/>
  <c r="Y104" i="433"/>
  <c r="Z104" i="433"/>
  <c r="AA104" i="433"/>
  <c r="AB104" i="433"/>
  <c r="AC104" i="433"/>
  <c r="B94" i="433"/>
  <c r="C94" i="433"/>
  <c r="D94" i="433"/>
  <c r="E94" i="433"/>
  <c r="G94" i="433"/>
  <c r="H94" i="433"/>
  <c r="I94" i="433"/>
  <c r="J94" i="433"/>
  <c r="N94" i="433"/>
  <c r="Q94" i="433"/>
  <c r="R94" i="433"/>
  <c r="V94" i="433"/>
  <c r="X94" i="433"/>
  <c r="Y94" i="433"/>
  <c r="Z94" i="433"/>
  <c r="AA94" i="433"/>
  <c r="AB94" i="433"/>
  <c r="AC94" i="433"/>
  <c r="C60" i="433"/>
  <c r="D60" i="433"/>
  <c r="D61" i="433" s="1"/>
  <c r="B17" i="97" s="1"/>
  <c r="E60" i="433"/>
  <c r="E61" i="433" s="1"/>
  <c r="C17" i="97" s="1"/>
  <c r="G60" i="433"/>
  <c r="G61" i="433" s="1"/>
  <c r="E17" i="97" s="1"/>
  <c r="H60" i="433"/>
  <c r="H61" i="433" s="1"/>
  <c r="F17" i="97" s="1"/>
  <c r="I60" i="433"/>
  <c r="I61" i="433" s="1"/>
  <c r="G17" i="97" s="1"/>
  <c r="J60" i="433"/>
  <c r="J61" i="433" s="1"/>
  <c r="H17" i="97" s="1"/>
  <c r="N60" i="433"/>
  <c r="N61" i="433" s="1"/>
  <c r="L17" i="97" s="1"/>
  <c r="Q60" i="433"/>
  <c r="Q61" i="433" s="1"/>
  <c r="O17" i="97" s="1"/>
  <c r="R60" i="433"/>
  <c r="R61" i="433" s="1"/>
  <c r="P17" i="97" s="1"/>
  <c r="V60" i="433"/>
  <c r="V61" i="433" s="1"/>
  <c r="T17" i="97" s="1"/>
  <c r="W60" i="433"/>
  <c r="W61" i="433" s="1"/>
  <c r="U17" i="97" s="1"/>
  <c r="X60" i="433"/>
  <c r="X61" i="433" s="1"/>
  <c r="V17" i="97" s="1"/>
  <c r="Y60" i="433"/>
  <c r="Y61" i="433" s="1"/>
  <c r="W17" i="97" s="1"/>
  <c r="Z60" i="433"/>
  <c r="Z61" i="433" s="1"/>
  <c r="X17" i="97" s="1"/>
  <c r="AB60" i="433"/>
  <c r="AC60" i="433"/>
  <c r="B60" i="433"/>
  <c r="X145" i="432"/>
  <c r="G129" i="432"/>
  <c r="E13" i="97" s="1"/>
  <c r="G75" i="432"/>
  <c r="I75" i="432"/>
  <c r="Q75" i="432"/>
  <c r="W75" i="432"/>
  <c r="Y75" i="432"/>
  <c r="D75" i="432"/>
  <c r="Q72" i="432"/>
  <c r="Y72" i="432"/>
  <c r="B104" i="432"/>
  <c r="B58" i="432"/>
  <c r="B59" i="432"/>
  <c r="B128" i="432"/>
  <c r="B131" i="432"/>
  <c r="B14" i="432"/>
  <c r="B15" i="432"/>
  <c r="B122" i="432"/>
  <c r="B123" i="432"/>
  <c r="B144" i="432"/>
  <c r="B140" i="432"/>
  <c r="B16" i="432"/>
  <c r="B60" i="432"/>
  <c r="C19" i="432"/>
  <c r="D19" i="432"/>
  <c r="E19" i="432"/>
  <c r="G19" i="432"/>
  <c r="H19" i="432"/>
  <c r="I19" i="432"/>
  <c r="J19" i="432"/>
  <c r="Q19" i="432"/>
  <c r="R19" i="432"/>
  <c r="W19" i="432"/>
  <c r="X19" i="432"/>
  <c r="Y19" i="432"/>
  <c r="Z19" i="432"/>
  <c r="AA19" i="432"/>
  <c r="AB19" i="432"/>
  <c r="AC19" i="432"/>
  <c r="C74" i="432"/>
  <c r="D74" i="432"/>
  <c r="E74" i="432"/>
  <c r="E75" i="432" s="1"/>
  <c r="G74" i="432"/>
  <c r="H74" i="432"/>
  <c r="H75" i="432" s="1"/>
  <c r="I74" i="432"/>
  <c r="J74" i="432"/>
  <c r="J75" i="432" s="1"/>
  <c r="Q74" i="432"/>
  <c r="R74" i="432"/>
  <c r="R75" i="432" s="1"/>
  <c r="W74" i="432"/>
  <c r="X74" i="432"/>
  <c r="X75" i="432" s="1"/>
  <c r="Y74" i="432"/>
  <c r="Z74" i="432"/>
  <c r="Z75" i="432" s="1"/>
  <c r="AB74" i="432"/>
  <c r="AC74" i="432"/>
  <c r="C20" i="432"/>
  <c r="E20" i="432"/>
  <c r="G20" i="432"/>
  <c r="H20" i="432"/>
  <c r="I20" i="432"/>
  <c r="J20" i="432"/>
  <c r="Q20" i="432"/>
  <c r="R20" i="432"/>
  <c r="W20" i="432"/>
  <c r="X20" i="432"/>
  <c r="Y20" i="432"/>
  <c r="Z20" i="432"/>
  <c r="AA20" i="432"/>
  <c r="AB20" i="432"/>
  <c r="AC20" i="432"/>
  <c r="C21" i="432"/>
  <c r="D21" i="432"/>
  <c r="E21" i="432"/>
  <c r="G21" i="432"/>
  <c r="H21" i="432"/>
  <c r="I21" i="432"/>
  <c r="J21" i="432"/>
  <c r="N21" i="432"/>
  <c r="Q21" i="432"/>
  <c r="R21" i="432"/>
  <c r="W21" i="432"/>
  <c r="X21" i="432"/>
  <c r="Y21" i="432"/>
  <c r="Z21" i="432"/>
  <c r="AA21" i="432"/>
  <c r="AB21" i="432"/>
  <c r="AC21" i="432"/>
  <c r="C22" i="432"/>
  <c r="D22" i="432"/>
  <c r="E22" i="432"/>
  <c r="G22" i="432"/>
  <c r="H22" i="432"/>
  <c r="I22" i="432"/>
  <c r="J22" i="432"/>
  <c r="Q22" i="432"/>
  <c r="R22" i="432"/>
  <c r="W22" i="432"/>
  <c r="X22" i="432"/>
  <c r="Y22" i="432"/>
  <c r="Z22" i="432"/>
  <c r="AA22" i="432"/>
  <c r="AB22" i="432"/>
  <c r="AC22" i="432"/>
  <c r="C23" i="432"/>
  <c r="E23" i="432"/>
  <c r="G23" i="432"/>
  <c r="H23" i="432"/>
  <c r="I23" i="432"/>
  <c r="J23" i="432"/>
  <c r="Q23" i="432"/>
  <c r="R23" i="432"/>
  <c r="W23" i="432"/>
  <c r="X23" i="432"/>
  <c r="Y23" i="432"/>
  <c r="Z23" i="432"/>
  <c r="AA23" i="432"/>
  <c r="AB23" i="432"/>
  <c r="AC23" i="432"/>
  <c r="C24" i="432"/>
  <c r="D24" i="432"/>
  <c r="E24" i="432"/>
  <c r="G24" i="432"/>
  <c r="H24" i="432"/>
  <c r="I24" i="432"/>
  <c r="J24" i="432"/>
  <c r="N24" i="432"/>
  <c r="Q24" i="432"/>
  <c r="R24" i="432"/>
  <c r="W24" i="432"/>
  <c r="X24" i="432"/>
  <c r="Y24" i="432"/>
  <c r="Z24" i="432"/>
  <c r="AA24" i="432"/>
  <c r="AB24" i="432"/>
  <c r="AC24" i="432"/>
  <c r="C113" i="432"/>
  <c r="D113" i="432"/>
  <c r="E113" i="432"/>
  <c r="G113" i="432"/>
  <c r="H113" i="432"/>
  <c r="I113" i="432"/>
  <c r="J113" i="432"/>
  <c r="N113" i="432"/>
  <c r="Q113" i="432"/>
  <c r="R113" i="432"/>
  <c r="W113" i="432"/>
  <c r="X113" i="432"/>
  <c r="Y113" i="432"/>
  <c r="Z113" i="432"/>
  <c r="AA113" i="432"/>
  <c r="AB113" i="432"/>
  <c r="AC113" i="432"/>
  <c r="C70" i="432"/>
  <c r="D70" i="432"/>
  <c r="D72" i="432" s="1"/>
  <c r="E70" i="432"/>
  <c r="E72" i="432" s="1"/>
  <c r="G70" i="432"/>
  <c r="H70" i="432"/>
  <c r="I70" i="432"/>
  <c r="I72" i="432" s="1"/>
  <c r="J70" i="432"/>
  <c r="N70" i="432"/>
  <c r="Q70" i="432"/>
  <c r="R70" i="432"/>
  <c r="W70" i="432"/>
  <c r="X70" i="432"/>
  <c r="Y70" i="432"/>
  <c r="Z70" i="432"/>
  <c r="AA70" i="432"/>
  <c r="AA72" i="432" s="1"/>
  <c r="AB70" i="432"/>
  <c r="AC70" i="432"/>
  <c r="C25" i="432"/>
  <c r="D25" i="432"/>
  <c r="E25" i="432"/>
  <c r="H25" i="432"/>
  <c r="I25" i="432"/>
  <c r="J25" i="432"/>
  <c r="Q25" i="432"/>
  <c r="R25" i="432"/>
  <c r="W25" i="432"/>
  <c r="X25" i="432"/>
  <c r="Y25" i="432"/>
  <c r="Z25" i="432"/>
  <c r="AA25" i="432"/>
  <c r="AB25" i="432"/>
  <c r="AC25" i="432"/>
  <c r="C26" i="432"/>
  <c r="E26" i="432"/>
  <c r="G26" i="432"/>
  <c r="H26" i="432"/>
  <c r="I26" i="432"/>
  <c r="J26" i="432"/>
  <c r="Q26" i="432"/>
  <c r="R26" i="432"/>
  <c r="W26" i="432"/>
  <c r="X26" i="432"/>
  <c r="Y26" i="432"/>
  <c r="Z26" i="432"/>
  <c r="AA26" i="432"/>
  <c r="AB26" i="432"/>
  <c r="AC26" i="432"/>
  <c r="C27" i="432"/>
  <c r="D27" i="432"/>
  <c r="E27" i="432"/>
  <c r="G27" i="432"/>
  <c r="H27" i="432"/>
  <c r="I27" i="432"/>
  <c r="J27" i="432"/>
  <c r="Q27" i="432"/>
  <c r="R27" i="432"/>
  <c r="W27" i="432"/>
  <c r="X27" i="432"/>
  <c r="Y27" i="432"/>
  <c r="Z27" i="432"/>
  <c r="AA27" i="432"/>
  <c r="AB27" i="432"/>
  <c r="AC27" i="432"/>
  <c r="C6" i="432"/>
  <c r="D6" i="432"/>
  <c r="E6" i="432"/>
  <c r="G6" i="432"/>
  <c r="H6" i="432"/>
  <c r="I6" i="432"/>
  <c r="J6" i="432"/>
  <c r="Q6" i="432"/>
  <c r="R6" i="432"/>
  <c r="W6" i="432"/>
  <c r="X6" i="432"/>
  <c r="Y6" i="432"/>
  <c r="Z6" i="432"/>
  <c r="AA6" i="432"/>
  <c r="AB6" i="432"/>
  <c r="AC6" i="432"/>
  <c r="C28" i="432"/>
  <c r="D28" i="432"/>
  <c r="E28" i="432"/>
  <c r="G28" i="432"/>
  <c r="H28" i="432"/>
  <c r="I28" i="432"/>
  <c r="J28" i="432"/>
  <c r="Q28" i="432"/>
  <c r="R28" i="432"/>
  <c r="W28" i="432"/>
  <c r="X28" i="432"/>
  <c r="Y28" i="432"/>
  <c r="Z28" i="432"/>
  <c r="AA28" i="432"/>
  <c r="AB28" i="432"/>
  <c r="AC28" i="432"/>
  <c r="C29" i="432"/>
  <c r="D29" i="432"/>
  <c r="E29" i="432"/>
  <c r="G29" i="432"/>
  <c r="H29" i="432"/>
  <c r="I29" i="432"/>
  <c r="J29" i="432"/>
  <c r="Q29" i="432"/>
  <c r="R29" i="432"/>
  <c r="W29" i="432"/>
  <c r="X29" i="432"/>
  <c r="Y29" i="432"/>
  <c r="Z29" i="432"/>
  <c r="AA29" i="432"/>
  <c r="AB29" i="432"/>
  <c r="AC29" i="432"/>
  <c r="C7" i="432"/>
  <c r="D7" i="432"/>
  <c r="E7" i="432"/>
  <c r="G7" i="432"/>
  <c r="H7" i="432"/>
  <c r="I7" i="432"/>
  <c r="J7" i="432"/>
  <c r="N7" i="432"/>
  <c r="Q7" i="432"/>
  <c r="R7" i="432"/>
  <c r="W7" i="432"/>
  <c r="X7" i="432"/>
  <c r="Y7" i="432"/>
  <c r="Z7" i="432"/>
  <c r="AA7" i="432"/>
  <c r="AB7" i="432"/>
  <c r="AC7" i="432"/>
  <c r="C8" i="432"/>
  <c r="E8" i="432"/>
  <c r="G8" i="432"/>
  <c r="H8" i="432"/>
  <c r="I8" i="432"/>
  <c r="J8" i="432"/>
  <c r="N8" i="432"/>
  <c r="Q8" i="432"/>
  <c r="R8" i="432"/>
  <c r="W8" i="432"/>
  <c r="X8" i="432"/>
  <c r="Y8" i="432"/>
  <c r="Z8" i="432"/>
  <c r="AA8" i="432"/>
  <c r="AB8" i="432"/>
  <c r="AC8" i="432"/>
  <c r="C30" i="432"/>
  <c r="E30" i="432"/>
  <c r="G30" i="432"/>
  <c r="H30" i="432"/>
  <c r="I30" i="432"/>
  <c r="J30" i="432"/>
  <c r="N30" i="432"/>
  <c r="Q30" i="432"/>
  <c r="R30" i="432"/>
  <c r="W30" i="432"/>
  <c r="X30" i="432"/>
  <c r="Y30" i="432"/>
  <c r="Z30" i="432"/>
  <c r="AA30" i="432"/>
  <c r="AB30" i="432"/>
  <c r="AC30" i="432"/>
  <c r="C63" i="432"/>
  <c r="D63" i="432"/>
  <c r="E63" i="432"/>
  <c r="G63" i="432"/>
  <c r="H63" i="432"/>
  <c r="I63" i="432"/>
  <c r="J63" i="432"/>
  <c r="N63" i="432"/>
  <c r="Q63" i="432"/>
  <c r="R63" i="432"/>
  <c r="W63" i="432"/>
  <c r="X63" i="432"/>
  <c r="Y63" i="432"/>
  <c r="Z63" i="432"/>
  <c r="AA63" i="432"/>
  <c r="AB63" i="432"/>
  <c r="AC63" i="432"/>
  <c r="C107" i="432"/>
  <c r="D107" i="432"/>
  <c r="E107" i="432"/>
  <c r="G107" i="432"/>
  <c r="H107" i="432"/>
  <c r="I107" i="432"/>
  <c r="J107" i="432"/>
  <c r="N107" i="432"/>
  <c r="Q107" i="432"/>
  <c r="R107" i="432"/>
  <c r="W107" i="432"/>
  <c r="X107" i="432"/>
  <c r="Y107" i="432"/>
  <c r="Z107" i="432"/>
  <c r="AA107" i="432"/>
  <c r="AB107" i="432"/>
  <c r="AC107" i="432"/>
  <c r="C108" i="432"/>
  <c r="D108" i="432"/>
  <c r="E108" i="432"/>
  <c r="G108" i="432"/>
  <c r="H108" i="432"/>
  <c r="I108" i="432"/>
  <c r="J108" i="432"/>
  <c r="Q108" i="432"/>
  <c r="R108" i="432"/>
  <c r="W108" i="432"/>
  <c r="X108" i="432"/>
  <c r="Y108" i="432"/>
  <c r="Z108" i="432"/>
  <c r="AA108" i="432"/>
  <c r="AB108" i="432"/>
  <c r="AC108" i="432"/>
  <c r="C31" i="432"/>
  <c r="D31" i="432"/>
  <c r="E31" i="432"/>
  <c r="G31" i="432"/>
  <c r="H31" i="432"/>
  <c r="I31" i="432"/>
  <c r="J31" i="432"/>
  <c r="Q31" i="432"/>
  <c r="R31" i="432"/>
  <c r="W31" i="432"/>
  <c r="X31" i="432"/>
  <c r="Y31" i="432"/>
  <c r="Z31" i="432"/>
  <c r="AA31" i="432"/>
  <c r="AB31" i="432"/>
  <c r="AC31" i="432"/>
  <c r="C114" i="432"/>
  <c r="D114" i="432"/>
  <c r="E114" i="432"/>
  <c r="G114" i="432"/>
  <c r="H114" i="432"/>
  <c r="I114" i="432"/>
  <c r="N114" i="432"/>
  <c r="Q114" i="432"/>
  <c r="R114" i="432"/>
  <c r="W114" i="432"/>
  <c r="X114" i="432"/>
  <c r="Y114" i="432"/>
  <c r="Z114" i="432"/>
  <c r="AA114" i="432"/>
  <c r="AB114" i="432"/>
  <c r="AC114" i="432"/>
  <c r="C77" i="432"/>
  <c r="D77" i="432"/>
  <c r="E77" i="432"/>
  <c r="G77" i="432"/>
  <c r="H77" i="432"/>
  <c r="I77" i="432"/>
  <c r="J77" i="432"/>
  <c r="Q77" i="432"/>
  <c r="R77" i="432"/>
  <c r="W77" i="432"/>
  <c r="X77" i="432"/>
  <c r="Y77" i="432"/>
  <c r="Z77" i="432"/>
  <c r="AA77" i="432"/>
  <c r="AB77" i="432"/>
  <c r="AC77" i="432"/>
  <c r="C78" i="432"/>
  <c r="D78" i="432"/>
  <c r="E78" i="432"/>
  <c r="G78" i="432"/>
  <c r="H78" i="432"/>
  <c r="I78" i="432"/>
  <c r="J78" i="432"/>
  <c r="N78" i="432"/>
  <c r="Q78" i="432"/>
  <c r="R78" i="432"/>
  <c r="W78" i="432"/>
  <c r="X78" i="432"/>
  <c r="Y78" i="432"/>
  <c r="Z78" i="432"/>
  <c r="AA78" i="432"/>
  <c r="AB78" i="432"/>
  <c r="AC78" i="432"/>
  <c r="C79" i="432"/>
  <c r="D79" i="432"/>
  <c r="E79" i="432"/>
  <c r="G79" i="432"/>
  <c r="H79" i="432"/>
  <c r="I79" i="432"/>
  <c r="J79" i="432"/>
  <c r="R79" i="432"/>
  <c r="W79" i="432"/>
  <c r="X79" i="432"/>
  <c r="Y79" i="432"/>
  <c r="Z79" i="432"/>
  <c r="AA79" i="432"/>
  <c r="AB79" i="432"/>
  <c r="AC79" i="432"/>
  <c r="C80" i="432"/>
  <c r="D80" i="432"/>
  <c r="E80" i="432"/>
  <c r="G80" i="432"/>
  <c r="H80" i="432"/>
  <c r="I80" i="432"/>
  <c r="J80" i="432"/>
  <c r="N80" i="432"/>
  <c r="Q80" i="432"/>
  <c r="R80" i="432"/>
  <c r="W80" i="432"/>
  <c r="X80" i="432"/>
  <c r="Y80" i="432"/>
  <c r="Z80" i="432"/>
  <c r="AA80" i="432"/>
  <c r="AB80" i="432"/>
  <c r="AC80" i="432"/>
  <c r="C32" i="432"/>
  <c r="D32" i="432"/>
  <c r="E32" i="432"/>
  <c r="G32" i="432"/>
  <c r="H32" i="432"/>
  <c r="I32" i="432"/>
  <c r="J32" i="432"/>
  <c r="N32" i="432"/>
  <c r="Q32" i="432"/>
  <c r="R32" i="432"/>
  <c r="W32" i="432"/>
  <c r="X32" i="432"/>
  <c r="Y32" i="432"/>
  <c r="Z32" i="432"/>
  <c r="AA32" i="432"/>
  <c r="AB32" i="432"/>
  <c r="AC32" i="432"/>
  <c r="C115" i="432"/>
  <c r="D115" i="432"/>
  <c r="E115" i="432"/>
  <c r="G115" i="432"/>
  <c r="H115" i="432"/>
  <c r="I115" i="432"/>
  <c r="J115" i="432"/>
  <c r="N115" i="432"/>
  <c r="Q115" i="432"/>
  <c r="R115" i="432"/>
  <c r="W115" i="432"/>
  <c r="X115" i="432"/>
  <c r="Y115" i="432"/>
  <c r="Z115" i="432"/>
  <c r="AA115" i="432"/>
  <c r="AB115" i="432"/>
  <c r="AC115" i="432"/>
  <c r="C81" i="432"/>
  <c r="D81" i="432"/>
  <c r="E81" i="432"/>
  <c r="G81" i="432"/>
  <c r="H81" i="432"/>
  <c r="I81" i="432"/>
  <c r="J81" i="432"/>
  <c r="W81" i="432"/>
  <c r="X81" i="432"/>
  <c r="Y81" i="432"/>
  <c r="Z81" i="432"/>
  <c r="AA81" i="432"/>
  <c r="AB81" i="432"/>
  <c r="AC81" i="432"/>
  <c r="C82" i="432"/>
  <c r="D82" i="432"/>
  <c r="E82" i="432"/>
  <c r="G82" i="432"/>
  <c r="H82" i="432"/>
  <c r="I82" i="432"/>
  <c r="J82" i="432"/>
  <c r="N82" i="432"/>
  <c r="Q82" i="432"/>
  <c r="R82" i="432"/>
  <c r="W82" i="432"/>
  <c r="X82" i="432"/>
  <c r="Y82" i="432"/>
  <c r="Z82" i="432"/>
  <c r="AA82" i="432"/>
  <c r="AB82" i="432"/>
  <c r="AC82" i="432"/>
  <c r="C33" i="432"/>
  <c r="D33" i="432"/>
  <c r="E33" i="432"/>
  <c r="G33" i="432"/>
  <c r="H33" i="432"/>
  <c r="I33" i="432"/>
  <c r="J33" i="432"/>
  <c r="N33" i="432"/>
  <c r="Q33" i="432"/>
  <c r="R33" i="432"/>
  <c r="W33" i="432"/>
  <c r="X33" i="432"/>
  <c r="Y33" i="432"/>
  <c r="Z33" i="432"/>
  <c r="AA33" i="432"/>
  <c r="AB33" i="432"/>
  <c r="AC33" i="432"/>
  <c r="C83" i="432"/>
  <c r="D83" i="432"/>
  <c r="E83" i="432"/>
  <c r="G83" i="432"/>
  <c r="H83" i="432"/>
  <c r="I83" i="432"/>
  <c r="J83" i="432"/>
  <c r="R83" i="432"/>
  <c r="W83" i="432"/>
  <c r="X83" i="432"/>
  <c r="Y83" i="432"/>
  <c r="Z83" i="432"/>
  <c r="AA83" i="432"/>
  <c r="AB83" i="432"/>
  <c r="AC83" i="432"/>
  <c r="C84" i="432"/>
  <c r="E84" i="432"/>
  <c r="G84" i="432"/>
  <c r="H84" i="432"/>
  <c r="I84" i="432"/>
  <c r="J84" i="432"/>
  <c r="Q84" i="432"/>
  <c r="R84" i="432"/>
  <c r="W84" i="432"/>
  <c r="X84" i="432"/>
  <c r="Y84" i="432"/>
  <c r="Z84" i="432"/>
  <c r="AA84" i="432"/>
  <c r="AB84" i="432"/>
  <c r="AC84" i="432"/>
  <c r="C34" i="432"/>
  <c r="D34" i="432"/>
  <c r="E34" i="432"/>
  <c r="G34" i="432"/>
  <c r="H34" i="432"/>
  <c r="I34" i="432"/>
  <c r="J34" i="432"/>
  <c r="R34" i="432"/>
  <c r="W34" i="432"/>
  <c r="X34" i="432"/>
  <c r="Y34" i="432"/>
  <c r="Z34" i="432"/>
  <c r="AA34" i="432"/>
  <c r="AB34" i="432"/>
  <c r="AC34" i="432"/>
  <c r="C35" i="432"/>
  <c r="D35" i="432"/>
  <c r="E35" i="432"/>
  <c r="G35" i="432"/>
  <c r="H35" i="432"/>
  <c r="I35" i="432"/>
  <c r="J35" i="432"/>
  <c r="R35" i="432"/>
  <c r="W35" i="432"/>
  <c r="X35" i="432"/>
  <c r="Y35" i="432"/>
  <c r="Z35" i="432"/>
  <c r="AA35" i="432"/>
  <c r="AB35" i="432"/>
  <c r="AC35" i="432"/>
  <c r="C36" i="432"/>
  <c r="D36" i="432"/>
  <c r="E36" i="432"/>
  <c r="G36" i="432"/>
  <c r="H36" i="432"/>
  <c r="I36" i="432"/>
  <c r="J36" i="432"/>
  <c r="Q36" i="432"/>
  <c r="R36" i="432"/>
  <c r="W36" i="432"/>
  <c r="X36" i="432"/>
  <c r="Y36" i="432"/>
  <c r="Z36" i="432"/>
  <c r="AA36" i="432"/>
  <c r="AB36" i="432"/>
  <c r="AC36" i="432"/>
  <c r="C37" i="432"/>
  <c r="D37" i="432"/>
  <c r="E37" i="432"/>
  <c r="G37" i="432"/>
  <c r="H37" i="432"/>
  <c r="I37" i="432"/>
  <c r="J37" i="432"/>
  <c r="N37" i="432"/>
  <c r="Q37" i="432"/>
  <c r="R37" i="432"/>
  <c r="W37" i="432"/>
  <c r="X37" i="432"/>
  <c r="Y37" i="432"/>
  <c r="Z37" i="432"/>
  <c r="AA37" i="432"/>
  <c r="AB37" i="432"/>
  <c r="AC37" i="432"/>
  <c r="C85" i="432"/>
  <c r="D85" i="432"/>
  <c r="E85" i="432"/>
  <c r="G85" i="432"/>
  <c r="H85" i="432"/>
  <c r="I85" i="432"/>
  <c r="J85" i="432"/>
  <c r="N85" i="432"/>
  <c r="Q85" i="432"/>
  <c r="R85" i="432"/>
  <c r="W85" i="432"/>
  <c r="X85" i="432"/>
  <c r="Y85" i="432"/>
  <c r="Z85" i="432"/>
  <c r="AA85" i="432"/>
  <c r="AB85" i="432"/>
  <c r="AC85" i="432"/>
  <c r="C109" i="432"/>
  <c r="D109" i="432"/>
  <c r="E109" i="432"/>
  <c r="G109" i="432"/>
  <c r="H109" i="432"/>
  <c r="I109" i="432"/>
  <c r="J109" i="432"/>
  <c r="Q109" i="432"/>
  <c r="R109" i="432"/>
  <c r="W109" i="432"/>
  <c r="X109" i="432"/>
  <c r="Y109" i="432"/>
  <c r="Z109" i="432"/>
  <c r="AA109" i="432"/>
  <c r="AB109" i="432"/>
  <c r="AC109" i="432"/>
  <c r="C38" i="432"/>
  <c r="D38" i="432"/>
  <c r="E38" i="432"/>
  <c r="G38" i="432"/>
  <c r="H38" i="432"/>
  <c r="I38" i="432"/>
  <c r="J38" i="432"/>
  <c r="N38" i="432"/>
  <c r="Q38" i="432"/>
  <c r="R38" i="432"/>
  <c r="W38" i="432"/>
  <c r="X38" i="432"/>
  <c r="Y38" i="432"/>
  <c r="Z38" i="432"/>
  <c r="AA38" i="432"/>
  <c r="AB38" i="432"/>
  <c r="AC38" i="432"/>
  <c r="C86" i="432"/>
  <c r="D86" i="432"/>
  <c r="E86" i="432"/>
  <c r="G86" i="432"/>
  <c r="H86" i="432"/>
  <c r="I86" i="432"/>
  <c r="J86" i="432"/>
  <c r="N86" i="432"/>
  <c r="R86" i="432"/>
  <c r="W86" i="432"/>
  <c r="X86" i="432"/>
  <c r="Y86" i="432"/>
  <c r="Z86" i="432"/>
  <c r="AA86" i="432"/>
  <c r="AB86" i="432"/>
  <c r="AC86" i="432"/>
  <c r="C116" i="432"/>
  <c r="E116" i="432"/>
  <c r="G116" i="432"/>
  <c r="H116" i="432"/>
  <c r="I116" i="432"/>
  <c r="J116" i="432"/>
  <c r="Q116" i="432"/>
  <c r="R116" i="432"/>
  <c r="W116" i="432"/>
  <c r="X116" i="432"/>
  <c r="Y116" i="432"/>
  <c r="Z116" i="432"/>
  <c r="AA116" i="432"/>
  <c r="AB116" i="432"/>
  <c r="AC116" i="432"/>
  <c r="C134" i="432"/>
  <c r="D134" i="432"/>
  <c r="E134" i="432"/>
  <c r="G134" i="432"/>
  <c r="H134" i="432"/>
  <c r="I134" i="432"/>
  <c r="J134" i="432"/>
  <c r="N134" i="432"/>
  <c r="Q134" i="432"/>
  <c r="R134" i="432"/>
  <c r="W134" i="432"/>
  <c r="X134" i="432"/>
  <c r="X137" i="432" s="1"/>
  <c r="Y134" i="432"/>
  <c r="Z134" i="432"/>
  <c r="AA134" i="432"/>
  <c r="AB134" i="432"/>
  <c r="AC134" i="432"/>
  <c r="C39" i="432"/>
  <c r="E39" i="432"/>
  <c r="G39" i="432"/>
  <c r="H39" i="432"/>
  <c r="I39" i="432"/>
  <c r="J39" i="432"/>
  <c r="N39" i="432"/>
  <c r="Q39" i="432"/>
  <c r="R39" i="432"/>
  <c r="W39" i="432"/>
  <c r="X39" i="432"/>
  <c r="Y39" i="432"/>
  <c r="Z39" i="432"/>
  <c r="AA39" i="432"/>
  <c r="AB39" i="432"/>
  <c r="AC39" i="432"/>
  <c r="C87" i="432"/>
  <c r="D87" i="432"/>
  <c r="E87" i="432"/>
  <c r="G87" i="432"/>
  <c r="H87" i="432"/>
  <c r="I87" i="432"/>
  <c r="J87" i="432"/>
  <c r="R87" i="432"/>
  <c r="W87" i="432"/>
  <c r="X87" i="432"/>
  <c r="Y87" i="432"/>
  <c r="Z87" i="432"/>
  <c r="AA87" i="432"/>
  <c r="AB87" i="432"/>
  <c r="AC87" i="432"/>
  <c r="C110" i="432"/>
  <c r="D110" i="432"/>
  <c r="E110" i="432"/>
  <c r="G110" i="432"/>
  <c r="H110" i="432"/>
  <c r="I110" i="432"/>
  <c r="J110" i="432"/>
  <c r="N110" i="432"/>
  <c r="Q110" i="432"/>
  <c r="R110" i="432"/>
  <c r="W110" i="432"/>
  <c r="X110" i="432"/>
  <c r="Y110" i="432"/>
  <c r="Z110" i="432"/>
  <c r="AA110" i="432"/>
  <c r="AB110" i="432"/>
  <c r="AC110" i="432"/>
  <c r="C126" i="432"/>
  <c r="D126" i="432"/>
  <c r="E126" i="432"/>
  <c r="G126" i="432"/>
  <c r="H126" i="432"/>
  <c r="I126" i="432"/>
  <c r="J126" i="432"/>
  <c r="Q126" i="432"/>
  <c r="X126" i="432"/>
  <c r="X129" i="432" s="1"/>
  <c r="V13" i="97" s="1"/>
  <c r="Y126" i="432"/>
  <c r="Z126" i="432"/>
  <c r="AB126" i="432"/>
  <c r="AC126" i="432"/>
  <c r="C40" i="432"/>
  <c r="D40" i="432"/>
  <c r="E40" i="432"/>
  <c r="G40" i="432"/>
  <c r="H40" i="432"/>
  <c r="I40" i="432"/>
  <c r="J40" i="432"/>
  <c r="N40" i="432"/>
  <c r="Q40" i="432"/>
  <c r="R40" i="432"/>
  <c r="W40" i="432"/>
  <c r="X40" i="432"/>
  <c r="Y40" i="432"/>
  <c r="Z40" i="432"/>
  <c r="AA40" i="432"/>
  <c r="AB40" i="432"/>
  <c r="AC40" i="432"/>
  <c r="C41" i="432"/>
  <c r="D41" i="432"/>
  <c r="E41" i="432"/>
  <c r="G41" i="432"/>
  <c r="H41" i="432"/>
  <c r="I41" i="432"/>
  <c r="J41" i="432"/>
  <c r="Q41" i="432"/>
  <c r="R41" i="432"/>
  <c r="W41" i="432"/>
  <c r="X41" i="432"/>
  <c r="Y41" i="432"/>
  <c r="Z41" i="432"/>
  <c r="AA41" i="432"/>
  <c r="AB41" i="432"/>
  <c r="AC41" i="432"/>
  <c r="C42" i="432"/>
  <c r="D42" i="432"/>
  <c r="E42" i="432"/>
  <c r="G42" i="432"/>
  <c r="H42" i="432"/>
  <c r="I42" i="432"/>
  <c r="J42" i="432"/>
  <c r="Q42" i="432"/>
  <c r="R42" i="432"/>
  <c r="W42" i="432"/>
  <c r="X42" i="432"/>
  <c r="Y42" i="432"/>
  <c r="Z42" i="432"/>
  <c r="AA42" i="432"/>
  <c r="AB42" i="432"/>
  <c r="AC42" i="432"/>
  <c r="C9" i="432"/>
  <c r="E9" i="432"/>
  <c r="G9" i="432"/>
  <c r="H9" i="432"/>
  <c r="I9" i="432"/>
  <c r="J9" i="432"/>
  <c r="Q9" i="432"/>
  <c r="R9" i="432"/>
  <c r="W9" i="432"/>
  <c r="X9" i="432"/>
  <c r="Y9" i="432"/>
  <c r="Z9" i="432"/>
  <c r="AA9" i="432"/>
  <c r="AB9" i="432"/>
  <c r="AC9" i="432"/>
  <c r="C64" i="432"/>
  <c r="D64" i="432"/>
  <c r="E64" i="432"/>
  <c r="G64" i="432"/>
  <c r="H64" i="432"/>
  <c r="I64" i="432"/>
  <c r="J64" i="432"/>
  <c r="N64" i="432"/>
  <c r="Q64" i="432"/>
  <c r="R64" i="432"/>
  <c r="W64" i="432"/>
  <c r="X64" i="432"/>
  <c r="Y64" i="432"/>
  <c r="Z64" i="432"/>
  <c r="AA64" i="432"/>
  <c r="AB64" i="432"/>
  <c r="AC64" i="432"/>
  <c r="C43" i="432"/>
  <c r="E43" i="432"/>
  <c r="G43" i="432"/>
  <c r="H43" i="432"/>
  <c r="I43" i="432"/>
  <c r="J43" i="432"/>
  <c r="N43" i="432"/>
  <c r="Q43" i="432"/>
  <c r="R43" i="432"/>
  <c r="W43" i="432"/>
  <c r="X43" i="432"/>
  <c r="Y43" i="432"/>
  <c r="Z43" i="432"/>
  <c r="AA43" i="432"/>
  <c r="AB43" i="432"/>
  <c r="AC43" i="432"/>
  <c r="C71" i="432"/>
  <c r="D71" i="432"/>
  <c r="E71" i="432"/>
  <c r="G71" i="432"/>
  <c r="G72" i="432" s="1"/>
  <c r="H71" i="432"/>
  <c r="I71" i="432"/>
  <c r="J71" i="432"/>
  <c r="Q71" i="432"/>
  <c r="R71" i="432"/>
  <c r="W71" i="432"/>
  <c r="W72" i="432" s="1"/>
  <c r="X71" i="432"/>
  <c r="Y71" i="432"/>
  <c r="Z71" i="432"/>
  <c r="AA71" i="432"/>
  <c r="AB71" i="432"/>
  <c r="AC71" i="432"/>
  <c r="C88" i="432"/>
  <c r="D88" i="432"/>
  <c r="E88" i="432"/>
  <c r="G88" i="432"/>
  <c r="H88" i="432"/>
  <c r="I88" i="432"/>
  <c r="J88" i="432"/>
  <c r="N88" i="432"/>
  <c r="Q88" i="432"/>
  <c r="R88" i="432"/>
  <c r="W88" i="432"/>
  <c r="X88" i="432"/>
  <c r="Y88" i="432"/>
  <c r="Z88" i="432"/>
  <c r="AA88" i="432"/>
  <c r="AB88" i="432"/>
  <c r="AC88" i="432"/>
  <c r="C65" i="432"/>
  <c r="D65" i="432"/>
  <c r="E65" i="432"/>
  <c r="G65" i="432"/>
  <c r="H65" i="432"/>
  <c r="I65" i="432"/>
  <c r="J65" i="432"/>
  <c r="N65" i="432"/>
  <c r="Q65" i="432"/>
  <c r="R65" i="432"/>
  <c r="W65" i="432"/>
  <c r="X65" i="432"/>
  <c r="Y65" i="432"/>
  <c r="Z65" i="432"/>
  <c r="AA65" i="432"/>
  <c r="AB65" i="432"/>
  <c r="AC65" i="432"/>
  <c r="C44" i="432"/>
  <c r="D44" i="432"/>
  <c r="E44" i="432"/>
  <c r="G44" i="432"/>
  <c r="H44" i="432"/>
  <c r="I44" i="432"/>
  <c r="J44" i="432"/>
  <c r="Q44" i="432"/>
  <c r="W44" i="432"/>
  <c r="X44" i="432"/>
  <c r="Y44" i="432"/>
  <c r="Z44" i="432"/>
  <c r="AA44" i="432"/>
  <c r="AB44" i="432"/>
  <c r="AC44" i="432"/>
  <c r="C89" i="432"/>
  <c r="E89" i="432"/>
  <c r="G89" i="432"/>
  <c r="H89" i="432"/>
  <c r="I89" i="432"/>
  <c r="J89" i="432"/>
  <c r="Q89" i="432"/>
  <c r="R89" i="432"/>
  <c r="W89" i="432"/>
  <c r="X89" i="432"/>
  <c r="Y89" i="432"/>
  <c r="Z89" i="432"/>
  <c r="AA89" i="432"/>
  <c r="AB89" i="432"/>
  <c r="AC89" i="432"/>
  <c r="C117" i="432"/>
  <c r="D117" i="432"/>
  <c r="E117" i="432"/>
  <c r="G117" i="432"/>
  <c r="H117" i="432"/>
  <c r="I117" i="432"/>
  <c r="J117" i="432"/>
  <c r="N117" i="432"/>
  <c r="Q117" i="432"/>
  <c r="R117" i="432"/>
  <c r="W117" i="432"/>
  <c r="X117" i="432"/>
  <c r="Y117" i="432"/>
  <c r="Z117" i="432"/>
  <c r="AA117" i="432"/>
  <c r="AB117" i="432"/>
  <c r="AC117" i="432"/>
  <c r="C90" i="432"/>
  <c r="E90" i="432"/>
  <c r="G90" i="432"/>
  <c r="H90" i="432"/>
  <c r="I90" i="432"/>
  <c r="J90" i="432"/>
  <c r="N90" i="432"/>
  <c r="R90" i="432"/>
  <c r="W90" i="432"/>
  <c r="X90" i="432"/>
  <c r="Y90" i="432"/>
  <c r="Z90" i="432"/>
  <c r="AA90" i="432"/>
  <c r="AB90" i="432"/>
  <c r="AC90" i="432"/>
  <c r="C10" i="432"/>
  <c r="E10" i="432"/>
  <c r="G10" i="432"/>
  <c r="H10" i="432"/>
  <c r="I10" i="432"/>
  <c r="J10" i="432"/>
  <c r="Q10" i="432"/>
  <c r="R10" i="432"/>
  <c r="W10" i="432"/>
  <c r="X10" i="432"/>
  <c r="Y10" i="432"/>
  <c r="Z10" i="432"/>
  <c r="AA10" i="432"/>
  <c r="AB10" i="432"/>
  <c r="AC10" i="432"/>
  <c r="C91" i="432"/>
  <c r="D91" i="432"/>
  <c r="E91" i="432"/>
  <c r="G91" i="432"/>
  <c r="H91" i="432"/>
  <c r="I91" i="432"/>
  <c r="J91" i="432"/>
  <c r="N91" i="432"/>
  <c r="R91" i="432"/>
  <c r="W91" i="432"/>
  <c r="X91" i="432"/>
  <c r="Y91" i="432"/>
  <c r="Z91" i="432"/>
  <c r="AA91" i="432"/>
  <c r="AB91" i="432"/>
  <c r="AC91" i="432"/>
  <c r="C92" i="432"/>
  <c r="D92" i="432"/>
  <c r="E92" i="432"/>
  <c r="G92" i="432"/>
  <c r="H92" i="432"/>
  <c r="I92" i="432"/>
  <c r="J92" i="432"/>
  <c r="R92" i="432"/>
  <c r="W92" i="432"/>
  <c r="X92" i="432"/>
  <c r="Y92" i="432"/>
  <c r="Z92" i="432"/>
  <c r="AB92" i="432"/>
  <c r="AC92" i="432"/>
  <c r="C45" i="432"/>
  <c r="D45" i="432"/>
  <c r="E45" i="432"/>
  <c r="G45" i="432"/>
  <c r="H45" i="432"/>
  <c r="I45" i="432"/>
  <c r="J45" i="432"/>
  <c r="N45" i="432"/>
  <c r="Q45" i="432"/>
  <c r="R45" i="432"/>
  <c r="W45" i="432"/>
  <c r="X45" i="432"/>
  <c r="Y45" i="432"/>
  <c r="Z45" i="432"/>
  <c r="AA45" i="432"/>
  <c r="AB45" i="432"/>
  <c r="AC45" i="432"/>
  <c r="C46" i="432"/>
  <c r="D46" i="432"/>
  <c r="E46" i="432"/>
  <c r="G46" i="432"/>
  <c r="H46" i="432"/>
  <c r="I46" i="432"/>
  <c r="J46" i="432"/>
  <c r="N46" i="432"/>
  <c r="Q46" i="432"/>
  <c r="R46" i="432"/>
  <c r="W46" i="432"/>
  <c r="X46" i="432"/>
  <c r="Y46" i="432"/>
  <c r="Z46" i="432"/>
  <c r="AA46" i="432"/>
  <c r="AB46" i="432"/>
  <c r="AC46" i="432"/>
  <c r="C47" i="432"/>
  <c r="D47" i="432"/>
  <c r="E47" i="432"/>
  <c r="G47" i="432"/>
  <c r="H47" i="432"/>
  <c r="I47" i="432"/>
  <c r="J47" i="432"/>
  <c r="N47" i="432"/>
  <c r="Q47" i="432"/>
  <c r="R47" i="432"/>
  <c r="W47" i="432"/>
  <c r="X47" i="432"/>
  <c r="Y47" i="432"/>
  <c r="Z47" i="432"/>
  <c r="AA47" i="432"/>
  <c r="AB47" i="432"/>
  <c r="AC47" i="432"/>
  <c r="C48" i="432"/>
  <c r="D48" i="432"/>
  <c r="E48" i="432"/>
  <c r="G48" i="432"/>
  <c r="H48" i="432"/>
  <c r="I48" i="432"/>
  <c r="J48" i="432"/>
  <c r="Q48" i="432"/>
  <c r="R48" i="432"/>
  <c r="W48" i="432"/>
  <c r="X48" i="432"/>
  <c r="Y48" i="432"/>
  <c r="Z48" i="432"/>
  <c r="AA48" i="432"/>
  <c r="AB48" i="432"/>
  <c r="AC48" i="432"/>
  <c r="C49" i="432"/>
  <c r="D49" i="432"/>
  <c r="E49" i="432"/>
  <c r="G49" i="432"/>
  <c r="H49" i="432"/>
  <c r="I49" i="432"/>
  <c r="J49" i="432"/>
  <c r="N49" i="432"/>
  <c r="Q49" i="432"/>
  <c r="R49" i="432"/>
  <c r="W49" i="432"/>
  <c r="X49" i="432"/>
  <c r="Y49" i="432"/>
  <c r="Z49" i="432"/>
  <c r="AA49" i="432"/>
  <c r="AB49" i="432"/>
  <c r="AC49" i="432"/>
  <c r="C50" i="432"/>
  <c r="D50" i="432"/>
  <c r="E50" i="432"/>
  <c r="G50" i="432"/>
  <c r="H50" i="432"/>
  <c r="I50" i="432"/>
  <c r="J50" i="432"/>
  <c r="N50" i="432"/>
  <c r="Q50" i="432"/>
  <c r="R50" i="432"/>
  <c r="W50" i="432"/>
  <c r="X50" i="432"/>
  <c r="Y50" i="432"/>
  <c r="Z50" i="432"/>
  <c r="AA50" i="432"/>
  <c r="AB50" i="432"/>
  <c r="AC50" i="432"/>
  <c r="C93" i="432"/>
  <c r="D93" i="432"/>
  <c r="E93" i="432"/>
  <c r="G93" i="432"/>
  <c r="H93" i="432"/>
  <c r="I93" i="432"/>
  <c r="J93" i="432"/>
  <c r="Q93" i="432"/>
  <c r="R93" i="432"/>
  <c r="W93" i="432"/>
  <c r="X93" i="432"/>
  <c r="Y93" i="432"/>
  <c r="Z93" i="432"/>
  <c r="AA93" i="432"/>
  <c r="AB93" i="432"/>
  <c r="AC93" i="432"/>
  <c r="C118" i="432"/>
  <c r="D118" i="432"/>
  <c r="E118" i="432"/>
  <c r="G118" i="432"/>
  <c r="H118" i="432"/>
  <c r="I118" i="432"/>
  <c r="J118" i="432"/>
  <c r="N118" i="432"/>
  <c r="R118" i="432"/>
  <c r="W118" i="432"/>
  <c r="X118" i="432"/>
  <c r="Y118" i="432"/>
  <c r="Z118" i="432"/>
  <c r="AA118" i="432"/>
  <c r="AB118" i="432"/>
  <c r="AC118" i="432"/>
  <c r="C94" i="432"/>
  <c r="D94" i="432"/>
  <c r="E94" i="432"/>
  <c r="G94" i="432"/>
  <c r="H94" i="432"/>
  <c r="I94" i="432"/>
  <c r="J94" i="432"/>
  <c r="N94" i="432"/>
  <c r="Q94" i="432"/>
  <c r="R94" i="432"/>
  <c r="W94" i="432"/>
  <c r="X94" i="432"/>
  <c r="Y94" i="432"/>
  <c r="Z94" i="432"/>
  <c r="AA94" i="432"/>
  <c r="AB94" i="432"/>
  <c r="AC94" i="432"/>
  <c r="C95" i="432"/>
  <c r="D95" i="432"/>
  <c r="E95" i="432"/>
  <c r="G95" i="432"/>
  <c r="H95" i="432"/>
  <c r="I95" i="432"/>
  <c r="J95" i="432"/>
  <c r="Q95" i="432"/>
  <c r="R95" i="432"/>
  <c r="W95" i="432"/>
  <c r="X95" i="432"/>
  <c r="Y95" i="432"/>
  <c r="Z95" i="432"/>
  <c r="AA95" i="432"/>
  <c r="AB95" i="432"/>
  <c r="AC95" i="432"/>
  <c r="C96" i="432"/>
  <c r="D96" i="432"/>
  <c r="E96" i="432"/>
  <c r="G96" i="432"/>
  <c r="H96" i="432"/>
  <c r="I96" i="432"/>
  <c r="J96" i="432"/>
  <c r="Q96" i="432"/>
  <c r="R96" i="432"/>
  <c r="W96" i="432"/>
  <c r="X96" i="432"/>
  <c r="Y96" i="432"/>
  <c r="Z96" i="432"/>
  <c r="AB96" i="432"/>
  <c r="AC96" i="432"/>
  <c r="C139" i="432"/>
  <c r="E139" i="432"/>
  <c r="G139" i="432"/>
  <c r="H139" i="432"/>
  <c r="I139" i="432"/>
  <c r="J139" i="432"/>
  <c r="Q139" i="432"/>
  <c r="R139" i="432"/>
  <c r="W139" i="432"/>
  <c r="X139" i="432"/>
  <c r="Y139" i="432"/>
  <c r="Z139" i="432"/>
  <c r="AA139" i="432"/>
  <c r="AB139" i="432"/>
  <c r="AC139" i="432"/>
  <c r="C66" i="432"/>
  <c r="E66" i="432"/>
  <c r="G66" i="432"/>
  <c r="H66" i="432"/>
  <c r="I66" i="432"/>
  <c r="J66" i="432"/>
  <c r="N66" i="432"/>
  <c r="Q66" i="432"/>
  <c r="R66" i="432"/>
  <c r="W66" i="432"/>
  <c r="X66" i="432"/>
  <c r="Y66" i="432"/>
  <c r="Z66" i="432"/>
  <c r="AA66" i="432"/>
  <c r="AB66" i="432"/>
  <c r="AC66" i="432"/>
  <c r="C61" i="432"/>
  <c r="D61" i="432"/>
  <c r="E61" i="432"/>
  <c r="G61" i="432"/>
  <c r="H61" i="432"/>
  <c r="I61" i="432"/>
  <c r="J61" i="432"/>
  <c r="R61" i="432"/>
  <c r="W61" i="432"/>
  <c r="X61" i="432"/>
  <c r="Y61" i="432"/>
  <c r="Z61" i="432"/>
  <c r="AA61" i="432"/>
  <c r="AB61" i="432"/>
  <c r="AC61" i="432"/>
  <c r="C62" i="432"/>
  <c r="D62" i="432"/>
  <c r="E62" i="432"/>
  <c r="G62" i="432"/>
  <c r="H62" i="432"/>
  <c r="I62" i="432"/>
  <c r="J62" i="432"/>
  <c r="Q62" i="432"/>
  <c r="R62" i="432"/>
  <c r="W62" i="432"/>
  <c r="X62" i="432"/>
  <c r="Y62" i="432"/>
  <c r="Z62" i="432"/>
  <c r="AA62" i="432"/>
  <c r="AB62" i="432"/>
  <c r="AC62" i="432"/>
  <c r="C51" i="432"/>
  <c r="D51" i="432"/>
  <c r="E51" i="432"/>
  <c r="G51" i="432"/>
  <c r="H51" i="432"/>
  <c r="I51" i="432"/>
  <c r="J51" i="432"/>
  <c r="R51" i="432"/>
  <c r="W51" i="432"/>
  <c r="X51" i="432"/>
  <c r="Y51" i="432"/>
  <c r="Z51" i="432"/>
  <c r="AB51" i="432"/>
  <c r="AC51" i="432"/>
  <c r="C11" i="432"/>
  <c r="D11" i="432"/>
  <c r="E11" i="432"/>
  <c r="G11" i="432"/>
  <c r="H11" i="432"/>
  <c r="I11" i="432"/>
  <c r="J11" i="432"/>
  <c r="Q11" i="432"/>
  <c r="R11" i="432"/>
  <c r="W11" i="432"/>
  <c r="X11" i="432"/>
  <c r="Y11" i="432"/>
  <c r="Z11" i="432"/>
  <c r="AA11" i="432"/>
  <c r="AB11" i="432"/>
  <c r="AC11" i="432"/>
  <c r="C97" i="432"/>
  <c r="D97" i="432"/>
  <c r="E97" i="432"/>
  <c r="G97" i="432"/>
  <c r="H97" i="432"/>
  <c r="I97" i="432"/>
  <c r="J97" i="432"/>
  <c r="Q97" i="432"/>
  <c r="R97" i="432"/>
  <c r="W97" i="432"/>
  <c r="X97" i="432"/>
  <c r="Y97" i="432"/>
  <c r="Z97" i="432"/>
  <c r="AB97" i="432"/>
  <c r="AC97" i="432"/>
  <c r="C98" i="432"/>
  <c r="D98" i="432"/>
  <c r="E98" i="432"/>
  <c r="E105" i="432" s="1"/>
  <c r="G98" i="432"/>
  <c r="H98" i="432"/>
  <c r="I98" i="432"/>
  <c r="J98" i="432"/>
  <c r="N98" i="432"/>
  <c r="Q98" i="432"/>
  <c r="R98" i="432"/>
  <c r="W98" i="432"/>
  <c r="X98" i="432"/>
  <c r="Y98" i="432"/>
  <c r="Z98" i="432"/>
  <c r="AA98" i="432"/>
  <c r="AB98" i="432"/>
  <c r="AC98" i="432"/>
  <c r="C119" i="432"/>
  <c r="E119" i="432"/>
  <c r="G119" i="432"/>
  <c r="H119" i="432"/>
  <c r="I119" i="432"/>
  <c r="J119" i="432"/>
  <c r="Q119" i="432"/>
  <c r="R119" i="432"/>
  <c r="W119" i="432"/>
  <c r="X119" i="432"/>
  <c r="Y119" i="432"/>
  <c r="Z119" i="432"/>
  <c r="AA119" i="432"/>
  <c r="AB119" i="432"/>
  <c r="AC119" i="432"/>
  <c r="C111" i="432"/>
  <c r="E111" i="432"/>
  <c r="G111" i="432"/>
  <c r="H111" i="432"/>
  <c r="I111" i="432"/>
  <c r="J111" i="432"/>
  <c r="Q111" i="432"/>
  <c r="R111" i="432"/>
  <c r="W111" i="432"/>
  <c r="X111" i="432"/>
  <c r="Y111" i="432"/>
  <c r="Z111" i="432"/>
  <c r="AA111" i="432"/>
  <c r="AB111" i="432"/>
  <c r="AC111" i="432"/>
  <c r="C135" i="432"/>
  <c r="D135" i="432"/>
  <c r="E135" i="432"/>
  <c r="G135" i="432"/>
  <c r="H135" i="432"/>
  <c r="I135" i="432"/>
  <c r="J135" i="432"/>
  <c r="N135" i="432"/>
  <c r="Q135" i="432"/>
  <c r="R135" i="432"/>
  <c r="W135" i="432"/>
  <c r="X135" i="432"/>
  <c r="Y135" i="432"/>
  <c r="Z135" i="432"/>
  <c r="AA135" i="432"/>
  <c r="AB135" i="432"/>
  <c r="AC135" i="432"/>
  <c r="C112" i="432"/>
  <c r="E112" i="432"/>
  <c r="G112" i="432"/>
  <c r="H112" i="432"/>
  <c r="I112" i="432"/>
  <c r="J112" i="432"/>
  <c r="R112" i="432"/>
  <c r="W112" i="432"/>
  <c r="X112" i="432"/>
  <c r="Y112" i="432"/>
  <c r="Z112" i="432"/>
  <c r="AB112" i="432"/>
  <c r="AC112" i="432"/>
  <c r="C136" i="432"/>
  <c r="D136" i="432"/>
  <c r="E136" i="432"/>
  <c r="G136" i="432"/>
  <c r="H136" i="432"/>
  <c r="I136" i="432"/>
  <c r="J136" i="432"/>
  <c r="N136" i="432"/>
  <c r="R136" i="432"/>
  <c r="W136" i="432"/>
  <c r="X136" i="432"/>
  <c r="Y136" i="432"/>
  <c r="Z136" i="432"/>
  <c r="AA136" i="432"/>
  <c r="AB136" i="432"/>
  <c r="AC136" i="432"/>
  <c r="C12" i="432"/>
  <c r="D12" i="432"/>
  <c r="E12" i="432"/>
  <c r="G12" i="432"/>
  <c r="H12" i="432"/>
  <c r="I12" i="432"/>
  <c r="J12" i="432"/>
  <c r="Q12" i="432"/>
  <c r="R12" i="432"/>
  <c r="W12" i="432"/>
  <c r="X12" i="432"/>
  <c r="Y12" i="432"/>
  <c r="Z12" i="432"/>
  <c r="AA12" i="432"/>
  <c r="AB12" i="432"/>
  <c r="AC12" i="432"/>
  <c r="C120" i="432"/>
  <c r="E120" i="432"/>
  <c r="G120" i="432"/>
  <c r="H120" i="432"/>
  <c r="I120" i="432"/>
  <c r="J120" i="432"/>
  <c r="Q120" i="432"/>
  <c r="W120" i="432"/>
  <c r="X120" i="432"/>
  <c r="Y120" i="432"/>
  <c r="Z120" i="432"/>
  <c r="AA120" i="432"/>
  <c r="AB120" i="432"/>
  <c r="AC120" i="432"/>
  <c r="C99" i="432"/>
  <c r="D99" i="432"/>
  <c r="E99" i="432"/>
  <c r="G99" i="432"/>
  <c r="H99" i="432"/>
  <c r="I99" i="432"/>
  <c r="J99" i="432"/>
  <c r="N99" i="432"/>
  <c r="Q99" i="432"/>
  <c r="R99" i="432"/>
  <c r="W99" i="432"/>
  <c r="X99" i="432"/>
  <c r="Y99" i="432"/>
  <c r="Z99" i="432"/>
  <c r="AA99" i="432"/>
  <c r="AB99" i="432"/>
  <c r="AC99" i="432"/>
  <c r="C100" i="432"/>
  <c r="D100" i="432"/>
  <c r="E100" i="432"/>
  <c r="G100" i="432"/>
  <c r="H100" i="432"/>
  <c r="I100" i="432"/>
  <c r="J100" i="432"/>
  <c r="N100" i="432"/>
  <c r="Q100" i="432"/>
  <c r="R100" i="432"/>
  <c r="W100" i="432"/>
  <c r="X100" i="432"/>
  <c r="Y100" i="432"/>
  <c r="Z100" i="432"/>
  <c r="AA100" i="432"/>
  <c r="AB100" i="432"/>
  <c r="AC100" i="432"/>
  <c r="C52" i="432"/>
  <c r="D52" i="432"/>
  <c r="E52" i="432"/>
  <c r="G52" i="432"/>
  <c r="H52" i="432"/>
  <c r="I52" i="432"/>
  <c r="J52" i="432"/>
  <c r="N52" i="432"/>
  <c r="Q52" i="432"/>
  <c r="R52" i="432"/>
  <c r="W52" i="432"/>
  <c r="X52" i="432"/>
  <c r="Y52" i="432"/>
  <c r="Z52" i="432"/>
  <c r="AA52" i="432"/>
  <c r="AB52" i="432"/>
  <c r="AC52" i="432"/>
  <c r="C53" i="432"/>
  <c r="E53" i="432"/>
  <c r="G53" i="432"/>
  <c r="H53" i="432"/>
  <c r="I53" i="432"/>
  <c r="J53" i="432"/>
  <c r="Q53" i="432"/>
  <c r="R53" i="432"/>
  <c r="W53" i="432"/>
  <c r="X53" i="432"/>
  <c r="Z53" i="432"/>
  <c r="AA53" i="432"/>
  <c r="AB53" i="432"/>
  <c r="AC53" i="432"/>
  <c r="C121" i="432"/>
  <c r="E121" i="432"/>
  <c r="G121" i="432"/>
  <c r="H121" i="432"/>
  <c r="I121" i="432"/>
  <c r="J121" i="432"/>
  <c r="R121" i="432"/>
  <c r="W121" i="432"/>
  <c r="X121" i="432"/>
  <c r="Y121" i="432"/>
  <c r="Z121" i="432"/>
  <c r="AA121" i="432"/>
  <c r="AB121" i="432"/>
  <c r="AC121" i="432"/>
  <c r="C143" i="432"/>
  <c r="D143" i="432"/>
  <c r="E143" i="432"/>
  <c r="G143" i="432"/>
  <c r="H143" i="432"/>
  <c r="I143" i="432"/>
  <c r="I145" i="432" s="1"/>
  <c r="J143" i="432"/>
  <c r="N143" i="432"/>
  <c r="Q143" i="432"/>
  <c r="Q145" i="432" s="1"/>
  <c r="R143" i="432"/>
  <c r="W143" i="432"/>
  <c r="W145" i="432" s="1"/>
  <c r="X143" i="432"/>
  <c r="Y143" i="432"/>
  <c r="Y145" i="432" s="1"/>
  <c r="Z143" i="432"/>
  <c r="AA143" i="432"/>
  <c r="AA145" i="432" s="1"/>
  <c r="AB143" i="432"/>
  <c r="AC143" i="432"/>
  <c r="C54" i="432"/>
  <c r="D54" i="432"/>
  <c r="E54" i="432"/>
  <c r="G54" i="432"/>
  <c r="H54" i="432"/>
  <c r="I54" i="432"/>
  <c r="J54" i="432"/>
  <c r="N54" i="432"/>
  <c r="Q54" i="432"/>
  <c r="R54" i="432"/>
  <c r="W54" i="432"/>
  <c r="X54" i="432"/>
  <c r="Y54" i="432"/>
  <c r="Z54" i="432"/>
  <c r="AA54" i="432"/>
  <c r="AB54" i="432"/>
  <c r="AC54" i="432"/>
  <c r="C13" i="432"/>
  <c r="D13" i="432"/>
  <c r="E13" i="432"/>
  <c r="G13" i="432"/>
  <c r="H13" i="432"/>
  <c r="I13" i="432"/>
  <c r="J13" i="432"/>
  <c r="Q13" i="432"/>
  <c r="R13" i="432"/>
  <c r="W13" i="432"/>
  <c r="X13" i="432"/>
  <c r="Y13" i="432"/>
  <c r="Z13" i="432"/>
  <c r="AA13" i="432"/>
  <c r="AB13" i="432"/>
  <c r="AC13" i="432"/>
  <c r="C127" i="432"/>
  <c r="D127" i="432"/>
  <c r="D129" i="432" s="1"/>
  <c r="B13" i="97" s="1"/>
  <c r="E127" i="432"/>
  <c r="G127" i="432"/>
  <c r="H127" i="432"/>
  <c r="I127" i="432"/>
  <c r="J127" i="432"/>
  <c r="N127" i="432"/>
  <c r="Q127" i="432"/>
  <c r="R127" i="432"/>
  <c r="W127" i="432"/>
  <c r="X127" i="432"/>
  <c r="Y127" i="432"/>
  <c r="Z127" i="432"/>
  <c r="AA127" i="432"/>
  <c r="AB127" i="432"/>
  <c r="AC127" i="432"/>
  <c r="C101" i="432"/>
  <c r="D101" i="432"/>
  <c r="E101" i="432"/>
  <c r="G101" i="432"/>
  <c r="H101" i="432"/>
  <c r="I101" i="432"/>
  <c r="J101" i="432"/>
  <c r="Q101" i="432"/>
  <c r="R101" i="432"/>
  <c r="W101" i="432"/>
  <c r="X101" i="432"/>
  <c r="Y101" i="432"/>
  <c r="Z101" i="432"/>
  <c r="AA101" i="432"/>
  <c r="AB101" i="432"/>
  <c r="AC101" i="432"/>
  <c r="C55" i="432"/>
  <c r="D55" i="432"/>
  <c r="E55" i="432"/>
  <c r="G55" i="432"/>
  <c r="H55" i="432"/>
  <c r="I55" i="432"/>
  <c r="J55" i="432"/>
  <c r="N55" i="432"/>
  <c r="Q55" i="432"/>
  <c r="R55" i="432"/>
  <c r="T55" i="432"/>
  <c r="W55" i="432"/>
  <c r="X55" i="432"/>
  <c r="Y55" i="432"/>
  <c r="Z55" i="432"/>
  <c r="AA55" i="432"/>
  <c r="AB55" i="432"/>
  <c r="AC55" i="432"/>
  <c r="C67" i="432"/>
  <c r="D67" i="432"/>
  <c r="E67" i="432"/>
  <c r="G67" i="432"/>
  <c r="H67" i="432"/>
  <c r="I67" i="432"/>
  <c r="J67" i="432"/>
  <c r="Q67" i="432"/>
  <c r="R67" i="432"/>
  <c r="T67" i="432"/>
  <c r="W67" i="432"/>
  <c r="X67" i="432"/>
  <c r="Y67" i="432"/>
  <c r="Z67" i="432"/>
  <c r="AA67" i="432"/>
  <c r="AB67" i="432"/>
  <c r="AC67" i="432"/>
  <c r="C56" i="432"/>
  <c r="E56" i="432"/>
  <c r="G56" i="432"/>
  <c r="H56" i="432"/>
  <c r="I56" i="432"/>
  <c r="J56" i="432"/>
  <c r="Q56" i="432"/>
  <c r="R56" i="432"/>
  <c r="T56" i="432"/>
  <c r="W56" i="432"/>
  <c r="X56" i="432"/>
  <c r="Y56" i="432"/>
  <c r="Z56" i="432"/>
  <c r="AA56" i="432"/>
  <c r="AB56" i="432"/>
  <c r="AC56" i="432"/>
  <c r="C102" i="432"/>
  <c r="E102" i="432"/>
  <c r="G102" i="432"/>
  <c r="H102" i="432"/>
  <c r="I102" i="432"/>
  <c r="J102" i="432"/>
  <c r="Q102" i="432"/>
  <c r="R102" i="432"/>
  <c r="T102" i="432"/>
  <c r="W102" i="432"/>
  <c r="X102" i="432"/>
  <c r="Y102" i="432"/>
  <c r="Z102" i="432"/>
  <c r="AA102" i="432"/>
  <c r="AB102" i="432"/>
  <c r="AC102" i="432"/>
  <c r="C57" i="432"/>
  <c r="D57" i="432"/>
  <c r="E57" i="432"/>
  <c r="G57" i="432"/>
  <c r="H57" i="432"/>
  <c r="I57" i="432"/>
  <c r="J57" i="432"/>
  <c r="Q57" i="432"/>
  <c r="R57" i="432"/>
  <c r="W57" i="432"/>
  <c r="X57" i="432"/>
  <c r="Y57" i="432"/>
  <c r="Z57" i="432"/>
  <c r="AA57" i="432"/>
  <c r="AB57" i="432"/>
  <c r="AC57" i="432"/>
  <c r="C103" i="432"/>
  <c r="D103" i="432"/>
  <c r="E103" i="432"/>
  <c r="G103" i="432"/>
  <c r="H103" i="432"/>
  <c r="I103" i="432"/>
  <c r="J103" i="432"/>
  <c r="N103" i="432"/>
  <c r="Q103" i="432"/>
  <c r="R103" i="432"/>
  <c r="T103" i="432"/>
  <c r="W103" i="432"/>
  <c r="X103" i="432"/>
  <c r="Y103" i="432"/>
  <c r="Z103" i="432"/>
  <c r="AA103" i="432"/>
  <c r="AB103" i="432"/>
  <c r="AC103" i="432"/>
  <c r="C104" i="432"/>
  <c r="D104" i="432"/>
  <c r="E104" i="432"/>
  <c r="G104" i="432"/>
  <c r="H104" i="432"/>
  <c r="I104" i="432"/>
  <c r="J104" i="432"/>
  <c r="N104" i="432"/>
  <c r="Q104" i="432"/>
  <c r="R104" i="432"/>
  <c r="W104" i="432"/>
  <c r="X104" i="432"/>
  <c r="Y104" i="432"/>
  <c r="Z104" i="432"/>
  <c r="AA104" i="432"/>
  <c r="AB104" i="432"/>
  <c r="AC104" i="432"/>
  <c r="C58" i="432"/>
  <c r="E58" i="432"/>
  <c r="G58" i="432"/>
  <c r="H58" i="432"/>
  <c r="I58" i="432"/>
  <c r="J58" i="432"/>
  <c r="Q58" i="432"/>
  <c r="R58" i="432"/>
  <c r="W58" i="432"/>
  <c r="X58" i="432"/>
  <c r="Y58" i="432"/>
  <c r="Z58" i="432"/>
  <c r="AB58" i="432"/>
  <c r="AC58" i="432"/>
  <c r="C59" i="432"/>
  <c r="D59" i="432"/>
  <c r="E59" i="432"/>
  <c r="G59" i="432"/>
  <c r="H59" i="432"/>
  <c r="I59" i="432"/>
  <c r="J59" i="432"/>
  <c r="N59" i="432"/>
  <c r="Q59" i="432"/>
  <c r="R59" i="432"/>
  <c r="W59" i="432"/>
  <c r="X59" i="432"/>
  <c r="Y59" i="432"/>
  <c r="Z59" i="432"/>
  <c r="AA59" i="432"/>
  <c r="AB59" i="432"/>
  <c r="AC59" i="432"/>
  <c r="C128" i="432"/>
  <c r="D128" i="432"/>
  <c r="E128" i="432"/>
  <c r="G128" i="432"/>
  <c r="H128" i="432"/>
  <c r="I128" i="432"/>
  <c r="J128" i="432"/>
  <c r="Q128" i="432"/>
  <c r="R128" i="432"/>
  <c r="W128" i="432"/>
  <c r="X128" i="432"/>
  <c r="Y128" i="432"/>
  <c r="Z128" i="432"/>
  <c r="AA128" i="432"/>
  <c r="AB128" i="432"/>
  <c r="AC128" i="432"/>
  <c r="C131" i="432"/>
  <c r="D131" i="432"/>
  <c r="D132" i="432" s="1"/>
  <c r="E131" i="432"/>
  <c r="E132" i="432" s="1"/>
  <c r="G131" i="432"/>
  <c r="G132" i="432" s="1"/>
  <c r="H131" i="432"/>
  <c r="H132" i="432" s="1"/>
  <c r="I131" i="432"/>
  <c r="I132" i="432" s="1"/>
  <c r="J131" i="432"/>
  <c r="J132" i="432" s="1"/>
  <c r="N131" i="432"/>
  <c r="N132" i="432" s="1"/>
  <c r="Q131" i="432"/>
  <c r="Q132" i="432" s="1"/>
  <c r="R131" i="432"/>
  <c r="R132" i="432" s="1"/>
  <c r="W131" i="432"/>
  <c r="W132" i="432" s="1"/>
  <c r="X131" i="432"/>
  <c r="X132" i="432" s="1"/>
  <c r="Y131" i="432"/>
  <c r="Y132" i="432" s="1"/>
  <c r="Z131" i="432"/>
  <c r="Z132" i="432" s="1"/>
  <c r="AA131" i="432"/>
  <c r="AA132" i="432" s="1"/>
  <c r="AB131" i="432"/>
  <c r="AC131" i="432"/>
  <c r="C14" i="432"/>
  <c r="D14" i="432"/>
  <c r="E14" i="432"/>
  <c r="G14" i="432"/>
  <c r="H14" i="432"/>
  <c r="I14" i="432"/>
  <c r="J14" i="432"/>
  <c r="N14" i="432"/>
  <c r="Q14" i="432"/>
  <c r="R14" i="432"/>
  <c r="W14" i="432"/>
  <c r="X14" i="432"/>
  <c r="Y14" i="432"/>
  <c r="Z14" i="432"/>
  <c r="AA14" i="432"/>
  <c r="AB14" i="432"/>
  <c r="AC14" i="432"/>
  <c r="C15" i="432"/>
  <c r="D15" i="432"/>
  <c r="E15" i="432"/>
  <c r="G15" i="432"/>
  <c r="H15" i="432"/>
  <c r="I15" i="432"/>
  <c r="J15" i="432"/>
  <c r="Q15" i="432"/>
  <c r="R15" i="432"/>
  <c r="W15" i="432"/>
  <c r="X15" i="432"/>
  <c r="Y15" i="432"/>
  <c r="Z15" i="432"/>
  <c r="AA15" i="432"/>
  <c r="AB15" i="432"/>
  <c r="AC15" i="432"/>
  <c r="C122" i="432"/>
  <c r="D122" i="432"/>
  <c r="E122" i="432"/>
  <c r="G122" i="432"/>
  <c r="H122" i="432"/>
  <c r="I122" i="432"/>
  <c r="J122" i="432"/>
  <c r="N122" i="432"/>
  <c r="Q122" i="432"/>
  <c r="R122" i="432"/>
  <c r="W122" i="432"/>
  <c r="X122" i="432"/>
  <c r="Y122" i="432"/>
  <c r="Z122" i="432"/>
  <c r="AA122" i="432"/>
  <c r="AB122" i="432"/>
  <c r="AC122" i="432"/>
  <c r="C123" i="432"/>
  <c r="D123" i="432"/>
  <c r="E123" i="432"/>
  <c r="G123" i="432"/>
  <c r="H123" i="432"/>
  <c r="I123" i="432"/>
  <c r="J123" i="432"/>
  <c r="N123" i="432"/>
  <c r="Q123" i="432"/>
  <c r="R123" i="432"/>
  <c r="W123" i="432"/>
  <c r="X123" i="432"/>
  <c r="Y123" i="432"/>
  <c r="Z123" i="432"/>
  <c r="AA123" i="432"/>
  <c r="AB123" i="432"/>
  <c r="AC123" i="432"/>
  <c r="C144" i="432"/>
  <c r="D144" i="432"/>
  <c r="E144" i="432"/>
  <c r="G144" i="432"/>
  <c r="H144" i="432"/>
  <c r="I144" i="432"/>
  <c r="J144" i="432"/>
  <c r="Q144" i="432"/>
  <c r="R144" i="432"/>
  <c r="W144" i="432"/>
  <c r="X144" i="432"/>
  <c r="Y144" i="432"/>
  <c r="Z144" i="432"/>
  <c r="AA144" i="432"/>
  <c r="AB144" i="432"/>
  <c r="AC144" i="432"/>
  <c r="C140" i="432"/>
  <c r="D140" i="432"/>
  <c r="E140" i="432"/>
  <c r="G140" i="432"/>
  <c r="H140" i="432"/>
  <c r="I140" i="432"/>
  <c r="J140" i="432"/>
  <c r="Q140" i="432"/>
  <c r="R140" i="432"/>
  <c r="W140" i="432"/>
  <c r="W141" i="432" s="1"/>
  <c r="X140" i="432"/>
  <c r="Y140" i="432"/>
  <c r="Z140" i="432"/>
  <c r="AA140" i="432"/>
  <c r="AB140" i="432"/>
  <c r="AC140" i="432"/>
  <c r="C16" i="432"/>
  <c r="D16" i="432"/>
  <c r="E16" i="432"/>
  <c r="G16" i="432"/>
  <c r="H16" i="432"/>
  <c r="I16" i="432"/>
  <c r="J16" i="432"/>
  <c r="Q16" i="432"/>
  <c r="R16" i="432"/>
  <c r="W16" i="432"/>
  <c r="X16" i="432"/>
  <c r="Y16" i="432"/>
  <c r="Z16" i="432"/>
  <c r="AA16" i="432"/>
  <c r="AB16" i="432"/>
  <c r="AC16" i="432"/>
  <c r="C60" i="432"/>
  <c r="D60" i="432"/>
  <c r="E60" i="432"/>
  <c r="G60" i="432"/>
  <c r="H60" i="432"/>
  <c r="I60" i="432"/>
  <c r="J60" i="432"/>
  <c r="Q60" i="432"/>
  <c r="R60" i="432"/>
  <c r="W60" i="432"/>
  <c r="X60" i="432"/>
  <c r="Y60" i="432"/>
  <c r="Z60" i="432"/>
  <c r="AA60" i="432"/>
  <c r="AB60" i="432"/>
  <c r="AC60" i="432"/>
  <c r="B74" i="432"/>
  <c r="B20" i="432"/>
  <c r="B21" i="432"/>
  <c r="B22" i="432"/>
  <c r="B23" i="432"/>
  <c r="B24" i="432"/>
  <c r="B113" i="432"/>
  <c r="B70" i="432"/>
  <c r="B25" i="432"/>
  <c r="B26" i="432"/>
  <c r="B27" i="432"/>
  <c r="B6" i="432"/>
  <c r="B28" i="432"/>
  <c r="B29" i="432"/>
  <c r="B7" i="432"/>
  <c r="B8" i="432"/>
  <c r="B30" i="432"/>
  <c r="B63" i="432"/>
  <c r="B107" i="432"/>
  <c r="B108" i="432"/>
  <c r="B31" i="432"/>
  <c r="B114" i="432"/>
  <c r="B77" i="432"/>
  <c r="B78" i="432"/>
  <c r="B79" i="432"/>
  <c r="B80" i="432"/>
  <c r="B32" i="432"/>
  <c r="B115" i="432"/>
  <c r="B81" i="432"/>
  <c r="B82" i="432"/>
  <c r="B33" i="432"/>
  <c r="B83" i="432"/>
  <c r="B84" i="432"/>
  <c r="B34" i="432"/>
  <c r="B35" i="432"/>
  <c r="B36" i="432"/>
  <c r="B37" i="432"/>
  <c r="B85" i="432"/>
  <c r="B109" i="432"/>
  <c r="B38" i="432"/>
  <c r="B86" i="432"/>
  <c r="B116" i="432"/>
  <c r="B134" i="432"/>
  <c r="B39" i="432"/>
  <c r="B87" i="432"/>
  <c r="B110" i="432"/>
  <c r="B126" i="432"/>
  <c r="B40" i="432"/>
  <c r="B41" i="432"/>
  <c r="B42" i="432"/>
  <c r="B9" i="432"/>
  <c r="B64" i="432"/>
  <c r="B43" i="432"/>
  <c r="B71" i="432"/>
  <c r="B88" i="432"/>
  <c r="B65" i="432"/>
  <c r="B44" i="432"/>
  <c r="B89" i="432"/>
  <c r="B117" i="432"/>
  <c r="B90" i="432"/>
  <c r="B10" i="432"/>
  <c r="B91" i="432"/>
  <c r="B92" i="432"/>
  <c r="B45" i="432"/>
  <c r="B46" i="432"/>
  <c r="B47" i="432"/>
  <c r="B48" i="432"/>
  <c r="B49" i="432"/>
  <c r="B50" i="432"/>
  <c r="B93" i="432"/>
  <c r="B118" i="432"/>
  <c r="B94" i="432"/>
  <c r="B95" i="432"/>
  <c r="B96" i="432"/>
  <c r="B139" i="432"/>
  <c r="B66" i="432"/>
  <c r="B61" i="432"/>
  <c r="B62" i="432"/>
  <c r="B51" i="432"/>
  <c r="B11" i="432"/>
  <c r="B97" i="432"/>
  <c r="B98" i="432"/>
  <c r="B119" i="432"/>
  <c r="B111" i="432"/>
  <c r="B135" i="432"/>
  <c r="B112" i="432"/>
  <c r="B136" i="432"/>
  <c r="B12" i="432"/>
  <c r="B120" i="432"/>
  <c r="B99" i="432"/>
  <c r="B100" i="432"/>
  <c r="B52" i="432"/>
  <c r="B53" i="432"/>
  <c r="B121" i="432"/>
  <c r="B143" i="432"/>
  <c r="B54" i="432"/>
  <c r="B13" i="432"/>
  <c r="B127" i="432"/>
  <c r="B101" i="432"/>
  <c r="B55" i="432"/>
  <c r="B67" i="432"/>
  <c r="B56" i="432"/>
  <c r="B102" i="432"/>
  <c r="B57" i="432"/>
  <c r="B103" i="432"/>
  <c r="B19" i="432"/>
  <c r="I105" i="432" l="1"/>
  <c r="Z68" i="432"/>
  <c r="H141" i="432"/>
  <c r="X141" i="432"/>
  <c r="I124" i="432"/>
  <c r="D137" i="432"/>
  <c r="Z145" i="432"/>
  <c r="R145" i="432"/>
  <c r="J145" i="432"/>
  <c r="I141" i="432"/>
  <c r="Y137" i="432"/>
  <c r="W14" i="97" s="1"/>
  <c r="E124" i="432"/>
  <c r="Q17" i="432"/>
  <c r="H145" i="432"/>
  <c r="G141" i="432"/>
  <c r="J17" i="432"/>
  <c r="H129" i="432"/>
  <c r="F13" i="97" s="1"/>
  <c r="W137" i="432"/>
  <c r="X105" i="432"/>
  <c r="I17" i="432"/>
  <c r="G145" i="432"/>
  <c r="I137" i="432"/>
  <c r="I146" i="432" s="1"/>
  <c r="W105" i="432"/>
  <c r="I68" i="432"/>
  <c r="AA141" i="432"/>
  <c r="Q141" i="432"/>
  <c r="E129" i="432"/>
  <c r="C13" i="97" s="1"/>
  <c r="H137" i="432"/>
  <c r="F14" i="97" s="1"/>
  <c r="W17" i="432"/>
  <c r="G17" i="432"/>
  <c r="X68" i="432"/>
  <c r="E145" i="432"/>
  <c r="G137" i="432"/>
  <c r="Y105" i="432"/>
  <c r="Y124" i="432"/>
  <c r="AA17" i="432"/>
  <c r="E17" i="432"/>
  <c r="D145" i="432"/>
  <c r="Y141" i="432"/>
  <c r="AA137" i="432"/>
  <c r="X124" i="432"/>
  <c r="X146" i="432" s="1"/>
  <c r="H124" i="432"/>
  <c r="R72" i="432"/>
  <c r="E68" i="432"/>
  <c r="Z129" i="432"/>
  <c r="X13" i="97" s="1"/>
  <c r="J129" i="432"/>
  <c r="H13" i="97" s="1"/>
  <c r="N137" i="432"/>
  <c r="Z105" i="432"/>
  <c r="H105" i="432"/>
  <c r="X17" i="432"/>
  <c r="X72" i="432"/>
  <c r="W68" i="432"/>
  <c r="E141" i="432"/>
  <c r="Y129" i="432"/>
  <c r="W13" i="97" s="1"/>
  <c r="Q129" i="432"/>
  <c r="O13" i="97" s="1"/>
  <c r="I129" i="432"/>
  <c r="G13" i="97" s="1"/>
  <c r="E137" i="432"/>
  <c r="G105" i="432"/>
  <c r="Z141" i="432"/>
  <c r="R141" i="432"/>
  <c r="J141" i="432"/>
  <c r="Z17" i="432"/>
  <c r="R17" i="432"/>
  <c r="Z137" i="432"/>
  <c r="X14" i="97" s="1"/>
  <c r="R137" i="432"/>
  <c r="J137" i="432"/>
  <c r="H14" i="97" s="1"/>
  <c r="Z124" i="432"/>
  <c r="G124" i="432"/>
  <c r="H17" i="432"/>
  <c r="J72" i="432"/>
  <c r="J105" i="432"/>
  <c r="Z72" i="432"/>
  <c r="H72" i="432"/>
  <c r="J68" i="432"/>
  <c r="H68" i="432"/>
  <c r="W124" i="432"/>
  <c r="Y17" i="432"/>
  <c r="P14" i="97"/>
  <c r="X6" i="97"/>
  <c r="G6" i="97"/>
  <c r="I26" i="441"/>
  <c r="G14" i="97"/>
  <c r="L20" i="441"/>
  <c r="K21" i="441"/>
  <c r="L6" i="441"/>
  <c r="L7" i="441" s="1"/>
  <c r="K7" i="441"/>
  <c r="F24" i="441"/>
  <c r="F25" i="441" s="1"/>
  <c r="D25" i="441"/>
  <c r="R26" i="441"/>
  <c r="P19" i="97"/>
  <c r="F15" i="441"/>
  <c r="F18" i="441" s="1"/>
  <c r="D18" i="441"/>
  <c r="Q26" i="441"/>
  <c r="O19" i="97"/>
  <c r="L25" i="438"/>
  <c r="K27" i="438"/>
  <c r="K28" i="438" s="1"/>
  <c r="L11" i="438"/>
  <c r="L12" i="438" s="1"/>
  <c r="K12" i="438"/>
  <c r="L14" i="438"/>
  <c r="K15" i="438"/>
  <c r="F8" i="438"/>
  <c r="D9" i="438"/>
  <c r="B6" i="97"/>
  <c r="N17" i="437"/>
  <c r="L9" i="438"/>
  <c r="V28" i="438"/>
  <c r="Y14" i="97"/>
  <c r="L15" i="436"/>
  <c r="G17" i="437"/>
  <c r="R28" i="438"/>
  <c r="F15" i="439"/>
  <c r="V14" i="97"/>
  <c r="K7" i="435"/>
  <c r="L8" i="435" s="1"/>
  <c r="L5" i="435"/>
  <c r="J28" i="438"/>
  <c r="P18" i="441"/>
  <c r="AA52" i="442"/>
  <c r="E14" i="97"/>
  <c r="S15" i="434"/>
  <c r="M7" i="434"/>
  <c r="O7" i="434" s="1"/>
  <c r="K16" i="437"/>
  <c r="Z28" i="438"/>
  <c r="I28" i="438"/>
  <c r="K25" i="441"/>
  <c r="L14" i="97"/>
  <c r="L7" i="437"/>
  <c r="L12" i="437" s="1"/>
  <c r="L17" i="437" s="1"/>
  <c r="K12" i="437"/>
  <c r="Y28" i="438"/>
  <c r="Q19" i="97"/>
  <c r="C14" i="97"/>
  <c r="M14" i="437"/>
  <c r="P16" i="437"/>
  <c r="W17" i="437"/>
  <c r="F9" i="438"/>
  <c r="S14" i="440"/>
  <c r="S13" i="441"/>
  <c r="S26" i="441" s="1"/>
  <c r="K15" i="434"/>
  <c r="L16" i="434" s="1"/>
  <c r="Q12" i="437"/>
  <c r="D23" i="438"/>
  <c r="D28" i="438" s="1"/>
  <c r="F29" i="438" s="1"/>
  <c r="F7" i="439"/>
  <c r="D13" i="441"/>
  <c r="L18" i="441"/>
  <c r="F13" i="434"/>
  <c r="S7" i="435"/>
  <c r="P8" i="435"/>
  <c r="K9" i="438"/>
  <c r="K14" i="440"/>
  <c r="K13" i="441"/>
  <c r="K18" i="441"/>
  <c r="AA26" i="441"/>
  <c r="X124" i="443"/>
  <c r="Z17" i="437"/>
  <c r="R17" i="437"/>
  <c r="J17" i="437"/>
  <c r="X26" i="441"/>
  <c r="H26" i="441"/>
  <c r="F5" i="435"/>
  <c r="F7" i="435" s="1"/>
  <c r="Y17" i="437"/>
  <c r="Q17" i="437"/>
  <c r="I17" i="437"/>
  <c r="P15" i="440"/>
  <c r="W26" i="441"/>
  <c r="G26" i="441"/>
  <c r="I124" i="443"/>
  <c r="H124" i="443"/>
  <c r="F16" i="436"/>
  <c r="N26" i="441"/>
  <c r="X52" i="442"/>
  <c r="F15" i="434"/>
  <c r="K15" i="436"/>
  <c r="L16" i="436" s="1"/>
  <c r="P16" i="436" s="1"/>
  <c r="F16" i="439"/>
  <c r="E26" i="441"/>
  <c r="G52" i="442"/>
  <c r="E52" i="442"/>
  <c r="H52" i="442"/>
  <c r="Y52" i="442"/>
  <c r="Z124" i="443"/>
  <c r="E124" i="443"/>
  <c r="A7" i="443"/>
  <c r="A8" i="443" s="1"/>
  <c r="A9" i="443" s="1"/>
  <c r="A10" i="443" s="1"/>
  <c r="A11" i="443" s="1"/>
  <c r="A12" i="443" s="1"/>
  <c r="A13" i="443" s="1"/>
  <c r="A14" i="443" s="1"/>
  <c r="A15" i="443" s="1"/>
  <c r="A16" i="443" s="1"/>
  <c r="A17" i="443" s="1"/>
  <c r="A18" i="443" s="1"/>
  <c r="A19" i="443" s="1"/>
  <c r="A20" i="443" s="1"/>
  <c r="A21" i="443" s="1"/>
  <c r="A22" i="443" s="1"/>
  <c r="A23" i="443" s="1"/>
  <c r="A24" i="443" s="1"/>
  <c r="A25" i="443" s="1"/>
  <c r="A26" i="443" s="1"/>
  <c r="A27" i="443" s="1"/>
  <c r="A28" i="443" s="1"/>
  <c r="A29" i="443" s="1"/>
  <c r="A30" i="443" s="1"/>
  <c r="A31" i="443" s="1"/>
  <c r="A32" i="443" s="1"/>
  <c r="A33" i="443" s="1"/>
  <c r="A34" i="443" s="1"/>
  <c r="A35" i="443" s="1"/>
  <c r="A36" i="443" s="1"/>
  <c r="A37" i="443" s="1"/>
  <c r="A38" i="443" s="1"/>
  <c r="A39" i="443" s="1"/>
  <c r="A40" i="443" s="1"/>
  <c r="A41" i="443" s="1"/>
  <c r="A42" i="443" s="1"/>
  <c r="A43" i="443" s="1"/>
  <c r="A44" i="443" s="1"/>
  <c r="A45" i="443" s="1"/>
  <c r="A46" i="443" s="1"/>
  <c r="A47" i="443" s="1"/>
  <c r="A48" i="443" s="1"/>
  <c r="A49" i="443" s="1"/>
  <c r="A50" i="443" s="1"/>
  <c r="A51" i="443" s="1"/>
  <c r="A52" i="443" s="1"/>
  <c r="A53" i="443" s="1"/>
  <c r="A54" i="443" s="1"/>
  <c r="A55" i="443" s="1"/>
  <c r="A56" i="443" s="1"/>
  <c r="A57" i="443" s="1"/>
  <c r="A58" i="443" s="1"/>
  <c r="A59" i="443" s="1"/>
  <c r="A60" i="443" s="1"/>
  <c r="A61" i="443" s="1"/>
  <c r="A62" i="443" s="1"/>
  <c r="A63" i="443" s="1"/>
  <c r="A64" i="443" s="1"/>
  <c r="A65" i="443" s="1"/>
  <c r="A66" i="443" s="1"/>
  <c r="A67" i="443" s="1"/>
  <c r="A68" i="443" s="1"/>
  <c r="A69" i="443" s="1"/>
  <c r="A70" i="443" s="1"/>
  <c r="A71" i="443" s="1"/>
  <c r="A72" i="443" s="1"/>
  <c r="A73" i="443" s="1"/>
  <c r="A74" i="443" s="1"/>
  <c r="A75" i="443" s="1"/>
  <c r="A76" i="443" s="1"/>
  <c r="A77" i="443" s="1"/>
  <c r="A78" i="443" s="1"/>
  <c r="A79" i="443" s="1"/>
  <c r="A80" i="443" s="1"/>
  <c r="A81" i="443" s="1"/>
  <c r="A82" i="443" s="1"/>
  <c r="A83" i="443" s="1"/>
  <c r="A84" i="443" s="1"/>
  <c r="A85" i="443" s="1"/>
  <c r="A86" i="443" s="1"/>
  <c r="A87" i="443" s="1"/>
  <c r="A88" i="443" s="1"/>
  <c r="A89" i="443" s="1"/>
  <c r="A90" i="443" s="1"/>
  <c r="A91" i="443" s="1"/>
  <c r="A92" i="443" s="1"/>
  <c r="A93" i="443" s="1"/>
  <c r="A94" i="443" s="1"/>
  <c r="A95" i="443" s="1"/>
  <c r="A96" i="443" s="1"/>
  <c r="A97" i="443" s="1"/>
  <c r="A98" i="443" s="1"/>
  <c r="A99" i="443" s="1"/>
  <c r="A100" i="443" s="1"/>
  <c r="A101" i="443" s="1"/>
  <c r="A102" i="443" s="1"/>
  <c r="A103" i="443" s="1"/>
  <c r="A104" i="443" s="1"/>
  <c r="A105" i="443" s="1"/>
  <c r="A106" i="443" s="1"/>
  <c r="A107" i="443" s="1"/>
  <c r="A108" i="443" s="1"/>
  <c r="A109" i="443" s="1"/>
  <c r="A110" i="443" s="1"/>
  <c r="A111" i="443" s="1"/>
  <c r="A112" i="443" s="1"/>
  <c r="A113" i="443" s="1"/>
  <c r="A114" i="443" s="1"/>
  <c r="A115" i="443" s="1"/>
  <c r="A116" i="443" s="1"/>
  <c r="A117" i="443" s="1"/>
  <c r="A118" i="443" s="1"/>
  <c r="A119" i="443" s="1"/>
  <c r="A120" i="443" s="1"/>
  <c r="A121" i="443" s="1"/>
  <c r="A122" i="443" s="1"/>
  <c r="A123" i="443" s="1"/>
  <c r="W52" i="442"/>
  <c r="Z52" i="442"/>
  <c r="R52" i="442"/>
  <c r="Q52" i="442"/>
  <c r="I52" i="442"/>
  <c r="A52" i="442"/>
  <c r="P132" i="433"/>
  <c r="Z117" i="433"/>
  <c r="R117" i="433"/>
  <c r="J117" i="433"/>
  <c r="V105" i="433"/>
  <c r="Z110" i="433"/>
  <c r="X16" i="97" s="1"/>
  <c r="Z90" i="433"/>
  <c r="X11" i="97" s="1"/>
  <c r="Z125" i="433"/>
  <c r="X18" i="97" s="1"/>
  <c r="E105" i="433"/>
  <c r="C12" i="97" s="1"/>
  <c r="Y110" i="433"/>
  <c r="W16" i="97" s="1"/>
  <c r="Q110" i="433"/>
  <c r="O16" i="97" s="1"/>
  <c r="I110" i="433"/>
  <c r="G16" i="97" s="1"/>
  <c r="E15" i="433"/>
  <c r="E58" i="433"/>
  <c r="C9" i="97" s="1"/>
  <c r="Y117" i="433"/>
  <c r="Q117" i="433"/>
  <c r="I117" i="433"/>
  <c r="E45" i="433"/>
  <c r="Y90" i="433"/>
  <c r="W11" i="97" s="1"/>
  <c r="Q90" i="433"/>
  <c r="I90" i="433"/>
  <c r="G11" i="97" s="1"/>
  <c r="Y125" i="433"/>
  <c r="W18" i="97" s="1"/>
  <c r="Q125" i="433"/>
  <c r="O18" i="97" s="1"/>
  <c r="I125" i="433"/>
  <c r="G18" i="97" s="1"/>
  <c r="V58" i="433"/>
  <c r="R90" i="433"/>
  <c r="J125" i="433"/>
  <c r="X110" i="433"/>
  <c r="V16" i="97" s="1"/>
  <c r="H110" i="433"/>
  <c r="F16" i="97" s="1"/>
  <c r="D58" i="433"/>
  <c r="B9" i="97" s="1"/>
  <c r="X117" i="433"/>
  <c r="H117" i="433"/>
  <c r="X90" i="433"/>
  <c r="V11" i="97" s="1"/>
  <c r="H90" i="433"/>
  <c r="F11" i="97" s="1"/>
  <c r="X125" i="433"/>
  <c r="V18" i="97" s="1"/>
  <c r="H125" i="433"/>
  <c r="F18" i="97" s="1"/>
  <c r="J110" i="433"/>
  <c r="H16" i="97" s="1"/>
  <c r="V45" i="433"/>
  <c r="R125" i="433"/>
  <c r="P18" i="97" s="1"/>
  <c r="Z105" i="433"/>
  <c r="X12" i="97" s="1"/>
  <c r="R105" i="433"/>
  <c r="J105" i="433"/>
  <c r="V110" i="433"/>
  <c r="Z15" i="433"/>
  <c r="R15" i="433"/>
  <c r="J15" i="433"/>
  <c r="Z58" i="433"/>
  <c r="X9" i="97" s="1"/>
  <c r="R58" i="433"/>
  <c r="P9" i="97" s="1"/>
  <c r="V117" i="433"/>
  <c r="Z45" i="433"/>
  <c r="R45" i="433"/>
  <c r="J45" i="433"/>
  <c r="V90" i="433"/>
  <c r="V125" i="433"/>
  <c r="V15" i="433"/>
  <c r="Y105" i="433"/>
  <c r="W12" i="97" s="1"/>
  <c r="Q105" i="433"/>
  <c r="I105" i="433"/>
  <c r="E110" i="433"/>
  <c r="C16" i="97" s="1"/>
  <c r="Y15" i="433"/>
  <c r="Q15" i="433"/>
  <c r="I15" i="433"/>
  <c r="Y58" i="433"/>
  <c r="W9" i="97" s="1"/>
  <c r="Q58" i="433"/>
  <c r="O9" i="97" s="1"/>
  <c r="E117" i="433"/>
  <c r="Y45" i="433"/>
  <c r="Q45" i="433"/>
  <c r="I45" i="433"/>
  <c r="E125" i="433"/>
  <c r="C18" i="97" s="1"/>
  <c r="X105" i="433"/>
  <c r="V12" i="97" s="1"/>
  <c r="H105" i="433"/>
  <c r="X15" i="433"/>
  <c r="H15" i="433"/>
  <c r="X58" i="433"/>
  <c r="H58" i="433"/>
  <c r="D117" i="433"/>
  <c r="X45" i="433"/>
  <c r="H45" i="433"/>
  <c r="R110" i="433"/>
  <c r="P16" i="97" s="1"/>
  <c r="AA105" i="433"/>
  <c r="AA110" i="433"/>
  <c r="Y16" i="97" s="1"/>
  <c r="AA15" i="433"/>
  <c r="AA58" i="433"/>
  <c r="Y9" i="97" s="1"/>
  <c r="AA117" i="433"/>
  <c r="AA45" i="433"/>
  <c r="AA90" i="433"/>
  <c r="G45" i="433"/>
  <c r="G15" i="433"/>
  <c r="H18" i="97"/>
  <c r="G105" i="433"/>
  <c r="E12" i="97" s="1"/>
  <c r="G58" i="433"/>
  <c r="E9" i="97" s="1"/>
  <c r="AA125" i="433"/>
  <c r="G110" i="433"/>
  <c r="E16" i="97" s="1"/>
  <c r="G117" i="433"/>
  <c r="G90" i="433"/>
  <c r="G125" i="433"/>
  <c r="L27" i="441"/>
  <c r="P27" i="441" s="1"/>
  <c r="L23" i="441"/>
  <c r="P12" i="441"/>
  <c r="P11" i="441"/>
  <c r="M10" i="441"/>
  <c r="T10" i="441" s="1"/>
  <c r="U10" i="441" s="1"/>
  <c r="V10" i="441" s="1"/>
  <c r="O24" i="441"/>
  <c r="M15" i="441"/>
  <c r="M16" i="441"/>
  <c r="T16" i="441" s="1"/>
  <c r="U16" i="441" s="1"/>
  <c r="V16" i="441" s="1"/>
  <c r="M17" i="441"/>
  <c r="T17" i="441" s="1"/>
  <c r="U17" i="441" s="1"/>
  <c r="W17" i="441" s="1"/>
  <c r="W18" i="441" s="1"/>
  <c r="P6" i="441"/>
  <c r="P7" i="441" s="1"/>
  <c r="P9" i="441"/>
  <c r="P13" i="441" s="1"/>
  <c r="M24" i="441"/>
  <c r="T24" i="441"/>
  <c r="U24" i="441" s="1"/>
  <c r="V24" i="441" s="1"/>
  <c r="P11" i="440"/>
  <c r="T7" i="440"/>
  <c r="U7" i="440" s="1"/>
  <c r="V7" i="440" s="1"/>
  <c r="M7" i="440"/>
  <c r="O7" i="440" s="1"/>
  <c r="M9" i="440"/>
  <c r="O9" i="440" s="1"/>
  <c r="M6" i="440"/>
  <c r="O6" i="440" s="1"/>
  <c r="M12" i="440"/>
  <c r="T12" i="440" s="1"/>
  <c r="U12" i="440" s="1"/>
  <c r="V12" i="440" s="1"/>
  <c r="P10" i="440"/>
  <c r="A14" i="440"/>
  <c r="A116" i="440" s="1"/>
  <c r="A119" i="440" s="1"/>
  <c r="P8" i="440"/>
  <c r="P13" i="440"/>
  <c r="F5" i="440"/>
  <c r="F14" i="440" s="1"/>
  <c r="F15" i="440" s="1"/>
  <c r="N14" i="440"/>
  <c r="L5" i="440"/>
  <c r="O12" i="440"/>
  <c r="P12" i="439"/>
  <c r="P10" i="439"/>
  <c r="P6" i="439"/>
  <c r="P8" i="439"/>
  <c r="P16" i="439"/>
  <c r="M13" i="439"/>
  <c r="T13" i="439" s="1"/>
  <c r="U13" i="439" s="1"/>
  <c r="V13" i="439" s="1"/>
  <c r="P11" i="439"/>
  <c r="L15" i="439"/>
  <c r="P5" i="439"/>
  <c r="P7" i="439"/>
  <c r="P9" i="439"/>
  <c r="P14" i="439"/>
  <c r="A7" i="439"/>
  <c r="A8" i="439" s="1"/>
  <c r="A9" i="439" s="1"/>
  <c r="A10" i="439" s="1"/>
  <c r="A11" i="439" s="1"/>
  <c r="A12" i="439" s="1"/>
  <c r="A13" i="439" s="1"/>
  <c r="A14" i="439" s="1"/>
  <c r="J15" i="439"/>
  <c r="A15" i="439"/>
  <c r="K15" i="439"/>
  <c r="L16" i="439" s="1"/>
  <c r="M8" i="438"/>
  <c r="O8" i="438" s="1"/>
  <c r="F25" i="438"/>
  <c r="F27" i="438" s="1"/>
  <c r="F28" i="438" s="1"/>
  <c r="L29" i="438"/>
  <c r="P29" i="438" s="1"/>
  <c r="L17" i="438"/>
  <c r="L23" i="438" s="1"/>
  <c r="M18" i="438"/>
  <c r="T18" i="438" s="1"/>
  <c r="U18" i="438" s="1"/>
  <c r="V18" i="438" s="1"/>
  <c r="V23" i="438" s="1"/>
  <c r="P22" i="438"/>
  <c r="P19" i="438"/>
  <c r="M7" i="438"/>
  <c r="T7" i="438" s="1"/>
  <c r="U7" i="438" s="1"/>
  <c r="W7" i="438" s="1"/>
  <c r="P11" i="438"/>
  <c r="P12" i="438" s="1"/>
  <c r="P6" i="438"/>
  <c r="P9" i="438" s="1"/>
  <c r="P21" i="438"/>
  <c r="M26" i="438"/>
  <c r="O26" i="438" s="1"/>
  <c r="O20" i="438"/>
  <c r="O7" i="438"/>
  <c r="F18" i="437"/>
  <c r="M9" i="437"/>
  <c r="T9" i="437" s="1"/>
  <c r="U9" i="437" s="1"/>
  <c r="V9" i="437" s="1"/>
  <c r="F8" i="437"/>
  <c r="F12" i="437" s="1"/>
  <c r="F17" i="437" s="1"/>
  <c r="U11" i="437"/>
  <c r="V11" i="437" s="1"/>
  <c r="O10" i="437"/>
  <c r="O11" i="437"/>
  <c r="O9" i="437"/>
  <c r="P7" i="437"/>
  <c r="P6" i="437"/>
  <c r="P12" i="437" s="1"/>
  <c r="M15" i="437"/>
  <c r="O15" i="437" s="1"/>
  <c r="M8" i="437"/>
  <c r="O8" i="437" s="1"/>
  <c r="A7" i="437"/>
  <c r="A8" i="437" s="1"/>
  <c r="A9" i="437" s="1"/>
  <c r="A10" i="437" s="1"/>
  <c r="A11" i="437" s="1"/>
  <c r="A14" i="437" s="1"/>
  <c r="A15" i="437" s="1"/>
  <c r="P10" i="436"/>
  <c r="P14" i="436"/>
  <c r="P12" i="436"/>
  <c r="M7" i="436"/>
  <c r="O7" i="436" s="1"/>
  <c r="P13" i="436"/>
  <c r="M6" i="436"/>
  <c r="O6" i="436" s="1"/>
  <c r="T6" i="436"/>
  <c r="M9" i="436"/>
  <c r="T9" i="436" s="1"/>
  <c r="U9" i="436" s="1"/>
  <c r="W9" i="436" s="1"/>
  <c r="M11" i="436"/>
  <c r="T11" i="436"/>
  <c r="U11" i="436" s="1"/>
  <c r="W11" i="436" s="1"/>
  <c r="U6" i="436"/>
  <c r="W6" i="436" s="1"/>
  <c r="M8" i="436"/>
  <c r="O8" i="436" s="1"/>
  <c r="N15" i="436"/>
  <c r="P5" i="436"/>
  <c r="O11" i="436"/>
  <c r="A15" i="436"/>
  <c r="A114" i="436" s="1"/>
  <c r="A117" i="436" s="1"/>
  <c r="F5" i="436"/>
  <c r="F15" i="436" s="1"/>
  <c r="A7" i="436"/>
  <c r="A8" i="436" s="1"/>
  <c r="A9" i="436" s="1"/>
  <c r="A10" i="436" s="1"/>
  <c r="A11" i="436" s="1"/>
  <c r="A12" i="436" s="1"/>
  <c r="A13" i="436" s="1"/>
  <c r="A14" i="436" s="1"/>
  <c r="M6" i="435"/>
  <c r="O6" i="435" s="1"/>
  <c r="L7" i="435"/>
  <c r="P5" i="435"/>
  <c r="A7" i="435"/>
  <c r="A113" i="435" s="1"/>
  <c r="A116" i="435" s="1"/>
  <c r="M8" i="434"/>
  <c r="O8" i="434" s="1"/>
  <c r="M9" i="434"/>
  <c r="O9" i="434" s="1"/>
  <c r="P16" i="434"/>
  <c r="M13" i="434"/>
  <c r="O13" i="434" s="1"/>
  <c r="M11" i="434"/>
  <c r="O11" i="434" s="1"/>
  <c r="M10" i="434"/>
  <c r="O10" i="434" s="1"/>
  <c r="M6" i="434"/>
  <c r="O6" i="434" s="1"/>
  <c r="O12" i="434"/>
  <c r="P14" i="434"/>
  <c r="A7" i="434"/>
  <c r="A8" i="434" s="1"/>
  <c r="A9" i="434" s="1"/>
  <c r="A10" i="434" s="1"/>
  <c r="A11" i="434" s="1"/>
  <c r="A12" i="434" s="1"/>
  <c r="A13" i="434" s="1"/>
  <c r="A14" i="434" s="1"/>
  <c r="T7" i="434"/>
  <c r="U7" i="434" s="1"/>
  <c r="W7" i="434" s="1"/>
  <c r="T12" i="434"/>
  <c r="U12" i="434" s="1"/>
  <c r="N15" i="434"/>
  <c r="L5" i="434"/>
  <c r="T14" i="437" l="1"/>
  <c r="M16" i="437"/>
  <c r="P20" i="441"/>
  <c r="L21" i="441"/>
  <c r="T13" i="434"/>
  <c r="U13" i="434" s="1"/>
  <c r="T7" i="436"/>
  <c r="U7" i="436" s="1"/>
  <c r="W7" i="436" s="1"/>
  <c r="O13" i="439"/>
  <c r="P25" i="438"/>
  <c r="L27" i="438"/>
  <c r="T8" i="436"/>
  <c r="U8" i="436" s="1"/>
  <c r="W8" i="436" s="1"/>
  <c r="P23" i="441"/>
  <c r="L25" i="441"/>
  <c r="F9" i="97"/>
  <c r="D19" i="97"/>
  <c r="F26" i="441"/>
  <c r="I19" i="97"/>
  <c r="K26" i="441"/>
  <c r="B19" i="97"/>
  <c r="D26" i="441"/>
  <c r="F27" i="441" s="1"/>
  <c r="F12" i="97"/>
  <c r="O14" i="437"/>
  <c r="O16" i="437" s="1"/>
  <c r="O15" i="441"/>
  <c r="M18" i="441"/>
  <c r="E11" i="97"/>
  <c r="V9" i="97"/>
  <c r="K17" i="437"/>
  <c r="L18" i="437" s="1"/>
  <c r="P18" i="437" s="1"/>
  <c r="G12" i="97"/>
  <c r="P17" i="437"/>
  <c r="P14" i="438"/>
  <c r="L15" i="438"/>
  <c r="E146" i="432"/>
  <c r="H146" i="432"/>
  <c r="Z146" i="432"/>
  <c r="A124" i="443"/>
  <c r="M132" i="433"/>
  <c r="O132" i="433" s="1"/>
  <c r="R126" i="433"/>
  <c r="Y126" i="433"/>
  <c r="X126" i="433"/>
  <c r="V126" i="433"/>
  <c r="H126" i="433"/>
  <c r="Z126" i="433"/>
  <c r="Q126" i="433"/>
  <c r="E18" i="97"/>
  <c r="G126" i="433"/>
  <c r="Y18" i="97"/>
  <c r="O17" i="441"/>
  <c r="T15" i="441"/>
  <c r="O16" i="441"/>
  <c r="O10" i="441"/>
  <c r="M9" i="441"/>
  <c r="M6" i="441"/>
  <c r="M11" i="441"/>
  <c r="O11" i="441" s="1"/>
  <c r="M12" i="441"/>
  <c r="O12" i="441" s="1"/>
  <c r="M10" i="440"/>
  <c r="O10" i="440" s="1"/>
  <c r="T9" i="440"/>
  <c r="U9" i="440" s="1"/>
  <c r="V9" i="440" s="1"/>
  <c r="M13" i="440"/>
  <c r="O13" i="440" s="1"/>
  <c r="T6" i="440"/>
  <c r="U6" i="440" s="1"/>
  <c r="V6" i="440" s="1"/>
  <c r="M8" i="440"/>
  <c r="O8" i="440" s="1"/>
  <c r="M11" i="440"/>
  <c r="O11" i="440" s="1"/>
  <c r="L14" i="440"/>
  <c r="P5" i="440"/>
  <c r="M8" i="439"/>
  <c r="O8" i="439" s="1"/>
  <c r="M6" i="439"/>
  <c r="O6" i="439" s="1"/>
  <c r="M14" i="439"/>
  <c r="O14" i="439" s="1"/>
  <c r="M9" i="439"/>
  <c r="O9" i="439" s="1"/>
  <c r="M11" i="439"/>
  <c r="O11" i="439" s="1"/>
  <c r="M7" i="439"/>
  <c r="O7" i="439" s="1"/>
  <c r="M10" i="439"/>
  <c r="O10" i="439" s="1"/>
  <c r="A107" i="439"/>
  <c r="A110" i="439" s="1"/>
  <c r="M5" i="439"/>
  <c r="T5" i="439"/>
  <c r="P15" i="439"/>
  <c r="M12" i="439"/>
  <c r="O12" i="439" s="1"/>
  <c r="O18" i="438"/>
  <c r="P17" i="438"/>
  <c r="P23" i="438" s="1"/>
  <c r="M19" i="438"/>
  <c r="O19" i="438" s="1"/>
  <c r="M11" i="438"/>
  <c r="M21" i="438"/>
  <c r="O21" i="438" s="1"/>
  <c r="M22" i="438"/>
  <c r="O22" i="438" s="1"/>
  <c r="T26" i="438"/>
  <c r="U26" i="438" s="1"/>
  <c r="W26" i="438" s="1"/>
  <c r="M6" i="438"/>
  <c r="T8" i="437"/>
  <c r="U8" i="437" s="1"/>
  <c r="V8" i="437" s="1"/>
  <c r="M6" i="437"/>
  <c r="T15" i="437"/>
  <c r="U15" i="437" s="1"/>
  <c r="V15" i="437" s="1"/>
  <c r="M7" i="437"/>
  <c r="O7" i="437" s="1"/>
  <c r="T7" i="437"/>
  <c r="U7" i="437" s="1"/>
  <c r="V7" i="437" s="1"/>
  <c r="A17" i="437"/>
  <c r="A115" i="437" s="1"/>
  <c r="A118" i="437" s="1"/>
  <c r="M13" i="436"/>
  <c r="O13" i="436" s="1"/>
  <c r="O9" i="436"/>
  <c r="M14" i="436"/>
  <c r="O14" i="436" s="1"/>
  <c r="P15" i="436"/>
  <c r="M5" i="436"/>
  <c r="M10" i="436"/>
  <c r="O10" i="436" s="1"/>
  <c r="T10" i="436"/>
  <c r="U10" i="436" s="1"/>
  <c r="W10" i="436" s="1"/>
  <c r="M12" i="436"/>
  <c r="O12" i="436" s="1"/>
  <c r="T12" i="436"/>
  <c r="U12" i="436" s="1"/>
  <c r="W12" i="436" s="1"/>
  <c r="T6" i="435"/>
  <c r="U6" i="435" s="1"/>
  <c r="W6" i="435" s="1"/>
  <c r="M5" i="435"/>
  <c r="T5" i="435" s="1"/>
  <c r="P7" i="435"/>
  <c r="W13" i="434"/>
  <c r="V13" i="434" s="1"/>
  <c r="W12" i="434"/>
  <c r="V12" i="434"/>
  <c r="T10" i="434"/>
  <c r="U10" i="434" s="1"/>
  <c r="W10" i="434" s="1"/>
  <c r="T6" i="434"/>
  <c r="U6" i="434" s="1"/>
  <c r="W6" i="434" s="1"/>
  <c r="A15" i="434"/>
  <c r="T9" i="434"/>
  <c r="U9" i="434" s="1"/>
  <c r="W9" i="434" s="1"/>
  <c r="M14" i="434"/>
  <c r="O14" i="434" s="1"/>
  <c r="T14" i="434"/>
  <c r="U14" i="434" s="1"/>
  <c r="T11" i="434"/>
  <c r="U11" i="434" s="1"/>
  <c r="W11" i="434" s="1"/>
  <c r="T8" i="434"/>
  <c r="U8" i="434" s="1"/>
  <c r="W8" i="434" s="1"/>
  <c r="L15" i="434"/>
  <c r="P5" i="434"/>
  <c r="J19" i="97" l="1"/>
  <c r="L26" i="441"/>
  <c r="U15" i="441"/>
  <c r="T18" i="441"/>
  <c r="P15" i="438"/>
  <c r="M14" i="438"/>
  <c r="O18" i="441"/>
  <c r="M23" i="441"/>
  <c r="P25" i="441"/>
  <c r="T16" i="437"/>
  <c r="U14" i="437"/>
  <c r="O6" i="441"/>
  <c r="O7" i="441" s="1"/>
  <c r="M7" i="441"/>
  <c r="O11" i="438"/>
  <c r="O12" i="438" s="1"/>
  <c r="M12" i="438"/>
  <c r="T13" i="440"/>
  <c r="U13" i="440" s="1"/>
  <c r="V13" i="440" s="1"/>
  <c r="O9" i="441"/>
  <c r="O13" i="441" s="1"/>
  <c r="M13" i="441"/>
  <c r="P27" i="438"/>
  <c r="M25" i="438"/>
  <c r="L28" i="438"/>
  <c r="M12" i="437"/>
  <c r="M17" i="437" s="1"/>
  <c r="T6" i="439"/>
  <c r="U6" i="439" s="1"/>
  <c r="V6" i="439" s="1"/>
  <c r="O6" i="438"/>
  <c r="O9" i="438" s="1"/>
  <c r="M9" i="438"/>
  <c r="T10" i="439"/>
  <c r="U10" i="439" s="1"/>
  <c r="V10" i="439" s="1"/>
  <c r="T10" i="440"/>
  <c r="U10" i="440" s="1"/>
  <c r="V10" i="440" s="1"/>
  <c r="P21" i="441"/>
  <c r="M20" i="441"/>
  <c r="T132" i="433"/>
  <c r="U132" i="433" s="1"/>
  <c r="W132" i="433" s="1"/>
  <c r="T6" i="441"/>
  <c r="T11" i="441"/>
  <c r="U11" i="441" s="1"/>
  <c r="V11" i="441" s="1"/>
  <c r="T9" i="441"/>
  <c r="T12" i="441"/>
  <c r="U12" i="441" s="1"/>
  <c r="V12" i="441" s="1"/>
  <c r="M5" i="440"/>
  <c r="T5" i="440" s="1"/>
  <c r="P14" i="440"/>
  <c r="T11" i="440"/>
  <c r="U11" i="440" s="1"/>
  <c r="V11" i="440" s="1"/>
  <c r="T8" i="440"/>
  <c r="U8" i="440" s="1"/>
  <c r="V8" i="440" s="1"/>
  <c r="T14" i="439"/>
  <c r="U14" i="439" s="1"/>
  <c r="V14" i="439" s="1"/>
  <c r="T12" i="439"/>
  <c r="U12" i="439" s="1"/>
  <c r="V12" i="439" s="1"/>
  <c r="T7" i="439"/>
  <c r="U7" i="439" s="1"/>
  <c r="V7" i="439" s="1"/>
  <c r="T11" i="439"/>
  <c r="U11" i="439" s="1"/>
  <c r="V11" i="439" s="1"/>
  <c r="U5" i="439"/>
  <c r="M15" i="439"/>
  <c r="O5" i="439"/>
  <c r="O15" i="439" s="1"/>
  <c r="T9" i="439"/>
  <c r="U9" i="439" s="1"/>
  <c r="V9" i="439" s="1"/>
  <c r="T8" i="439"/>
  <c r="U8" i="439" s="1"/>
  <c r="V8" i="439" s="1"/>
  <c r="M17" i="438"/>
  <c r="M23" i="438" s="1"/>
  <c r="T22" i="438"/>
  <c r="U22" i="438" s="1"/>
  <c r="W22" i="438" s="1"/>
  <c r="T11" i="438"/>
  <c r="O17" i="438"/>
  <c r="O23" i="438" s="1"/>
  <c r="T6" i="438"/>
  <c r="T21" i="438"/>
  <c r="U21" i="438" s="1"/>
  <c r="W21" i="438" s="1"/>
  <c r="T19" i="438"/>
  <c r="U19" i="438" s="1"/>
  <c r="W19" i="438" s="1"/>
  <c r="O6" i="437"/>
  <c r="O12" i="437" s="1"/>
  <c r="O17" i="437" s="1"/>
  <c r="T6" i="437"/>
  <c r="T12" i="437" s="1"/>
  <c r="M15" i="436"/>
  <c r="O5" i="436"/>
  <c r="O15" i="436" s="1"/>
  <c r="T5" i="436"/>
  <c r="T14" i="436"/>
  <c r="U14" i="436" s="1"/>
  <c r="W14" i="436" s="1"/>
  <c r="T13" i="436"/>
  <c r="U13" i="436" s="1"/>
  <c r="W13" i="436" s="1"/>
  <c r="T7" i="435"/>
  <c r="U5" i="435"/>
  <c r="M7" i="435"/>
  <c r="O5" i="435"/>
  <c r="O7" i="435" s="1"/>
  <c r="M5" i="434"/>
  <c r="T5" i="434" s="1"/>
  <c r="P15" i="434"/>
  <c r="W14" i="434"/>
  <c r="V14" i="434"/>
  <c r="V15" i="434"/>
  <c r="N19" i="97" l="1"/>
  <c r="P26" i="441"/>
  <c r="U11" i="438"/>
  <c r="T12" i="438"/>
  <c r="T23" i="441"/>
  <c r="M25" i="441"/>
  <c r="O23" i="441"/>
  <c r="O25" i="441" s="1"/>
  <c r="U9" i="441"/>
  <c r="T13" i="441"/>
  <c r="O20" i="441"/>
  <c r="O21" i="441" s="1"/>
  <c r="M21" i="441"/>
  <c r="T20" i="441"/>
  <c r="O14" i="438"/>
  <c r="O15" i="438" s="1"/>
  <c r="M15" i="438"/>
  <c r="T14" i="438"/>
  <c r="T17" i="438"/>
  <c r="T23" i="438" s="1"/>
  <c r="U6" i="441"/>
  <c r="T7" i="441"/>
  <c r="P28" i="438"/>
  <c r="V14" i="437"/>
  <c r="V16" i="437" s="1"/>
  <c r="U16" i="437"/>
  <c r="U17" i="437" s="1"/>
  <c r="V15" i="441"/>
  <c r="V18" i="441" s="1"/>
  <c r="U18" i="441"/>
  <c r="T25" i="438"/>
  <c r="M27" i="438"/>
  <c r="O25" i="438"/>
  <c r="O27" i="438" s="1"/>
  <c r="U6" i="438"/>
  <c r="T9" i="438"/>
  <c r="T17" i="437"/>
  <c r="T14" i="440"/>
  <c r="U15" i="440" s="1"/>
  <c r="U5" i="440"/>
  <c r="M14" i="440"/>
  <c r="O5" i="440"/>
  <c r="O14" i="440" s="1"/>
  <c r="D16" i="439"/>
  <c r="T16" i="439"/>
  <c r="U16" i="439" s="1"/>
  <c r="U15" i="439"/>
  <c r="V5" i="439"/>
  <c r="V15" i="439" s="1"/>
  <c r="T15" i="439"/>
  <c r="U17" i="438"/>
  <c r="U23" i="438" s="1"/>
  <c r="U6" i="437"/>
  <c r="U12" i="437" s="1"/>
  <c r="T18" i="437"/>
  <c r="U18" i="437" s="1"/>
  <c r="D18" i="437"/>
  <c r="T15" i="436"/>
  <c r="U5" i="436"/>
  <c r="D16" i="436"/>
  <c r="T16" i="436"/>
  <c r="U16" i="436" s="1"/>
  <c r="T8" i="435"/>
  <c r="U8" i="435" s="1"/>
  <c r="D8" i="435"/>
  <c r="W5" i="435"/>
  <c r="W7" i="435" s="1"/>
  <c r="U7" i="435"/>
  <c r="T15" i="434"/>
  <c r="U5" i="434"/>
  <c r="O5" i="434"/>
  <c r="O15" i="434" s="1"/>
  <c r="M15" i="434"/>
  <c r="T16" i="434" s="1"/>
  <c r="U16" i="434" s="1"/>
  <c r="U25" i="438" l="1"/>
  <c r="T27" i="438"/>
  <c r="V9" i="441"/>
  <c r="V13" i="441" s="1"/>
  <c r="U13" i="441"/>
  <c r="U14" i="438"/>
  <c r="T15" i="438"/>
  <c r="M19" i="97"/>
  <c r="O26" i="441"/>
  <c r="T21" i="441"/>
  <c r="U20" i="441"/>
  <c r="U23" i="441"/>
  <c r="T25" i="441"/>
  <c r="W6" i="438"/>
  <c r="W9" i="438" s="1"/>
  <c r="U9" i="438"/>
  <c r="W11" i="438"/>
  <c r="W12" i="438" s="1"/>
  <c r="U12" i="438"/>
  <c r="K19" i="97"/>
  <c r="M26" i="441"/>
  <c r="O28" i="438"/>
  <c r="M28" i="438"/>
  <c r="V6" i="441"/>
  <c r="V7" i="441" s="1"/>
  <c r="U7" i="441"/>
  <c r="V5" i="440"/>
  <c r="V14" i="440" s="1"/>
  <c r="U14" i="440"/>
  <c r="T15" i="440"/>
  <c r="D15" i="440"/>
  <c r="W17" i="438"/>
  <c r="W23" i="438" s="1"/>
  <c r="V6" i="437"/>
  <c r="V12" i="437" s="1"/>
  <c r="V17" i="437" s="1"/>
  <c r="U15" i="436"/>
  <c r="W5" i="436"/>
  <c r="W15" i="436" s="1"/>
  <c r="W5" i="434"/>
  <c r="W15" i="434" s="1"/>
  <c r="U15" i="434"/>
  <c r="D29" i="438" l="1"/>
  <c r="T29" i="438"/>
  <c r="U29" i="438" s="1"/>
  <c r="R19" i="97"/>
  <c r="T26" i="441"/>
  <c r="W14" i="438"/>
  <c r="W15" i="438" s="1"/>
  <c r="U15" i="438"/>
  <c r="D27" i="441"/>
  <c r="T27" i="441"/>
  <c r="U27" i="441" s="1"/>
  <c r="U21" i="441"/>
  <c r="V20" i="441"/>
  <c r="V21" i="441" s="1"/>
  <c r="V23" i="441"/>
  <c r="V25" i="441" s="1"/>
  <c r="U25" i="441"/>
  <c r="T28" i="438"/>
  <c r="W25" i="438"/>
  <c r="W27" i="438" s="1"/>
  <c r="W28" i="438" s="1"/>
  <c r="U27" i="438"/>
  <c r="U28" i="438" s="1"/>
  <c r="B49" i="431"/>
  <c r="C49" i="431"/>
  <c r="E49" i="431"/>
  <c r="G49" i="431"/>
  <c r="H49" i="431"/>
  <c r="I49" i="431"/>
  <c r="J49" i="431"/>
  <c r="Q49" i="431"/>
  <c r="R49" i="431"/>
  <c r="W49" i="431"/>
  <c r="X49" i="431"/>
  <c r="Y49" i="431"/>
  <c r="Z49" i="431"/>
  <c r="AA49" i="431"/>
  <c r="AB49" i="431"/>
  <c r="AC49" i="431"/>
  <c r="B6" i="431"/>
  <c r="C6" i="431"/>
  <c r="E6" i="431"/>
  <c r="G6" i="431"/>
  <c r="H6" i="431"/>
  <c r="I6" i="431"/>
  <c r="Q6" i="431"/>
  <c r="R6" i="431"/>
  <c r="W6" i="431"/>
  <c r="X6" i="431"/>
  <c r="Y6" i="431"/>
  <c r="Z6" i="431"/>
  <c r="AA6" i="431"/>
  <c r="AB6" i="431"/>
  <c r="AC6" i="431"/>
  <c r="B33" i="431"/>
  <c r="C33" i="431"/>
  <c r="D33" i="431"/>
  <c r="E33" i="431"/>
  <c r="G33" i="431"/>
  <c r="H33" i="431"/>
  <c r="I33" i="431"/>
  <c r="J33" i="431"/>
  <c r="N33" i="431"/>
  <c r="Q33" i="431"/>
  <c r="R33" i="431"/>
  <c r="W33" i="431"/>
  <c r="X33" i="431"/>
  <c r="Y33" i="431"/>
  <c r="Z33" i="431"/>
  <c r="AA33" i="431"/>
  <c r="AB33" i="431"/>
  <c r="AC33" i="431"/>
  <c r="B7" i="431"/>
  <c r="C7" i="431"/>
  <c r="D7" i="431"/>
  <c r="E7" i="431"/>
  <c r="G7" i="431"/>
  <c r="H7" i="431"/>
  <c r="I7" i="431"/>
  <c r="J7" i="431"/>
  <c r="N7" i="431"/>
  <c r="Q7" i="431"/>
  <c r="R7" i="431"/>
  <c r="W7" i="431"/>
  <c r="X7" i="431"/>
  <c r="Y7" i="431"/>
  <c r="Z7" i="431"/>
  <c r="AA7" i="431"/>
  <c r="AB7" i="431"/>
  <c r="AC7" i="431"/>
  <c r="B34" i="431"/>
  <c r="C34" i="431"/>
  <c r="D34" i="431"/>
  <c r="E34" i="431"/>
  <c r="G34" i="431"/>
  <c r="H34" i="431"/>
  <c r="I34" i="431"/>
  <c r="J34" i="431"/>
  <c r="Q34" i="431"/>
  <c r="R34" i="431"/>
  <c r="W34" i="431"/>
  <c r="X34" i="431"/>
  <c r="Y34" i="431"/>
  <c r="Z34" i="431"/>
  <c r="AA34" i="431"/>
  <c r="AB34" i="431"/>
  <c r="AC34" i="431"/>
  <c r="B8" i="431"/>
  <c r="C8" i="431"/>
  <c r="E8" i="431"/>
  <c r="G8" i="431"/>
  <c r="H8" i="431"/>
  <c r="I8" i="431"/>
  <c r="J8" i="431"/>
  <c r="Q8" i="431"/>
  <c r="R8" i="431"/>
  <c r="W8" i="431"/>
  <c r="X8" i="431"/>
  <c r="Y8" i="431"/>
  <c r="Z8" i="431"/>
  <c r="AA8" i="431"/>
  <c r="AB8" i="431"/>
  <c r="AC8" i="431"/>
  <c r="B35" i="431"/>
  <c r="C35" i="431"/>
  <c r="D35" i="431"/>
  <c r="E35" i="431"/>
  <c r="G35" i="431"/>
  <c r="H35" i="431"/>
  <c r="I35" i="431"/>
  <c r="J35" i="431"/>
  <c r="Q35" i="431"/>
  <c r="R35" i="431"/>
  <c r="W35" i="431"/>
  <c r="X35" i="431"/>
  <c r="Y35" i="431"/>
  <c r="Z35" i="431"/>
  <c r="AA35" i="431"/>
  <c r="AB35" i="431"/>
  <c r="AC35" i="431"/>
  <c r="B9" i="431"/>
  <c r="C9" i="431"/>
  <c r="D9" i="431"/>
  <c r="E9" i="431"/>
  <c r="G9" i="431"/>
  <c r="H9" i="431"/>
  <c r="I9" i="431"/>
  <c r="J9" i="431"/>
  <c r="N9" i="431"/>
  <c r="Q9" i="431"/>
  <c r="R9" i="431"/>
  <c r="W9" i="431"/>
  <c r="X9" i="431"/>
  <c r="Y9" i="431"/>
  <c r="Z9" i="431"/>
  <c r="AA9" i="431"/>
  <c r="AB9" i="431"/>
  <c r="AC9" i="431"/>
  <c r="B10" i="431"/>
  <c r="C10" i="431"/>
  <c r="D10" i="431"/>
  <c r="E10" i="431"/>
  <c r="G10" i="431"/>
  <c r="H10" i="431"/>
  <c r="I10" i="431"/>
  <c r="J10" i="431"/>
  <c r="Q10" i="431"/>
  <c r="R10" i="431"/>
  <c r="W10" i="431"/>
  <c r="X10" i="431"/>
  <c r="Y10" i="431"/>
  <c r="Z10" i="431"/>
  <c r="AA10" i="431"/>
  <c r="AB10" i="431"/>
  <c r="AC10" i="431"/>
  <c r="B11" i="431"/>
  <c r="C11" i="431"/>
  <c r="D11" i="431"/>
  <c r="E11" i="431"/>
  <c r="G11" i="431"/>
  <c r="H11" i="431"/>
  <c r="I11" i="431"/>
  <c r="J11" i="431"/>
  <c r="M11" i="431"/>
  <c r="Q11" i="431"/>
  <c r="R11" i="431"/>
  <c r="W11" i="431"/>
  <c r="X11" i="431"/>
  <c r="Y11" i="431"/>
  <c r="Z11" i="431"/>
  <c r="AA11" i="431"/>
  <c r="AB11" i="431"/>
  <c r="AC11" i="431"/>
  <c r="B12" i="431"/>
  <c r="C12" i="431"/>
  <c r="D12" i="431"/>
  <c r="E12" i="431"/>
  <c r="G12" i="431"/>
  <c r="H12" i="431"/>
  <c r="I12" i="431"/>
  <c r="J12" i="431"/>
  <c r="Q12" i="431"/>
  <c r="R12" i="431"/>
  <c r="W12" i="431"/>
  <c r="X12" i="431"/>
  <c r="Y12" i="431"/>
  <c r="Z12" i="431"/>
  <c r="AA12" i="431"/>
  <c r="AB12" i="431"/>
  <c r="AC12" i="431"/>
  <c r="B54" i="431"/>
  <c r="C54" i="431"/>
  <c r="D54" i="431"/>
  <c r="D55" i="431" s="1"/>
  <c r="E54" i="431"/>
  <c r="E55" i="431" s="1"/>
  <c r="C10" i="97" s="1"/>
  <c r="G54" i="431"/>
  <c r="G55" i="431" s="1"/>
  <c r="E10" i="97" s="1"/>
  <c r="H54" i="431"/>
  <c r="H55" i="431" s="1"/>
  <c r="F10" i="97" s="1"/>
  <c r="I54" i="431"/>
  <c r="I55" i="431" s="1"/>
  <c r="G10" i="97" s="1"/>
  <c r="J54" i="431"/>
  <c r="J55" i="431" s="1"/>
  <c r="H10" i="97" s="1"/>
  <c r="Q54" i="431"/>
  <c r="Q55" i="431" s="1"/>
  <c r="O10" i="97" s="1"/>
  <c r="R54" i="431"/>
  <c r="R55" i="431" s="1"/>
  <c r="P10" i="97" s="1"/>
  <c r="W54" i="431"/>
  <c r="W55" i="431" s="1"/>
  <c r="X54" i="431"/>
  <c r="X55" i="431" s="1"/>
  <c r="V10" i="97" s="1"/>
  <c r="Y54" i="431"/>
  <c r="Y55" i="431" s="1"/>
  <c r="W10" i="97" s="1"/>
  <c r="Z54" i="431"/>
  <c r="Z55" i="431" s="1"/>
  <c r="X10" i="97" s="1"/>
  <c r="AA54" i="431"/>
  <c r="AA55" i="431" s="1"/>
  <c r="AB54" i="431"/>
  <c r="AC54" i="431"/>
  <c r="B13" i="431"/>
  <c r="C13" i="431"/>
  <c r="D13" i="431"/>
  <c r="E13" i="431"/>
  <c r="G13" i="431"/>
  <c r="H13" i="431"/>
  <c r="I13" i="431"/>
  <c r="J13" i="431"/>
  <c r="Q13" i="431"/>
  <c r="R13" i="431"/>
  <c r="W13" i="431"/>
  <c r="X13" i="431"/>
  <c r="Y13" i="431"/>
  <c r="Z13" i="431"/>
  <c r="AA13" i="431"/>
  <c r="AB13" i="431"/>
  <c r="AC13" i="431"/>
  <c r="B36" i="431"/>
  <c r="C36" i="431"/>
  <c r="D36" i="431"/>
  <c r="E36" i="431"/>
  <c r="G36" i="431"/>
  <c r="H36" i="431"/>
  <c r="I36" i="431"/>
  <c r="Q36" i="431"/>
  <c r="R36" i="431"/>
  <c r="W36" i="431"/>
  <c r="X36" i="431"/>
  <c r="Y36" i="431"/>
  <c r="Z36" i="431"/>
  <c r="AA36" i="431"/>
  <c r="AB36" i="431"/>
  <c r="AC36" i="431"/>
  <c r="B37" i="431"/>
  <c r="C37" i="431"/>
  <c r="D37" i="431"/>
  <c r="E37" i="431"/>
  <c r="G37" i="431"/>
  <c r="H37" i="431"/>
  <c r="I37" i="431"/>
  <c r="J37" i="431"/>
  <c r="Q37" i="431"/>
  <c r="R37" i="431"/>
  <c r="W37" i="431"/>
  <c r="X37" i="431"/>
  <c r="Y37" i="431"/>
  <c r="Z37" i="431"/>
  <c r="AA37" i="431"/>
  <c r="AB37" i="431"/>
  <c r="AC37" i="431"/>
  <c r="B14" i="431"/>
  <c r="C14" i="431"/>
  <c r="E14" i="431"/>
  <c r="G14" i="431"/>
  <c r="H14" i="431"/>
  <c r="I14" i="431"/>
  <c r="Q14" i="431"/>
  <c r="R14" i="431"/>
  <c r="W14" i="431"/>
  <c r="X14" i="431"/>
  <c r="Y14" i="431"/>
  <c r="Z14" i="431"/>
  <c r="AA14" i="431"/>
  <c r="AB14" i="431"/>
  <c r="AC14" i="431"/>
  <c r="B15" i="431"/>
  <c r="C15" i="431"/>
  <c r="D15" i="431"/>
  <c r="E15" i="431"/>
  <c r="G15" i="431"/>
  <c r="H15" i="431"/>
  <c r="I15" i="431"/>
  <c r="J15" i="431"/>
  <c r="Q15" i="431"/>
  <c r="R15" i="431"/>
  <c r="W15" i="431"/>
  <c r="X15" i="431"/>
  <c r="Y15" i="431"/>
  <c r="Z15" i="431"/>
  <c r="AA15" i="431"/>
  <c r="AB15" i="431"/>
  <c r="AC15" i="431"/>
  <c r="B38" i="431"/>
  <c r="C38" i="431"/>
  <c r="D38" i="431"/>
  <c r="E38" i="431"/>
  <c r="G38" i="431"/>
  <c r="H38" i="431"/>
  <c r="I38" i="431"/>
  <c r="J38" i="431"/>
  <c r="Q38" i="431"/>
  <c r="R38" i="431"/>
  <c r="W38" i="431"/>
  <c r="X38" i="431"/>
  <c r="Y38" i="431"/>
  <c r="Z38" i="431"/>
  <c r="AA38" i="431"/>
  <c r="AB38" i="431"/>
  <c r="AC38" i="431"/>
  <c r="B16" i="431"/>
  <c r="C16" i="431"/>
  <c r="E16" i="431"/>
  <c r="G16" i="431"/>
  <c r="H16" i="431"/>
  <c r="I16" i="431"/>
  <c r="J16" i="431"/>
  <c r="N16" i="431"/>
  <c r="Q16" i="431"/>
  <c r="R16" i="431"/>
  <c r="W16" i="431"/>
  <c r="X16" i="431"/>
  <c r="Y16" i="431"/>
  <c r="Z16" i="431"/>
  <c r="AA16" i="431"/>
  <c r="AB16" i="431"/>
  <c r="AC16" i="431"/>
  <c r="B39" i="431"/>
  <c r="C39" i="431"/>
  <c r="D39" i="431"/>
  <c r="E39" i="431"/>
  <c r="G39" i="431"/>
  <c r="H39" i="431"/>
  <c r="I39" i="431"/>
  <c r="J39" i="431"/>
  <c r="Q39" i="431"/>
  <c r="R39" i="431"/>
  <c r="W39" i="431"/>
  <c r="X39" i="431"/>
  <c r="Y39" i="431"/>
  <c r="Z39" i="431"/>
  <c r="AA39" i="431"/>
  <c r="AB39" i="431"/>
  <c r="AC39" i="431"/>
  <c r="B17" i="431"/>
  <c r="C17" i="431"/>
  <c r="D17" i="431"/>
  <c r="E17" i="431"/>
  <c r="G17" i="431"/>
  <c r="H17" i="431"/>
  <c r="I17" i="431"/>
  <c r="J17" i="431"/>
  <c r="N17" i="431"/>
  <c r="Q17" i="431"/>
  <c r="R17" i="431"/>
  <c r="W17" i="431"/>
  <c r="X17" i="431"/>
  <c r="Y17" i="431"/>
  <c r="Z17" i="431"/>
  <c r="AA17" i="431"/>
  <c r="AB17" i="431"/>
  <c r="AC17" i="431"/>
  <c r="B18" i="431"/>
  <c r="C18" i="431"/>
  <c r="D18" i="431"/>
  <c r="E18" i="431"/>
  <c r="G18" i="431"/>
  <c r="H18" i="431"/>
  <c r="I18" i="431"/>
  <c r="J18" i="431"/>
  <c r="Q18" i="431"/>
  <c r="R18" i="431"/>
  <c r="W18" i="431"/>
  <c r="X18" i="431"/>
  <c r="Y18" i="431"/>
  <c r="Z18" i="431"/>
  <c r="AA18" i="431"/>
  <c r="AB18" i="431"/>
  <c r="AC18" i="431"/>
  <c r="B19" i="431"/>
  <c r="C19" i="431"/>
  <c r="D19" i="431"/>
  <c r="E19" i="431"/>
  <c r="G19" i="431"/>
  <c r="H19" i="431"/>
  <c r="I19" i="431"/>
  <c r="J19" i="431"/>
  <c r="N19" i="431"/>
  <c r="Q19" i="431"/>
  <c r="R19" i="431"/>
  <c r="W19" i="431"/>
  <c r="X19" i="431"/>
  <c r="Y19" i="431"/>
  <c r="Z19" i="431"/>
  <c r="AA19" i="431"/>
  <c r="AB19" i="431"/>
  <c r="AC19" i="431"/>
  <c r="B40" i="431"/>
  <c r="C40" i="431"/>
  <c r="E40" i="431"/>
  <c r="G40" i="431"/>
  <c r="H40" i="431"/>
  <c r="I40" i="431"/>
  <c r="J40" i="431"/>
  <c r="Q40" i="431"/>
  <c r="R40" i="431"/>
  <c r="W40" i="431"/>
  <c r="X40" i="431"/>
  <c r="Y40" i="431"/>
  <c r="Z40" i="431"/>
  <c r="AA40" i="431"/>
  <c r="AB40" i="431"/>
  <c r="AC40" i="431"/>
  <c r="B20" i="431"/>
  <c r="C20" i="431"/>
  <c r="D20" i="431"/>
  <c r="E20" i="431"/>
  <c r="G20" i="431"/>
  <c r="H20" i="431"/>
  <c r="I20" i="431"/>
  <c r="J20" i="431"/>
  <c r="N20" i="431"/>
  <c r="Q20" i="431"/>
  <c r="R20" i="431"/>
  <c r="W20" i="431"/>
  <c r="X20" i="431"/>
  <c r="Y20" i="431"/>
  <c r="Z20" i="431"/>
  <c r="AA20" i="431"/>
  <c r="AB20" i="431"/>
  <c r="AC20" i="431"/>
  <c r="B41" i="431"/>
  <c r="C41" i="431"/>
  <c r="D41" i="431"/>
  <c r="E41" i="431"/>
  <c r="G41" i="431"/>
  <c r="H41" i="431"/>
  <c r="I41" i="431"/>
  <c r="J41" i="431"/>
  <c r="N41" i="431"/>
  <c r="Q41" i="431"/>
  <c r="R41" i="431"/>
  <c r="W41" i="431"/>
  <c r="X41" i="431"/>
  <c r="Y41" i="431"/>
  <c r="Z41" i="431"/>
  <c r="AA41" i="431"/>
  <c r="AB41" i="431"/>
  <c r="AC41" i="431"/>
  <c r="B42" i="431"/>
  <c r="C42" i="431"/>
  <c r="E42" i="431"/>
  <c r="G42" i="431"/>
  <c r="H42" i="431"/>
  <c r="I42" i="431"/>
  <c r="J42" i="431"/>
  <c r="Q42" i="431"/>
  <c r="R42" i="431"/>
  <c r="W42" i="431"/>
  <c r="X42" i="431"/>
  <c r="Y42" i="431"/>
  <c r="Z42" i="431"/>
  <c r="AA42" i="431"/>
  <c r="AB42" i="431"/>
  <c r="AC42" i="431"/>
  <c r="B21" i="431"/>
  <c r="C21" i="431"/>
  <c r="D21" i="431"/>
  <c r="E21" i="431"/>
  <c r="G21" i="431"/>
  <c r="H21" i="431"/>
  <c r="I21" i="431"/>
  <c r="J21" i="431"/>
  <c r="N21" i="431"/>
  <c r="Q21" i="431"/>
  <c r="R21" i="431"/>
  <c r="W21" i="431"/>
  <c r="X21" i="431"/>
  <c r="Y21" i="431"/>
  <c r="Z21" i="431"/>
  <c r="AA21" i="431"/>
  <c r="AB21" i="431"/>
  <c r="AC21" i="431"/>
  <c r="B22" i="431"/>
  <c r="C22" i="431"/>
  <c r="D22" i="431"/>
  <c r="E22" i="431"/>
  <c r="G22" i="431"/>
  <c r="H22" i="431"/>
  <c r="I22" i="431"/>
  <c r="J22" i="431"/>
  <c r="Q22" i="431"/>
  <c r="R22" i="431"/>
  <c r="W22" i="431"/>
  <c r="X22" i="431"/>
  <c r="Y22" i="431"/>
  <c r="Z22" i="431"/>
  <c r="AA22" i="431"/>
  <c r="AB22" i="431"/>
  <c r="AC22" i="431"/>
  <c r="B23" i="431"/>
  <c r="C23" i="431"/>
  <c r="E23" i="431"/>
  <c r="G23" i="431"/>
  <c r="H23" i="431"/>
  <c r="I23" i="431"/>
  <c r="J23" i="431"/>
  <c r="Q23" i="431"/>
  <c r="R23" i="431"/>
  <c r="W23" i="431"/>
  <c r="X23" i="431"/>
  <c r="Y23" i="431"/>
  <c r="Z23" i="431"/>
  <c r="AA23" i="431"/>
  <c r="AB23" i="431"/>
  <c r="AC23" i="431"/>
  <c r="B43" i="431"/>
  <c r="C43" i="431"/>
  <c r="E43" i="431"/>
  <c r="G43" i="431"/>
  <c r="H43" i="431"/>
  <c r="I43" i="431"/>
  <c r="J43" i="431"/>
  <c r="Q43" i="431"/>
  <c r="R43" i="431"/>
  <c r="W43" i="431"/>
  <c r="X43" i="431"/>
  <c r="Y43" i="431"/>
  <c r="Z43" i="431"/>
  <c r="AA43" i="431"/>
  <c r="AB43" i="431"/>
  <c r="AC43" i="431"/>
  <c r="B44" i="431"/>
  <c r="C44" i="431"/>
  <c r="D44" i="431"/>
  <c r="E44" i="431"/>
  <c r="G44" i="431"/>
  <c r="H44" i="431"/>
  <c r="I44" i="431"/>
  <c r="J44" i="431"/>
  <c r="N44" i="431"/>
  <c r="Q44" i="431"/>
  <c r="R44" i="431"/>
  <c r="W44" i="431"/>
  <c r="X44" i="431"/>
  <c r="Y44" i="431"/>
  <c r="Z44" i="431"/>
  <c r="AA44" i="431"/>
  <c r="AB44" i="431"/>
  <c r="AC44" i="431"/>
  <c r="B50" i="431"/>
  <c r="C50" i="431"/>
  <c r="D50" i="431"/>
  <c r="E50" i="431"/>
  <c r="G50" i="431"/>
  <c r="H50" i="431"/>
  <c r="I50" i="431"/>
  <c r="J50" i="431"/>
  <c r="N50" i="431"/>
  <c r="Q50" i="431"/>
  <c r="R50" i="431"/>
  <c r="W50" i="431"/>
  <c r="X50" i="431"/>
  <c r="Y50" i="431"/>
  <c r="Z50" i="431"/>
  <c r="AA50" i="431"/>
  <c r="AB50" i="431"/>
  <c r="AC50" i="431"/>
  <c r="B51" i="431"/>
  <c r="C51" i="431"/>
  <c r="D51" i="431"/>
  <c r="E51" i="431"/>
  <c r="G51" i="431"/>
  <c r="H51" i="431"/>
  <c r="I51" i="431"/>
  <c r="J51" i="431"/>
  <c r="N51" i="431"/>
  <c r="Q51" i="431"/>
  <c r="R51" i="431"/>
  <c r="W51" i="431"/>
  <c r="X51" i="431"/>
  <c r="Y51" i="431"/>
  <c r="Z51" i="431"/>
  <c r="AA51" i="431"/>
  <c r="AB51" i="431"/>
  <c r="AC51" i="431"/>
  <c r="B24" i="431"/>
  <c r="C24" i="431"/>
  <c r="D24" i="431"/>
  <c r="E24" i="431"/>
  <c r="G24" i="431"/>
  <c r="H24" i="431"/>
  <c r="I24" i="431"/>
  <c r="J24" i="431"/>
  <c r="Q24" i="431"/>
  <c r="R24" i="431"/>
  <c r="W24" i="431"/>
  <c r="X24" i="431"/>
  <c r="Y24" i="431"/>
  <c r="Z24" i="431"/>
  <c r="AA24" i="431"/>
  <c r="AB24" i="431"/>
  <c r="AC24" i="431"/>
  <c r="B25" i="431"/>
  <c r="C25" i="431"/>
  <c r="E25" i="431"/>
  <c r="G25" i="431"/>
  <c r="H25" i="431"/>
  <c r="I25" i="431"/>
  <c r="J25" i="431"/>
  <c r="Q25" i="431"/>
  <c r="R25" i="431"/>
  <c r="W25" i="431"/>
  <c r="X25" i="431"/>
  <c r="Y25" i="431"/>
  <c r="Z25" i="431"/>
  <c r="AA25" i="431"/>
  <c r="AB25" i="431"/>
  <c r="AC25" i="431"/>
  <c r="B26" i="431"/>
  <c r="C26" i="431"/>
  <c r="D26" i="431"/>
  <c r="E26" i="431"/>
  <c r="G26" i="431"/>
  <c r="H26" i="431"/>
  <c r="I26" i="431"/>
  <c r="J26" i="431"/>
  <c r="Q26" i="431"/>
  <c r="R26" i="431"/>
  <c r="W26" i="431"/>
  <c r="X26" i="431"/>
  <c r="Y26" i="431"/>
  <c r="Z26" i="431"/>
  <c r="AA26" i="431"/>
  <c r="AB26" i="431"/>
  <c r="AC26" i="431"/>
  <c r="B27" i="431"/>
  <c r="C27" i="431"/>
  <c r="D27" i="431"/>
  <c r="E27" i="431"/>
  <c r="G27" i="431"/>
  <c r="H27" i="431"/>
  <c r="I27" i="431"/>
  <c r="J27" i="431"/>
  <c r="N27" i="431"/>
  <c r="Q27" i="431"/>
  <c r="R27" i="431"/>
  <c r="W27" i="431"/>
  <c r="X27" i="431"/>
  <c r="Y27" i="431"/>
  <c r="Z27" i="431"/>
  <c r="AA27" i="431"/>
  <c r="AB27" i="431"/>
  <c r="AC27" i="431"/>
  <c r="B57" i="431"/>
  <c r="C57" i="431"/>
  <c r="D57" i="431"/>
  <c r="E57" i="431"/>
  <c r="G57" i="431"/>
  <c r="H57" i="431"/>
  <c r="H59" i="431" s="1"/>
  <c r="I57" i="431"/>
  <c r="I59" i="431" s="1"/>
  <c r="J57" i="431"/>
  <c r="J59" i="431" s="1"/>
  <c r="N57" i="431"/>
  <c r="Q57" i="431"/>
  <c r="Q59" i="431" s="1"/>
  <c r="R57" i="431"/>
  <c r="R59" i="431" s="1"/>
  <c r="W57" i="431"/>
  <c r="X57" i="431"/>
  <c r="X59" i="431" s="1"/>
  <c r="Y57" i="431"/>
  <c r="Y59" i="431" s="1"/>
  <c r="Z57" i="431"/>
  <c r="Z59" i="431" s="1"/>
  <c r="AA57" i="431"/>
  <c r="AB57" i="431"/>
  <c r="AC57" i="431"/>
  <c r="B45" i="431"/>
  <c r="C45" i="431"/>
  <c r="D45" i="431"/>
  <c r="E45" i="431"/>
  <c r="G45" i="431"/>
  <c r="H45" i="431"/>
  <c r="I45" i="431"/>
  <c r="J45" i="431"/>
  <c r="Q45" i="431"/>
  <c r="R45" i="431"/>
  <c r="W45" i="431"/>
  <c r="X45" i="431"/>
  <c r="Y45" i="431"/>
  <c r="Z45" i="431"/>
  <c r="AA45" i="431"/>
  <c r="AB45" i="431"/>
  <c r="AC45" i="431"/>
  <c r="B46" i="431"/>
  <c r="C46" i="431"/>
  <c r="E46" i="431"/>
  <c r="G46" i="431"/>
  <c r="H46" i="431"/>
  <c r="I46" i="431"/>
  <c r="J46" i="431"/>
  <c r="Q46" i="431"/>
  <c r="R46" i="431"/>
  <c r="W46" i="431"/>
  <c r="X46" i="431"/>
  <c r="Y46" i="431"/>
  <c r="Z46" i="431"/>
  <c r="AA46" i="431"/>
  <c r="AB46" i="431"/>
  <c r="AC46" i="431"/>
  <c r="B47" i="431"/>
  <c r="C47" i="431"/>
  <c r="D47" i="431"/>
  <c r="E47" i="431"/>
  <c r="F47" i="431"/>
  <c r="G47" i="431"/>
  <c r="H47" i="431"/>
  <c r="I47" i="431"/>
  <c r="J47" i="431"/>
  <c r="K47" i="431"/>
  <c r="L47" i="431"/>
  <c r="P47" i="431"/>
  <c r="Q47" i="431"/>
  <c r="R47" i="431"/>
  <c r="T47" i="431"/>
  <c r="W47" i="431"/>
  <c r="X47" i="431"/>
  <c r="Y47" i="431"/>
  <c r="Z47" i="431"/>
  <c r="AA47" i="431"/>
  <c r="AB47" i="431"/>
  <c r="AC47" i="431"/>
  <c r="B28" i="431"/>
  <c r="C28" i="431"/>
  <c r="D28" i="431"/>
  <c r="E28" i="431"/>
  <c r="G28" i="431"/>
  <c r="H28" i="431"/>
  <c r="I28" i="431"/>
  <c r="J28" i="431"/>
  <c r="N28" i="431"/>
  <c r="Q28" i="431"/>
  <c r="R28" i="431"/>
  <c r="W28" i="431"/>
  <c r="X28" i="431"/>
  <c r="Y28" i="431"/>
  <c r="Z28" i="431"/>
  <c r="AA28" i="431"/>
  <c r="AB28" i="431"/>
  <c r="AC28" i="431"/>
  <c r="B48" i="431"/>
  <c r="C48" i="431"/>
  <c r="D48" i="431"/>
  <c r="E48" i="431"/>
  <c r="G48" i="431"/>
  <c r="H48" i="431"/>
  <c r="I48" i="431"/>
  <c r="J48" i="431"/>
  <c r="N48" i="431"/>
  <c r="Q48" i="431"/>
  <c r="R48" i="431"/>
  <c r="W48" i="431"/>
  <c r="X48" i="431"/>
  <c r="Y48" i="431"/>
  <c r="Z48" i="431"/>
  <c r="AA48" i="431"/>
  <c r="AB48" i="431"/>
  <c r="AC48" i="431"/>
  <c r="B29" i="431"/>
  <c r="C29" i="431"/>
  <c r="D29" i="431"/>
  <c r="E29" i="431"/>
  <c r="G29" i="431"/>
  <c r="H29" i="431"/>
  <c r="I29" i="431"/>
  <c r="J29" i="431"/>
  <c r="K29" i="431"/>
  <c r="L29" i="431"/>
  <c r="M29" i="431"/>
  <c r="P29" i="431"/>
  <c r="Q29" i="431"/>
  <c r="R29" i="431"/>
  <c r="S29" i="431"/>
  <c r="T29" i="431"/>
  <c r="W29" i="431"/>
  <c r="X29" i="431"/>
  <c r="Y29" i="431"/>
  <c r="Z29" i="431"/>
  <c r="AA29" i="431"/>
  <c r="AB29" i="431"/>
  <c r="AC29" i="431"/>
  <c r="B58" i="431"/>
  <c r="C58" i="431"/>
  <c r="D58" i="431"/>
  <c r="E58" i="431"/>
  <c r="G58" i="431"/>
  <c r="H58" i="431"/>
  <c r="I58" i="431"/>
  <c r="J58" i="431"/>
  <c r="K58" i="431"/>
  <c r="L58" i="431"/>
  <c r="M58" i="431"/>
  <c r="P58" i="431"/>
  <c r="Q58" i="431"/>
  <c r="R58" i="431"/>
  <c r="S58" i="431"/>
  <c r="T58" i="431"/>
  <c r="W58" i="431"/>
  <c r="X58" i="431"/>
  <c r="Y58" i="431"/>
  <c r="Z58" i="431"/>
  <c r="AA58" i="431"/>
  <c r="AB58" i="431"/>
  <c r="AC58" i="431"/>
  <c r="C32" i="431"/>
  <c r="D32" i="431"/>
  <c r="E32" i="431"/>
  <c r="G32" i="431"/>
  <c r="G52" i="431" s="1"/>
  <c r="H32" i="431"/>
  <c r="I32" i="431"/>
  <c r="J32" i="431"/>
  <c r="Q32" i="431"/>
  <c r="R32" i="431"/>
  <c r="W32" i="431"/>
  <c r="W52" i="431" s="1"/>
  <c r="X32" i="431"/>
  <c r="Y32" i="431"/>
  <c r="Z32" i="431"/>
  <c r="AA32" i="431"/>
  <c r="AA52" i="431" s="1"/>
  <c r="AB32" i="431"/>
  <c r="AC32" i="431"/>
  <c r="B32" i="431"/>
  <c r="N64" i="429"/>
  <c r="N85" i="433" s="1"/>
  <c r="N59" i="429"/>
  <c r="N10" i="433" s="1"/>
  <c r="N58" i="429"/>
  <c r="N25" i="433" s="1"/>
  <c r="N16" i="429"/>
  <c r="N40" i="433" s="1"/>
  <c r="N32" i="429"/>
  <c r="N47" i="433" s="1"/>
  <c r="Z102" i="429"/>
  <c r="Y102" i="429"/>
  <c r="X102" i="429"/>
  <c r="R102" i="429"/>
  <c r="Q102" i="429"/>
  <c r="H102" i="429"/>
  <c r="G102" i="429"/>
  <c r="F22" i="100"/>
  <c r="P15" i="97" l="1"/>
  <c r="E30" i="431"/>
  <c r="C7" i="97" s="1"/>
  <c r="G15" i="97"/>
  <c r="Y52" i="431"/>
  <c r="F15" i="97"/>
  <c r="X52" i="431"/>
  <c r="V8" i="97" s="1"/>
  <c r="H52" i="431"/>
  <c r="F8" i="97" s="1"/>
  <c r="W59" i="431"/>
  <c r="W60" i="431" s="1"/>
  <c r="G59" i="431"/>
  <c r="AA30" i="431"/>
  <c r="Y7" i="97" s="1"/>
  <c r="Z30" i="431"/>
  <c r="X7" i="97" s="1"/>
  <c r="R30" i="431"/>
  <c r="P7" i="97" s="1"/>
  <c r="S19" i="97"/>
  <c r="U26" i="441"/>
  <c r="O15" i="97"/>
  <c r="Q52" i="431"/>
  <c r="E59" i="431"/>
  <c r="Y30" i="431"/>
  <c r="W7" i="97" s="1"/>
  <c r="Q30" i="431"/>
  <c r="O7" i="97" s="1"/>
  <c r="I30" i="431"/>
  <c r="G7" i="97" s="1"/>
  <c r="T19" i="97"/>
  <c r="V26" i="441"/>
  <c r="H15" i="97"/>
  <c r="R52" i="431"/>
  <c r="D59" i="431"/>
  <c r="X30" i="431"/>
  <c r="V7" i="97" s="1"/>
  <c r="H30" i="431"/>
  <c r="F7" i="97" s="1"/>
  <c r="X15" i="97"/>
  <c r="Z52" i="431"/>
  <c r="X8" i="97" s="1"/>
  <c r="W15" i="97"/>
  <c r="I52" i="431"/>
  <c r="G8" i="97" s="1"/>
  <c r="V15" i="97"/>
  <c r="E52" i="431"/>
  <c r="C8" i="97" s="1"/>
  <c r="AA59" i="431"/>
  <c r="W30" i="431"/>
  <c r="G30" i="431"/>
  <c r="E7" i="97" s="1"/>
  <c r="Z60" i="431" l="1"/>
  <c r="Q60" i="431"/>
  <c r="H60" i="431"/>
  <c r="I60" i="431"/>
  <c r="G60" i="431"/>
  <c r="E15" i="97"/>
  <c r="E60" i="431"/>
  <c r="C15" i="97"/>
  <c r="AA60" i="431"/>
  <c r="Y15" i="97"/>
  <c r="X60" i="431"/>
  <c r="Y60" i="431"/>
  <c r="R60" i="431"/>
  <c r="E52" i="410"/>
  <c r="G52" i="410"/>
  <c r="H52" i="410"/>
  <c r="I52" i="410"/>
  <c r="Q52" i="410"/>
  <c r="R52" i="410"/>
  <c r="W52" i="410"/>
  <c r="X52" i="410"/>
  <c r="Y52" i="410"/>
  <c r="E14" i="67" s="1"/>
  <c r="Z52" i="410"/>
  <c r="AA52" i="410"/>
  <c r="H4" i="44"/>
  <c r="N41" i="410"/>
  <c r="N40" i="410"/>
  <c r="N34" i="410"/>
  <c r="N27" i="410"/>
  <c r="N21" i="410"/>
  <c r="N15" i="410"/>
  <c r="N14" i="410"/>
  <c r="N11" i="410"/>
  <c r="N46" i="410"/>
  <c r="N16" i="410"/>
  <c r="N15" i="442" l="1"/>
  <c r="N11" i="431"/>
  <c r="N21" i="442"/>
  <c r="N14" i="431"/>
  <c r="N16" i="442"/>
  <c r="N12" i="431"/>
  <c r="N40" i="442"/>
  <c r="N24" i="431"/>
  <c r="N27" i="442"/>
  <c r="N18" i="431"/>
  <c r="N34" i="442"/>
  <c r="N22" i="431"/>
  <c r="N46" i="442"/>
  <c r="N46" i="431"/>
  <c r="N41" i="442"/>
  <c r="N25" i="431"/>
  <c r="N11" i="442"/>
  <c r="N8" i="431"/>
  <c r="N14" i="442"/>
  <c r="N10" i="431"/>
  <c r="B5" i="44"/>
  <c r="E124" i="411"/>
  <c r="H124" i="411"/>
  <c r="I124" i="411"/>
  <c r="X124" i="411"/>
  <c r="Z124" i="411"/>
  <c r="D5" i="44"/>
  <c r="N37" i="411"/>
  <c r="N30" i="411"/>
  <c r="N15" i="411"/>
  <c r="N30" i="443" l="1"/>
  <c r="N79" i="432"/>
  <c r="N15" i="443"/>
  <c r="N26" i="432"/>
  <c r="N37" i="443"/>
  <c r="N83" i="432"/>
  <c r="D7" i="403"/>
  <c r="D5" i="403"/>
  <c r="D10" i="406"/>
  <c r="D11" i="408" l="1"/>
  <c r="D7" i="408"/>
  <c r="Q91" i="411" l="1"/>
  <c r="E14" i="408"/>
  <c r="G14" i="408"/>
  <c r="H14" i="408"/>
  <c r="I14" i="408"/>
  <c r="J14" i="408"/>
  <c r="Q14" i="408"/>
  <c r="R14" i="408"/>
  <c r="W14" i="408"/>
  <c r="X14" i="408"/>
  <c r="Y14" i="408"/>
  <c r="Z14" i="408"/>
  <c r="AA14" i="408"/>
  <c r="E15" i="414"/>
  <c r="G15" i="414"/>
  <c r="H15" i="414"/>
  <c r="I15" i="414"/>
  <c r="Q15" i="414"/>
  <c r="R15" i="414"/>
  <c r="W15" i="414"/>
  <c r="X15" i="414"/>
  <c r="Y15" i="414"/>
  <c r="Z15" i="414"/>
  <c r="AA15" i="414"/>
  <c r="E18" i="406"/>
  <c r="G18" i="406"/>
  <c r="H18" i="406"/>
  <c r="I18" i="406"/>
  <c r="J18" i="406"/>
  <c r="Q18" i="406"/>
  <c r="R18" i="406"/>
  <c r="X18" i="406"/>
  <c r="Y18" i="406"/>
  <c r="Z18" i="406"/>
  <c r="AA18" i="406"/>
  <c r="E13" i="405"/>
  <c r="H13" i="405"/>
  <c r="I13" i="405"/>
  <c r="J13" i="405"/>
  <c r="R13" i="405"/>
  <c r="W13" i="405"/>
  <c r="X13" i="405"/>
  <c r="Y13" i="405"/>
  <c r="Z13" i="405"/>
  <c r="AA13" i="405"/>
  <c r="E15" i="403"/>
  <c r="G15" i="403"/>
  <c r="H15" i="403"/>
  <c r="I15" i="403"/>
  <c r="J15" i="403"/>
  <c r="Q15" i="403"/>
  <c r="R15" i="403"/>
  <c r="X15" i="403"/>
  <c r="Y15" i="403"/>
  <c r="Z15" i="403"/>
  <c r="AA15" i="403"/>
  <c r="Q91" i="443" l="1"/>
  <c r="Q112" i="432"/>
  <c r="E15" i="402"/>
  <c r="G15" i="402"/>
  <c r="H15" i="402"/>
  <c r="I15" i="402"/>
  <c r="J15" i="402"/>
  <c r="Q15" i="402"/>
  <c r="R15" i="402"/>
  <c r="X15" i="402"/>
  <c r="Y15" i="402"/>
  <c r="Z15" i="402"/>
  <c r="AA15" i="402"/>
  <c r="F12" i="402"/>
  <c r="K12" i="402"/>
  <c r="L12" i="402" s="1"/>
  <c r="S12" i="402"/>
  <c r="D13" i="402"/>
  <c r="D15" i="402" s="1"/>
  <c r="F13" i="402"/>
  <c r="K13" i="402"/>
  <c r="L13" i="402" s="1"/>
  <c r="S13" i="402"/>
  <c r="F14" i="402"/>
  <c r="K14" i="402"/>
  <c r="L14" i="402" s="1"/>
  <c r="S14" i="402"/>
  <c r="P13" i="402" l="1"/>
  <c r="P14" i="402"/>
  <c r="P12" i="402"/>
  <c r="F12" i="403"/>
  <c r="K12" i="403"/>
  <c r="L12" i="403"/>
  <c r="P12" i="403" s="1"/>
  <c r="S12" i="403"/>
  <c r="M14" i="402" l="1"/>
  <c r="O14" i="402" s="1"/>
  <c r="M12" i="402"/>
  <c r="O12" i="402" s="1"/>
  <c r="M13" i="402"/>
  <c r="O13" i="402" s="1"/>
  <c r="M12" i="403"/>
  <c r="O12" i="403" s="1"/>
  <c r="T12" i="402" l="1"/>
  <c r="U12" i="402" s="1"/>
  <c r="T14" i="402"/>
  <c r="U14" i="402" s="1"/>
  <c r="W14" i="402" s="1"/>
  <c r="V14" i="402" s="1"/>
  <c r="T13" i="402"/>
  <c r="U13" i="402" s="1"/>
  <c r="W12" i="402"/>
  <c r="V12" i="402" s="1"/>
  <c r="T12" i="403"/>
  <c r="U12" i="403" s="1"/>
  <c r="W12" i="403" s="1"/>
  <c r="W13" i="402" l="1"/>
  <c r="V13" i="402" s="1"/>
  <c r="V15" i="402" s="1"/>
  <c r="C19" i="38"/>
  <c r="N6" i="409"/>
  <c r="N13" i="409"/>
  <c r="N14" i="409"/>
  <c r="N7" i="410"/>
  <c r="D14" i="38"/>
  <c r="N7" i="442" l="1"/>
  <c r="N6" i="431"/>
  <c r="N18" i="411"/>
  <c r="N18" i="443" l="1"/>
  <c r="N28" i="432"/>
  <c r="I6" i="44"/>
  <c r="S100" i="429"/>
  <c r="S104" i="433" s="1"/>
  <c r="N100" i="429"/>
  <c r="N104" i="433" s="1"/>
  <c r="K100" i="429"/>
  <c r="D100" i="429"/>
  <c r="I5" i="44"/>
  <c r="AA91" i="411"/>
  <c r="AW99" i="416"/>
  <c r="BD99" i="416"/>
  <c r="F100" i="429" l="1"/>
  <c r="F104" i="433" s="1"/>
  <c r="D104" i="433"/>
  <c r="L100" i="429"/>
  <c r="K104" i="433"/>
  <c r="H5" i="44"/>
  <c r="AA91" i="443"/>
  <c r="AA112" i="432"/>
  <c r="AA124" i="432" s="1"/>
  <c r="Y12" i="97" s="1"/>
  <c r="BD9" i="418"/>
  <c r="AW9" i="418"/>
  <c r="P100" i="429" l="1"/>
  <c r="L104" i="433"/>
  <c r="E50" i="429"/>
  <c r="E80" i="433" l="1"/>
  <c r="E90" i="433" s="1"/>
  <c r="E102" i="429"/>
  <c r="P104" i="433"/>
  <c r="M100" i="429"/>
  <c r="D12" i="409"/>
  <c r="O100" i="429" l="1"/>
  <c r="O104" i="433" s="1"/>
  <c r="M104" i="433"/>
  <c r="T100" i="429"/>
  <c r="C11" i="97"/>
  <c r="E126" i="433"/>
  <c r="D52" i="429"/>
  <c r="D81" i="433" s="1"/>
  <c r="D49" i="429"/>
  <c r="D79" i="433" s="1"/>
  <c r="D39" i="429"/>
  <c r="D75" i="433" s="1"/>
  <c r="D23" i="429"/>
  <c r="D67" i="433" s="1"/>
  <c r="U100" i="429" l="1"/>
  <c r="U104" i="433" s="1"/>
  <c r="T104" i="433"/>
  <c r="D9" i="38"/>
  <c r="AA68" i="411"/>
  <c r="N24" i="429"/>
  <c r="N32" i="433" s="1"/>
  <c r="AA68" i="443" l="1"/>
  <c r="AA92" i="432"/>
  <c r="F49" i="410"/>
  <c r="K49" i="410"/>
  <c r="S49" i="410"/>
  <c r="S109" i="411"/>
  <c r="N109" i="411"/>
  <c r="K109" i="411"/>
  <c r="F109" i="411"/>
  <c r="S102" i="411"/>
  <c r="N102" i="411"/>
  <c r="K102" i="411"/>
  <c r="F102" i="411"/>
  <c r="S49" i="442" l="1"/>
  <c r="S48" i="431"/>
  <c r="N109" i="443"/>
  <c r="N57" i="432"/>
  <c r="F102" i="443"/>
  <c r="F13" i="432"/>
  <c r="K102" i="443"/>
  <c r="K13" i="432"/>
  <c r="L49" i="410"/>
  <c r="K49" i="442"/>
  <c r="K48" i="431"/>
  <c r="N102" i="443"/>
  <c r="N13" i="432"/>
  <c r="F49" i="442"/>
  <c r="F48" i="431"/>
  <c r="L109" i="411"/>
  <c r="K109" i="443"/>
  <c r="K57" i="432"/>
  <c r="S109" i="443"/>
  <c r="S57" i="432"/>
  <c r="S102" i="443"/>
  <c r="S13" i="432"/>
  <c r="F109" i="443"/>
  <c r="F57" i="432"/>
  <c r="L102" i="411"/>
  <c r="P109" i="411"/>
  <c r="P109" i="443" l="1"/>
  <c r="P57" i="432"/>
  <c r="P102" i="411"/>
  <c r="L102" i="443"/>
  <c r="L13" i="432"/>
  <c r="L109" i="443"/>
  <c r="L57" i="432"/>
  <c r="P49" i="410"/>
  <c r="L49" i="442"/>
  <c r="L48" i="431"/>
  <c r="M109" i="411"/>
  <c r="M102" i="411"/>
  <c r="M102" i="443" l="1"/>
  <c r="M13" i="432"/>
  <c r="P49" i="442"/>
  <c r="P48" i="431"/>
  <c r="M49" i="410"/>
  <c r="O109" i="411"/>
  <c r="M109" i="443"/>
  <c r="M57" i="432"/>
  <c r="P102" i="443"/>
  <c r="P13" i="432"/>
  <c r="O102" i="411"/>
  <c r="T109" i="411"/>
  <c r="T102" i="411"/>
  <c r="O49" i="410" l="1"/>
  <c r="M49" i="442"/>
  <c r="M48" i="431"/>
  <c r="T102" i="443"/>
  <c r="T13" i="432"/>
  <c r="O109" i="443"/>
  <c r="O57" i="432"/>
  <c r="T109" i="443"/>
  <c r="T57" i="432"/>
  <c r="O102" i="443"/>
  <c r="O13" i="432"/>
  <c r="T49" i="410"/>
  <c r="U102" i="411"/>
  <c r="U109" i="411"/>
  <c r="C10" i="38"/>
  <c r="J27" i="411"/>
  <c r="V109" i="411" l="1"/>
  <c r="U109" i="443"/>
  <c r="U57" i="432"/>
  <c r="U49" i="410"/>
  <c r="T49" i="442"/>
  <c r="T48" i="431"/>
  <c r="J27" i="443"/>
  <c r="J124" i="443" s="1"/>
  <c r="J114" i="432"/>
  <c r="J124" i="432" s="1"/>
  <c r="J124" i="411"/>
  <c r="U102" i="443"/>
  <c r="U13" i="432"/>
  <c r="O49" i="442"/>
  <c r="O48" i="431"/>
  <c r="V102" i="411"/>
  <c r="N123" i="411"/>
  <c r="N122" i="411"/>
  <c r="N121" i="411"/>
  <c r="N117" i="411"/>
  <c r="N108" i="411"/>
  <c r="N85" i="411"/>
  <c r="N66" i="411"/>
  <c r="N56" i="411"/>
  <c r="N17" i="411"/>
  <c r="N91" i="411"/>
  <c r="N80" i="411"/>
  <c r="N55" i="411"/>
  <c r="N47" i="411"/>
  <c r="N25" i="411"/>
  <c r="H12" i="97" l="1"/>
  <c r="J146" i="432"/>
  <c r="N80" i="443"/>
  <c r="N139" i="432"/>
  <c r="V109" i="443"/>
  <c r="V57" i="432"/>
  <c r="V102" i="443"/>
  <c r="V13" i="432"/>
  <c r="N121" i="443"/>
  <c r="N140" i="432"/>
  <c r="N91" i="443"/>
  <c r="N112" i="432"/>
  <c r="N123" i="443"/>
  <c r="N60" i="432"/>
  <c r="N108" i="443"/>
  <c r="N102" i="432"/>
  <c r="N122" i="443"/>
  <c r="N16" i="432"/>
  <c r="N17" i="443"/>
  <c r="N6" i="432"/>
  <c r="N56" i="443"/>
  <c r="N9" i="432"/>
  <c r="N66" i="443"/>
  <c r="N10" i="432"/>
  <c r="N25" i="443"/>
  <c r="N108" i="432"/>
  <c r="N85" i="443"/>
  <c r="N11" i="432"/>
  <c r="E10" i="163"/>
  <c r="U49" i="442"/>
  <c r="U48" i="431"/>
  <c r="V49" i="410"/>
  <c r="N47" i="443"/>
  <c r="N116" i="432"/>
  <c r="N55" i="443"/>
  <c r="N42" i="432"/>
  <c r="N117" i="443"/>
  <c r="N15" i="432"/>
  <c r="N99" i="411"/>
  <c r="N94" i="411"/>
  <c r="N78" i="411"/>
  <c r="N75" i="411"/>
  <c r="N62" i="411"/>
  <c r="N59" i="411"/>
  <c r="N52" i="411"/>
  <c r="N41" i="411"/>
  <c r="D38" i="411"/>
  <c r="N38" i="411"/>
  <c r="D98" i="411"/>
  <c r="N94" i="443" l="1"/>
  <c r="N120" i="432"/>
  <c r="D38" i="443"/>
  <c r="D84" i="432"/>
  <c r="N38" i="443"/>
  <c r="N84" i="432"/>
  <c r="N59" i="443"/>
  <c r="N71" i="432"/>
  <c r="N72" i="432" s="1"/>
  <c r="N141" i="432"/>
  <c r="N52" i="443"/>
  <c r="N126" i="432"/>
  <c r="N62" i="443"/>
  <c r="N44" i="432"/>
  <c r="N41" i="443"/>
  <c r="N36" i="432"/>
  <c r="N75" i="443"/>
  <c r="N93" i="432"/>
  <c r="V49" i="442"/>
  <c r="V48" i="431"/>
  <c r="N99" i="443"/>
  <c r="N121" i="432"/>
  <c r="D98" i="443"/>
  <c r="D53" i="432"/>
  <c r="N78" i="443"/>
  <c r="N95" i="432"/>
  <c r="G6" i="44"/>
  <c r="D97" i="429" l="1"/>
  <c r="D93" i="433" s="1"/>
  <c r="K97" i="429"/>
  <c r="N97" i="429"/>
  <c r="N93" i="433" s="1"/>
  <c r="S97" i="429"/>
  <c r="S93" i="433" s="1"/>
  <c r="N7" i="414"/>
  <c r="N15" i="414" s="1"/>
  <c r="N9" i="406"/>
  <c r="N8" i="406"/>
  <c r="N5" i="406"/>
  <c r="N12" i="405"/>
  <c r="N11" i="405"/>
  <c r="N10" i="405"/>
  <c r="N6" i="405"/>
  <c r="N13" i="403"/>
  <c r="N11" i="402"/>
  <c r="N5" i="402"/>
  <c r="N98" i="429"/>
  <c r="N124" i="433" s="1"/>
  <c r="N96" i="429"/>
  <c r="N44" i="433" s="1"/>
  <c r="N74" i="429"/>
  <c r="N53" i="433" s="1"/>
  <c r="N58" i="433" s="1"/>
  <c r="L9" i="97" s="1"/>
  <c r="N93" i="429"/>
  <c r="N31" i="433" s="1"/>
  <c r="N84" i="429"/>
  <c r="N29" i="433" s="1"/>
  <c r="N71" i="429"/>
  <c r="N33" i="433" s="1"/>
  <c r="N63" i="429"/>
  <c r="N107" i="433" s="1"/>
  <c r="N110" i="433" s="1"/>
  <c r="L16" i="97" s="1"/>
  <c r="N61" i="429"/>
  <c r="N11" i="433" s="1"/>
  <c r="N40" i="429"/>
  <c r="N9" i="433" s="1"/>
  <c r="N30" i="429"/>
  <c r="N71" i="433" s="1"/>
  <c r="N29" i="429"/>
  <c r="N115" i="433" s="1"/>
  <c r="N117" i="433" s="1"/>
  <c r="N27" i="429"/>
  <c r="N22" i="433" s="1"/>
  <c r="N25" i="429"/>
  <c r="N68" i="433" s="1"/>
  <c r="N17" i="429"/>
  <c r="N14" i="433" s="1"/>
  <c r="N15" i="429"/>
  <c r="N39" i="433" s="1"/>
  <c r="N13" i="429"/>
  <c r="N63" i="433" s="1"/>
  <c r="D12" i="429"/>
  <c r="D109" i="433" s="1"/>
  <c r="D110" i="433" s="1"/>
  <c r="B16" i="97" s="1"/>
  <c r="N12" i="429"/>
  <c r="N109" i="433" s="1"/>
  <c r="L97" i="429" l="1"/>
  <c r="L93" i="433" s="1"/>
  <c r="K93" i="433"/>
  <c r="N15" i="433"/>
  <c r="N15" i="402"/>
  <c r="F97" i="429"/>
  <c r="F93" i="433" s="1"/>
  <c r="P97" i="429" l="1"/>
  <c r="P93" i="433" s="1"/>
  <c r="M97" i="429"/>
  <c r="O97" i="429" l="1"/>
  <c r="O93" i="433" s="1"/>
  <c r="M93" i="433"/>
  <c r="T97" i="429"/>
  <c r="U97" i="429" l="1"/>
  <c r="U93" i="433" s="1"/>
  <c r="T93" i="433"/>
  <c r="N10" i="429"/>
  <c r="N38" i="433" s="1"/>
  <c r="N9" i="429"/>
  <c r="N37" i="433" s="1"/>
  <c r="N8" i="429"/>
  <c r="N28" i="429"/>
  <c r="N70" i="433" s="1"/>
  <c r="N51" i="410"/>
  <c r="N50" i="410"/>
  <c r="N35" i="410"/>
  <c r="N17" i="410"/>
  <c r="N47" i="410"/>
  <c r="N29" i="410"/>
  <c r="N25" i="410"/>
  <c r="D112" i="411"/>
  <c r="N51" i="442" l="1"/>
  <c r="N58" i="431"/>
  <c r="N59" i="431" s="1"/>
  <c r="N29" i="442"/>
  <c r="N40" i="431"/>
  <c r="N50" i="442"/>
  <c r="N29" i="431"/>
  <c r="N25" i="442"/>
  <c r="N39" i="431"/>
  <c r="N17" i="442"/>
  <c r="N54" i="431"/>
  <c r="N55" i="431" s="1"/>
  <c r="D112" i="443"/>
  <c r="D58" i="432"/>
  <c r="N36" i="433"/>
  <c r="N47" i="442"/>
  <c r="N47" i="431"/>
  <c r="N35" i="442"/>
  <c r="N23" i="431"/>
  <c r="F22" i="410"/>
  <c r="K22" i="410"/>
  <c r="N22" i="410"/>
  <c r="S22" i="410"/>
  <c r="F8" i="410"/>
  <c r="K8" i="410"/>
  <c r="S8" i="410"/>
  <c r="F8" i="442" l="1"/>
  <c r="F33" i="431"/>
  <c r="S22" i="442"/>
  <c r="S15" i="431"/>
  <c r="N22" i="442"/>
  <c r="N15" i="431"/>
  <c r="L22" i="410"/>
  <c r="K22" i="442"/>
  <c r="K15" i="431"/>
  <c r="F22" i="442"/>
  <c r="F15" i="431"/>
  <c r="L8" i="410"/>
  <c r="K8" i="442"/>
  <c r="K33" i="431"/>
  <c r="S8" i="442"/>
  <c r="S33" i="431"/>
  <c r="L15" i="97"/>
  <c r="D13" i="409"/>
  <c r="F95" i="429"/>
  <c r="F97" i="433" s="1"/>
  <c r="K95" i="429"/>
  <c r="S95" i="429"/>
  <c r="S97" i="433" s="1"/>
  <c r="L22" i="442" l="1"/>
  <c r="L15" i="431"/>
  <c r="P22" i="410"/>
  <c r="P8" i="410"/>
  <c r="L8" i="442"/>
  <c r="L33" i="431"/>
  <c r="L95" i="429"/>
  <c r="K97" i="433"/>
  <c r="P8" i="442" l="1"/>
  <c r="P33" i="431"/>
  <c r="M8" i="410"/>
  <c r="T8" i="410"/>
  <c r="P95" i="429"/>
  <c r="L97" i="433"/>
  <c r="P22" i="442"/>
  <c r="P15" i="431"/>
  <c r="M22" i="410"/>
  <c r="T22" i="410"/>
  <c r="U8" i="410" l="1"/>
  <c r="T8" i="442"/>
  <c r="T33" i="431"/>
  <c r="M8" i="442"/>
  <c r="M33" i="431"/>
  <c r="O8" i="410"/>
  <c r="P97" i="433"/>
  <c r="M95" i="429"/>
  <c r="T95" i="429"/>
  <c r="U22" i="410"/>
  <c r="T22" i="442"/>
  <c r="T15" i="431"/>
  <c r="O22" i="410"/>
  <c r="M22" i="442"/>
  <c r="M15" i="431"/>
  <c r="S17" i="406"/>
  <c r="K17" i="406"/>
  <c r="L17" i="406" s="1"/>
  <c r="P17" i="406" s="1"/>
  <c r="F17" i="406"/>
  <c r="U95" i="429" l="1"/>
  <c r="T97" i="433"/>
  <c r="O8" i="442"/>
  <c r="O33" i="431"/>
  <c r="O95" i="429"/>
  <c r="O97" i="433" s="1"/>
  <c r="M97" i="433"/>
  <c r="U8" i="442"/>
  <c r="V8" i="410"/>
  <c r="U33" i="431"/>
  <c r="O22" i="442"/>
  <c r="O15" i="431"/>
  <c r="U22" i="442"/>
  <c r="U15" i="431"/>
  <c r="V22" i="410"/>
  <c r="M17" i="406"/>
  <c r="T17" i="406" s="1"/>
  <c r="U17" i="406" s="1"/>
  <c r="W17" i="406" s="1"/>
  <c r="U97" i="433" l="1"/>
  <c r="W95" i="429"/>
  <c r="W97" i="433" s="1"/>
  <c r="V8" i="442"/>
  <c r="V33" i="431"/>
  <c r="V22" i="442"/>
  <c r="V15" i="431"/>
  <c r="O17" i="406"/>
  <c r="AA112" i="411" l="1"/>
  <c r="N112" i="411"/>
  <c r="AA79" i="411"/>
  <c r="N79" i="411"/>
  <c r="N68" i="411"/>
  <c r="N68" i="443" l="1"/>
  <c r="N92" i="432"/>
  <c r="N79" i="443"/>
  <c r="N96" i="432"/>
  <c r="AA112" i="443"/>
  <c r="AA58" i="432"/>
  <c r="AA79" i="443"/>
  <c r="AA96" i="432"/>
  <c r="N112" i="443"/>
  <c r="N58" i="432"/>
  <c r="A6" i="402"/>
  <c r="AA86" i="411" l="1"/>
  <c r="N86" i="411"/>
  <c r="N86" i="443" l="1"/>
  <c r="N97" i="432"/>
  <c r="AA86" i="443"/>
  <c r="AA97" i="432"/>
  <c r="AA105" i="432" s="1"/>
  <c r="Y11" i="97" s="1"/>
  <c r="S13" i="409"/>
  <c r="K13" i="409"/>
  <c r="L13" i="409" s="1"/>
  <c r="P13" i="409" s="1"/>
  <c r="F13" i="409"/>
  <c r="N82" i="411"/>
  <c r="N19" i="410"/>
  <c r="N82" i="443" l="1"/>
  <c r="N61" i="432"/>
  <c r="N19" i="442"/>
  <c r="N36" i="431"/>
  <c r="M13" i="409"/>
  <c r="T13" i="409" s="1"/>
  <c r="U13" i="409" s="1"/>
  <c r="W13" i="409" s="1"/>
  <c r="O13" i="409" l="1"/>
  <c r="BD44" i="416"/>
  <c r="BL44" i="416"/>
  <c r="N8" i="405" l="1"/>
  <c r="N13" i="405" s="1"/>
  <c r="N5" i="404"/>
  <c r="N11" i="403"/>
  <c r="N5" i="403"/>
  <c r="N91" i="429"/>
  <c r="N96" i="433" s="1"/>
  <c r="N90" i="429"/>
  <c r="N35" i="433" s="1"/>
  <c r="N86" i="429"/>
  <c r="N34" i="433" s="1"/>
  <c r="N85" i="429"/>
  <c r="N30" i="433" s="1"/>
  <c r="N70" i="429"/>
  <c r="N92" i="433" s="1"/>
  <c r="N38" i="429"/>
  <c r="N120" i="433" s="1"/>
  <c r="N11" i="429"/>
  <c r="N42" i="429"/>
  <c r="N42" i="433" s="1"/>
  <c r="N34" i="429"/>
  <c r="N72" i="433" s="1"/>
  <c r="N90" i="433" s="1"/>
  <c r="N120" i="411"/>
  <c r="N114" i="411"/>
  <c r="N93" i="411"/>
  <c r="N107" i="411"/>
  <c r="N106" i="411"/>
  <c r="N89" i="411"/>
  <c r="N88" i="411"/>
  <c r="N84" i="411"/>
  <c r="N83" i="411"/>
  <c r="N72" i="411"/>
  <c r="N63" i="411"/>
  <c r="N54" i="411"/>
  <c r="N40" i="411"/>
  <c r="N26" i="411"/>
  <c r="N19" i="411"/>
  <c r="N16" i="411"/>
  <c r="N28" i="411"/>
  <c r="N9" i="411"/>
  <c r="N5" i="411"/>
  <c r="N45" i="410"/>
  <c r="N42" i="410"/>
  <c r="N32" i="410"/>
  <c r="N23" i="410"/>
  <c r="N20" i="410"/>
  <c r="N18" i="410"/>
  <c r="N10" i="410"/>
  <c r="N6" i="410"/>
  <c r="N36" i="410"/>
  <c r="N5" i="410"/>
  <c r="N93" i="443" l="1"/>
  <c r="N12" i="432"/>
  <c r="N17" i="432" s="1"/>
  <c r="N10" i="442"/>
  <c r="N34" i="431"/>
  <c r="N9" i="443"/>
  <c r="N22" i="432"/>
  <c r="N72" i="443"/>
  <c r="N48" i="432"/>
  <c r="N114" i="443"/>
  <c r="N128" i="432"/>
  <c r="N129" i="432" s="1"/>
  <c r="L13" i="97" s="1"/>
  <c r="N63" i="443"/>
  <c r="N89" i="432"/>
  <c r="N18" i="442"/>
  <c r="N13" i="431"/>
  <c r="N28" i="443"/>
  <c r="N77" i="432"/>
  <c r="N83" i="443"/>
  <c r="N62" i="432"/>
  <c r="N120" i="443"/>
  <c r="N144" i="432"/>
  <c r="N145" i="432" s="1"/>
  <c r="N20" i="442"/>
  <c r="N37" i="431"/>
  <c r="N16" i="443"/>
  <c r="N27" i="432"/>
  <c r="N23" i="442"/>
  <c r="N38" i="431"/>
  <c r="N19" i="443"/>
  <c r="N29" i="432"/>
  <c r="N88" i="443"/>
  <c r="N119" i="432"/>
  <c r="N84" i="443"/>
  <c r="N51" i="432"/>
  <c r="N32" i="442"/>
  <c r="N42" i="431"/>
  <c r="N26" i="443"/>
  <c r="N31" i="432"/>
  <c r="N89" i="443"/>
  <c r="N111" i="432"/>
  <c r="N119" i="433"/>
  <c r="N6" i="442"/>
  <c r="N49" i="431"/>
  <c r="N5" i="442"/>
  <c r="N32" i="431"/>
  <c r="N42" i="442"/>
  <c r="N26" i="431"/>
  <c r="N40" i="443"/>
  <c r="N35" i="432"/>
  <c r="N106" i="443"/>
  <c r="N67" i="432"/>
  <c r="N5" i="443"/>
  <c r="N19" i="432"/>
  <c r="N36" i="442"/>
  <c r="N43" i="431"/>
  <c r="N45" i="442"/>
  <c r="N45" i="431"/>
  <c r="N54" i="443"/>
  <c r="N41" i="432"/>
  <c r="N107" i="443"/>
  <c r="N56" i="432"/>
  <c r="N13" i="408"/>
  <c r="N14" i="408" s="1"/>
  <c r="N30" i="431" l="1"/>
  <c r="L7" i="97" s="1"/>
  <c r="Q46" i="411"/>
  <c r="Q46" i="443" l="1"/>
  <c r="Q86" i="432"/>
  <c r="H7" i="44"/>
  <c r="F23" i="100"/>
  <c r="J9" i="414" l="1"/>
  <c r="J15" i="414" s="1"/>
  <c r="F16" i="402"/>
  <c r="N10" i="406"/>
  <c r="N12" i="410"/>
  <c r="N52" i="410" l="1"/>
  <c r="N12" i="442"/>
  <c r="N52" i="442" s="1"/>
  <c r="N35" i="431"/>
  <c r="N52" i="431" s="1"/>
  <c r="D56" i="411"/>
  <c r="N60" i="431" l="1"/>
  <c r="D56" i="443"/>
  <c r="D9" i="432"/>
  <c r="D50" i="429"/>
  <c r="D80" i="433" s="1"/>
  <c r="S89" i="429"/>
  <c r="S56" i="433" s="1"/>
  <c r="K89" i="429"/>
  <c r="F89" i="429"/>
  <c r="F56" i="433" s="1"/>
  <c r="L89" i="429" l="1"/>
  <c r="L56" i="433" s="1"/>
  <c r="K56" i="433"/>
  <c r="P89" i="429"/>
  <c r="P56" i="433" s="1"/>
  <c r="M89" i="429" l="1"/>
  <c r="O89" i="429" l="1"/>
  <c r="O56" i="433" s="1"/>
  <c r="M56" i="433"/>
  <c r="T89" i="429"/>
  <c r="U89" i="429" l="1"/>
  <c r="T56" i="433"/>
  <c r="S99" i="429"/>
  <c r="S57" i="433" s="1"/>
  <c r="K99" i="429"/>
  <c r="F99" i="429"/>
  <c r="F57" i="433" s="1"/>
  <c r="L99" i="429" l="1"/>
  <c r="L57" i="433" s="1"/>
  <c r="K57" i="433"/>
  <c r="W89" i="429"/>
  <c r="W56" i="433" s="1"/>
  <c r="U56" i="433"/>
  <c r="P99" i="429"/>
  <c r="P57" i="433" s="1"/>
  <c r="M99" i="429" l="1"/>
  <c r="O99" i="429" l="1"/>
  <c r="O57" i="433" s="1"/>
  <c r="M57" i="433"/>
  <c r="T99" i="429"/>
  <c r="U99" i="429" l="1"/>
  <c r="U57" i="433" s="1"/>
  <c r="T57" i="433"/>
  <c r="S101" i="429"/>
  <c r="S94" i="433" s="1"/>
  <c r="K101" i="429"/>
  <c r="F101" i="429"/>
  <c r="F94" i="433" s="1"/>
  <c r="N66" i="429"/>
  <c r="N98" i="433" s="1"/>
  <c r="N105" i="433" s="1"/>
  <c r="D64" i="429"/>
  <c r="D85" i="433" s="1"/>
  <c r="D18" i="429"/>
  <c r="N18" i="429"/>
  <c r="D8" i="429"/>
  <c r="N47" i="429"/>
  <c r="N121" i="433" s="1"/>
  <c r="N125" i="433" s="1"/>
  <c r="S98" i="429"/>
  <c r="S124" i="433" s="1"/>
  <c r="K98" i="429"/>
  <c r="F98" i="429"/>
  <c r="F124" i="433" s="1"/>
  <c r="S96" i="429"/>
  <c r="S44" i="433" s="1"/>
  <c r="K96" i="429"/>
  <c r="K44" i="433" s="1"/>
  <c r="F96" i="429"/>
  <c r="F44" i="433" s="1"/>
  <c r="S81" i="429"/>
  <c r="S103" i="433" s="1"/>
  <c r="K81" i="429"/>
  <c r="F81" i="429"/>
  <c r="F103" i="433" s="1"/>
  <c r="S78" i="429"/>
  <c r="S89" i="433" s="1"/>
  <c r="K78" i="429"/>
  <c r="F78" i="429"/>
  <c r="F89" i="433" s="1"/>
  <c r="S77" i="429"/>
  <c r="S88" i="433" s="1"/>
  <c r="K77" i="429"/>
  <c r="F77" i="429"/>
  <c r="F88" i="433" s="1"/>
  <c r="S72" i="429"/>
  <c r="S52" i="433" s="1"/>
  <c r="K72" i="429"/>
  <c r="F72" i="429"/>
  <c r="F52" i="433" s="1"/>
  <c r="S69" i="429"/>
  <c r="S86" i="433" s="1"/>
  <c r="K69" i="429"/>
  <c r="F69" i="429"/>
  <c r="F86" i="433" s="1"/>
  <c r="S67" i="429"/>
  <c r="S95" i="433" s="1"/>
  <c r="K67" i="429"/>
  <c r="F67" i="429"/>
  <c r="F95" i="433" s="1"/>
  <c r="S65" i="429"/>
  <c r="S101" i="433" s="1"/>
  <c r="K65" i="429"/>
  <c r="F65" i="429"/>
  <c r="F101" i="433" s="1"/>
  <c r="S53" i="429"/>
  <c r="S82" i="433" s="1"/>
  <c r="K53" i="429"/>
  <c r="F53" i="429"/>
  <c r="F82" i="433" s="1"/>
  <c r="S52" i="429"/>
  <c r="S81" i="433" s="1"/>
  <c r="K52" i="429"/>
  <c r="F52" i="429"/>
  <c r="F81" i="433" s="1"/>
  <c r="S51" i="429"/>
  <c r="S50" i="433" s="1"/>
  <c r="K51" i="429"/>
  <c r="F51" i="429"/>
  <c r="F50" i="433" s="1"/>
  <c r="S49" i="429"/>
  <c r="S79" i="433" s="1"/>
  <c r="K49" i="429"/>
  <c r="F49" i="429"/>
  <c r="F79" i="433" s="1"/>
  <c r="S48" i="429"/>
  <c r="S78" i="433" s="1"/>
  <c r="K48" i="429"/>
  <c r="F48" i="429"/>
  <c r="F78" i="433" s="1"/>
  <c r="S46" i="429"/>
  <c r="S49" i="433" s="1"/>
  <c r="K46" i="429"/>
  <c r="F46" i="429"/>
  <c r="F49" i="433" s="1"/>
  <c r="S45" i="429"/>
  <c r="S77" i="433" s="1"/>
  <c r="K45" i="429"/>
  <c r="F45" i="429"/>
  <c r="F77" i="433" s="1"/>
  <c r="S41" i="429"/>
  <c r="S76" i="433" s="1"/>
  <c r="K41" i="429"/>
  <c r="F41" i="429"/>
  <c r="F76" i="433" s="1"/>
  <c r="S39" i="429"/>
  <c r="S75" i="433" s="1"/>
  <c r="K39" i="429"/>
  <c r="F39" i="429"/>
  <c r="F75" i="433" s="1"/>
  <c r="S36" i="429"/>
  <c r="S74" i="433" s="1"/>
  <c r="K36" i="429"/>
  <c r="F36" i="429"/>
  <c r="F74" i="433" s="1"/>
  <c r="S35" i="429"/>
  <c r="S73" i="433" s="1"/>
  <c r="K35" i="429"/>
  <c r="F35" i="429"/>
  <c r="F73" i="433" s="1"/>
  <c r="S33" i="429"/>
  <c r="S48" i="433" s="1"/>
  <c r="K33" i="429"/>
  <c r="F33" i="429"/>
  <c r="F48" i="433" s="1"/>
  <c r="S26" i="429"/>
  <c r="S69" i="433" s="1"/>
  <c r="K26" i="429"/>
  <c r="F26" i="429"/>
  <c r="F69" i="433" s="1"/>
  <c r="S23" i="429"/>
  <c r="S67" i="433" s="1"/>
  <c r="K23" i="429"/>
  <c r="F23" i="429"/>
  <c r="F67" i="433" s="1"/>
  <c r="S21" i="429"/>
  <c r="S65" i="433" s="1"/>
  <c r="K21" i="429"/>
  <c r="F21" i="429"/>
  <c r="F65" i="433" s="1"/>
  <c r="S14" i="429"/>
  <c r="S20" i="433" s="1"/>
  <c r="K14" i="429"/>
  <c r="K20" i="433" s="1"/>
  <c r="F14" i="429"/>
  <c r="F20" i="433" s="1"/>
  <c r="S92" i="429"/>
  <c r="S123" i="433" s="1"/>
  <c r="K92" i="429"/>
  <c r="F92" i="429"/>
  <c r="F123" i="433" s="1"/>
  <c r="S91" i="429"/>
  <c r="S96" i="433" s="1"/>
  <c r="K91" i="429"/>
  <c r="D91" i="429"/>
  <c r="S90" i="429"/>
  <c r="S35" i="433" s="1"/>
  <c r="K90" i="429"/>
  <c r="D90" i="429"/>
  <c r="D35" i="433" s="1"/>
  <c r="S86" i="429"/>
  <c r="S34" i="433" s="1"/>
  <c r="K86" i="429"/>
  <c r="F86" i="429"/>
  <c r="F34" i="433" s="1"/>
  <c r="S85" i="429"/>
  <c r="S30" i="433" s="1"/>
  <c r="K85" i="429"/>
  <c r="F85" i="429"/>
  <c r="F30" i="433" s="1"/>
  <c r="S74" i="429"/>
  <c r="S53" i="433" s="1"/>
  <c r="K74" i="429"/>
  <c r="F74" i="429"/>
  <c r="F53" i="433" s="1"/>
  <c r="S70" i="429"/>
  <c r="S92" i="433" s="1"/>
  <c r="K70" i="429"/>
  <c r="D70" i="429"/>
  <c r="D92" i="433" s="1"/>
  <c r="S68" i="429"/>
  <c r="S27" i="433" s="1"/>
  <c r="K68" i="429"/>
  <c r="F68" i="429"/>
  <c r="F27" i="433" s="1"/>
  <c r="S66" i="429"/>
  <c r="S98" i="433" s="1"/>
  <c r="K66" i="429"/>
  <c r="D66" i="429"/>
  <c r="D98" i="433" s="1"/>
  <c r="S62" i="429"/>
  <c r="S26" i="433" s="1"/>
  <c r="K62" i="429"/>
  <c r="F62" i="429"/>
  <c r="F26" i="433" s="1"/>
  <c r="S58" i="429"/>
  <c r="S25" i="433" s="1"/>
  <c r="K58" i="429"/>
  <c r="F58" i="429"/>
  <c r="F25" i="433" s="1"/>
  <c r="S43" i="429"/>
  <c r="S43" i="433" s="1"/>
  <c r="K43" i="429"/>
  <c r="K43" i="433" s="1"/>
  <c r="F43" i="429"/>
  <c r="F43" i="433" s="1"/>
  <c r="S94" i="429"/>
  <c r="S13" i="433" s="1"/>
  <c r="K94" i="429"/>
  <c r="F94" i="429"/>
  <c r="F13" i="433" s="1"/>
  <c r="S93" i="429"/>
  <c r="S31" i="433" s="1"/>
  <c r="K93" i="429"/>
  <c r="F93" i="429"/>
  <c r="F31" i="433" s="1"/>
  <c r="S84" i="429"/>
  <c r="S29" i="433" s="1"/>
  <c r="K84" i="429"/>
  <c r="D84" i="429"/>
  <c r="S83" i="429"/>
  <c r="S12" i="433" s="1"/>
  <c r="K83" i="429"/>
  <c r="F83" i="429"/>
  <c r="F12" i="433" s="1"/>
  <c r="S80" i="429"/>
  <c r="S116" i="433" s="1"/>
  <c r="K80" i="429"/>
  <c r="F80" i="429"/>
  <c r="F116" i="433" s="1"/>
  <c r="S79" i="429"/>
  <c r="S108" i="433" s="1"/>
  <c r="K79" i="429"/>
  <c r="F79" i="429"/>
  <c r="F108" i="433" s="1"/>
  <c r="S73" i="429"/>
  <c r="S102" i="433" s="1"/>
  <c r="K73" i="429"/>
  <c r="F73" i="429"/>
  <c r="F102" i="433" s="1"/>
  <c r="S71" i="429"/>
  <c r="S33" i="433" s="1"/>
  <c r="K71" i="429"/>
  <c r="F71" i="429"/>
  <c r="F33" i="433" s="1"/>
  <c r="S64" i="429"/>
  <c r="S85" i="433" s="1"/>
  <c r="K64" i="429"/>
  <c r="S63" i="429"/>
  <c r="S107" i="433" s="1"/>
  <c r="K63" i="429"/>
  <c r="F63" i="429"/>
  <c r="F107" i="433" s="1"/>
  <c r="S61" i="429"/>
  <c r="S11" i="433" s="1"/>
  <c r="K61" i="429"/>
  <c r="D61" i="429"/>
  <c r="D11" i="433" s="1"/>
  <c r="S59" i="429"/>
  <c r="S10" i="433" s="1"/>
  <c r="K59" i="429"/>
  <c r="F59" i="429"/>
  <c r="F10" i="433" s="1"/>
  <c r="S57" i="429"/>
  <c r="S51" i="433" s="1"/>
  <c r="K57" i="429"/>
  <c r="F57" i="429"/>
  <c r="F51" i="433" s="1"/>
  <c r="S56" i="429"/>
  <c r="S24" i="433" s="1"/>
  <c r="K56" i="429"/>
  <c r="F56" i="429"/>
  <c r="F24" i="433" s="1"/>
  <c r="S44" i="429"/>
  <c r="S23" i="433" s="1"/>
  <c r="K44" i="429"/>
  <c r="F44" i="429"/>
  <c r="F23" i="433" s="1"/>
  <c r="S40" i="429"/>
  <c r="S9" i="433" s="1"/>
  <c r="K40" i="429"/>
  <c r="F40" i="429"/>
  <c r="F9" i="433" s="1"/>
  <c r="S38" i="429"/>
  <c r="S120" i="433" s="1"/>
  <c r="K38" i="429"/>
  <c r="F38" i="429"/>
  <c r="F120" i="433" s="1"/>
  <c r="S37" i="429"/>
  <c r="S6" i="433" s="1"/>
  <c r="S7" i="433" s="1"/>
  <c r="Q6" i="97" s="1"/>
  <c r="K37" i="429"/>
  <c r="F37" i="429"/>
  <c r="F6" i="433" s="1"/>
  <c r="F7" i="433" s="1"/>
  <c r="D6" i="97" s="1"/>
  <c r="S32" i="429"/>
  <c r="S47" i="433" s="1"/>
  <c r="I32" i="429"/>
  <c r="F32" i="429"/>
  <c r="F47" i="433" s="1"/>
  <c r="S30" i="429"/>
  <c r="S71" i="433" s="1"/>
  <c r="K30" i="429"/>
  <c r="F30" i="429"/>
  <c r="F71" i="433" s="1"/>
  <c r="S29" i="429"/>
  <c r="S115" i="433" s="1"/>
  <c r="S117" i="433" s="1"/>
  <c r="K29" i="429"/>
  <c r="F29" i="429"/>
  <c r="F115" i="433" s="1"/>
  <c r="F117" i="433" s="1"/>
  <c r="S27" i="429"/>
  <c r="S22" i="433" s="1"/>
  <c r="K27" i="429"/>
  <c r="F27" i="429"/>
  <c r="F22" i="433" s="1"/>
  <c r="S25" i="429"/>
  <c r="S68" i="433" s="1"/>
  <c r="K25" i="429"/>
  <c r="F25" i="429"/>
  <c r="F68" i="433" s="1"/>
  <c r="S24" i="429"/>
  <c r="S32" i="433" s="1"/>
  <c r="K24" i="429"/>
  <c r="D24" i="429"/>
  <c r="S20" i="429"/>
  <c r="S64" i="433" s="1"/>
  <c r="K20" i="429"/>
  <c r="F20" i="429"/>
  <c r="F64" i="433" s="1"/>
  <c r="S19" i="429"/>
  <c r="S21" i="433" s="1"/>
  <c r="K19" i="429"/>
  <c r="D19" i="429"/>
  <c r="S18" i="429"/>
  <c r="S41" i="433" s="1"/>
  <c r="K18" i="429"/>
  <c r="S17" i="429"/>
  <c r="S14" i="433" s="1"/>
  <c r="K17" i="429"/>
  <c r="D17" i="429"/>
  <c r="S16" i="429"/>
  <c r="S40" i="433" s="1"/>
  <c r="K16" i="429"/>
  <c r="D16" i="429"/>
  <c r="S15" i="429"/>
  <c r="S39" i="433" s="1"/>
  <c r="K15" i="429"/>
  <c r="F15" i="429"/>
  <c r="F39" i="433" s="1"/>
  <c r="S13" i="429"/>
  <c r="S63" i="433" s="1"/>
  <c r="K13" i="429"/>
  <c r="F13" i="429"/>
  <c r="F63" i="433" s="1"/>
  <c r="S12" i="429"/>
  <c r="S109" i="433" s="1"/>
  <c r="K12" i="429"/>
  <c r="F12" i="429"/>
  <c r="F109" i="433" s="1"/>
  <c r="S11" i="429"/>
  <c r="S119" i="433" s="1"/>
  <c r="K11" i="429"/>
  <c r="D11" i="429"/>
  <c r="S10" i="429"/>
  <c r="S38" i="433" s="1"/>
  <c r="K10" i="429"/>
  <c r="F10" i="429"/>
  <c r="F38" i="433" s="1"/>
  <c r="S9" i="429"/>
  <c r="S37" i="433" s="1"/>
  <c r="K9" i="429"/>
  <c r="F9" i="429"/>
  <c r="F37" i="433" s="1"/>
  <c r="S8" i="429"/>
  <c r="S36" i="433" s="1"/>
  <c r="K8" i="429"/>
  <c r="S7" i="429"/>
  <c r="S112" i="433" s="1"/>
  <c r="S113" i="433" s="1"/>
  <c r="K7" i="429"/>
  <c r="D7" i="429"/>
  <c r="D112" i="433" s="1"/>
  <c r="D113" i="433" s="1"/>
  <c r="B14" i="97" s="1"/>
  <c r="S6" i="429"/>
  <c r="S17" i="433" s="1"/>
  <c r="S18" i="433" s="1"/>
  <c r="K6" i="429"/>
  <c r="D6" i="429"/>
  <c r="D17" i="433" s="1"/>
  <c r="D18" i="433" s="1"/>
  <c r="S5" i="429"/>
  <c r="K5" i="429"/>
  <c r="F5" i="429"/>
  <c r="S88" i="429"/>
  <c r="S55" i="433" s="1"/>
  <c r="K88" i="429"/>
  <c r="F88" i="429"/>
  <c r="F55" i="433" s="1"/>
  <c r="S87" i="429"/>
  <c r="S54" i="433" s="1"/>
  <c r="K87" i="429"/>
  <c r="F87" i="429"/>
  <c r="F54" i="433" s="1"/>
  <c r="S82" i="429"/>
  <c r="S28" i="433" s="1"/>
  <c r="K82" i="429"/>
  <c r="F82" i="429"/>
  <c r="F28" i="433" s="1"/>
  <c r="S76" i="429"/>
  <c r="S122" i="433" s="1"/>
  <c r="K76" i="429"/>
  <c r="D76" i="429"/>
  <c r="S75" i="429"/>
  <c r="S87" i="433" s="1"/>
  <c r="K75" i="429"/>
  <c r="F75" i="429"/>
  <c r="F87" i="433" s="1"/>
  <c r="S60" i="429"/>
  <c r="S84" i="433" s="1"/>
  <c r="K60" i="429"/>
  <c r="F60" i="429"/>
  <c r="F84" i="433" s="1"/>
  <c r="S55" i="429"/>
  <c r="S83" i="433" s="1"/>
  <c r="K55" i="429"/>
  <c r="F55" i="429"/>
  <c r="F83" i="433" s="1"/>
  <c r="S54" i="429"/>
  <c r="S100" i="433" s="1"/>
  <c r="K54" i="429"/>
  <c r="F54" i="429"/>
  <c r="F100" i="433" s="1"/>
  <c r="S50" i="429"/>
  <c r="S80" i="433" s="1"/>
  <c r="K50" i="429"/>
  <c r="F50" i="429"/>
  <c r="F80" i="433" s="1"/>
  <c r="S47" i="429"/>
  <c r="S121" i="433" s="1"/>
  <c r="K47" i="429"/>
  <c r="D47" i="429"/>
  <c r="S42" i="429"/>
  <c r="S42" i="433" s="1"/>
  <c r="K42" i="429"/>
  <c r="D42" i="429"/>
  <c r="S34" i="429"/>
  <c r="S72" i="433" s="1"/>
  <c r="K34" i="429"/>
  <c r="D34" i="429"/>
  <c r="D72" i="433" s="1"/>
  <c r="D90" i="433" s="1"/>
  <c r="S31" i="429"/>
  <c r="S99" i="433" s="1"/>
  <c r="N31" i="429"/>
  <c r="N99" i="433" s="1"/>
  <c r="K31" i="429"/>
  <c r="F31" i="429"/>
  <c r="F99" i="433" s="1"/>
  <c r="S28" i="429"/>
  <c r="S70" i="433" s="1"/>
  <c r="K28" i="429"/>
  <c r="F28" i="429"/>
  <c r="F70" i="433" s="1"/>
  <c r="S22" i="429"/>
  <c r="S66" i="433" s="1"/>
  <c r="J22" i="429"/>
  <c r="F22" i="429"/>
  <c r="F66" i="433" s="1"/>
  <c r="L16" i="429" l="1"/>
  <c r="L40" i="433" s="1"/>
  <c r="K40" i="433"/>
  <c r="L63" i="429"/>
  <c r="K107" i="433"/>
  <c r="S90" i="433"/>
  <c r="L20" i="429"/>
  <c r="L64" i="433" s="1"/>
  <c r="K64" i="433"/>
  <c r="L55" i="429"/>
  <c r="K83" i="433"/>
  <c r="F76" i="429"/>
  <c r="F122" i="433" s="1"/>
  <c r="D122" i="433"/>
  <c r="L6" i="429"/>
  <c r="L17" i="433" s="1"/>
  <c r="L18" i="433" s="1"/>
  <c r="K17" i="433"/>
  <c r="K18" i="433" s="1"/>
  <c r="L9" i="429"/>
  <c r="L37" i="433" s="1"/>
  <c r="K37" i="433"/>
  <c r="L24" i="429"/>
  <c r="K32" i="433"/>
  <c r="S58" i="433"/>
  <c r="L40" i="429"/>
  <c r="L9" i="433" s="1"/>
  <c r="K9" i="433"/>
  <c r="L80" i="429"/>
  <c r="L116" i="433" s="1"/>
  <c r="K116" i="433"/>
  <c r="L66" i="429"/>
  <c r="K98" i="433"/>
  <c r="L92" i="429"/>
  <c r="L123" i="433" s="1"/>
  <c r="K123" i="433"/>
  <c r="L39" i="429"/>
  <c r="L75" i="433" s="1"/>
  <c r="K75" i="433"/>
  <c r="L53" i="429"/>
  <c r="L82" i="433" s="1"/>
  <c r="K82" i="433"/>
  <c r="F18" i="429"/>
  <c r="F41" i="433" s="1"/>
  <c r="D41" i="433"/>
  <c r="L78" i="429"/>
  <c r="K89" i="433"/>
  <c r="F11" i="429"/>
  <c r="F119" i="433" s="1"/>
  <c r="D119" i="433"/>
  <c r="L34" i="429"/>
  <c r="K72" i="433"/>
  <c r="L76" i="429"/>
  <c r="K122" i="433"/>
  <c r="L12" i="429"/>
  <c r="L109" i="433" s="1"/>
  <c r="K109" i="433"/>
  <c r="F16" i="429"/>
  <c r="F40" i="433" s="1"/>
  <c r="D40" i="433"/>
  <c r="F19" i="429"/>
  <c r="F21" i="433" s="1"/>
  <c r="D21" i="433"/>
  <c r="L29" i="429"/>
  <c r="K115" i="433"/>
  <c r="K117" i="433" s="1"/>
  <c r="S15" i="433"/>
  <c r="L57" i="429"/>
  <c r="L51" i="433" s="1"/>
  <c r="K51" i="433"/>
  <c r="F110" i="433"/>
  <c r="L93" i="429"/>
  <c r="K31" i="433"/>
  <c r="L74" i="429"/>
  <c r="K53" i="433"/>
  <c r="L23" i="429"/>
  <c r="L67" i="433" s="1"/>
  <c r="K67" i="433"/>
  <c r="L46" i="429"/>
  <c r="L49" i="433" s="1"/>
  <c r="K49" i="433"/>
  <c r="L69" i="429"/>
  <c r="L86" i="433" s="1"/>
  <c r="K86" i="433"/>
  <c r="L73" i="429"/>
  <c r="K102" i="433"/>
  <c r="L60" i="429"/>
  <c r="K84" i="433"/>
  <c r="L25" i="429"/>
  <c r="L68" i="433" s="1"/>
  <c r="K68" i="433"/>
  <c r="L44" i="429"/>
  <c r="K23" i="433"/>
  <c r="S110" i="433"/>
  <c r="L83" i="429"/>
  <c r="K12" i="433"/>
  <c r="L68" i="429"/>
  <c r="K27" i="433"/>
  <c r="L41" i="429"/>
  <c r="K76" i="433"/>
  <c r="L65" i="429"/>
  <c r="K101" i="433"/>
  <c r="L98" i="429"/>
  <c r="K124" i="433"/>
  <c r="L50" i="429"/>
  <c r="L80" i="433" s="1"/>
  <c r="K80" i="433"/>
  <c r="L51" i="429"/>
  <c r="K50" i="433"/>
  <c r="L7" i="429"/>
  <c r="K112" i="433"/>
  <c r="K113" i="433" s="1"/>
  <c r="L10" i="429"/>
  <c r="L38" i="433" s="1"/>
  <c r="K38" i="433"/>
  <c r="L42" i="429"/>
  <c r="L42" i="433" s="1"/>
  <c r="K42" i="433"/>
  <c r="L82" i="429"/>
  <c r="L28" i="433" s="1"/>
  <c r="K28" i="433"/>
  <c r="F60" i="433"/>
  <c r="F61" i="433" s="1"/>
  <c r="D17" i="97" s="1"/>
  <c r="L13" i="429"/>
  <c r="L63" i="433" s="1"/>
  <c r="K63" i="433"/>
  <c r="F17" i="429"/>
  <c r="F14" i="433" s="1"/>
  <c r="D14" i="433"/>
  <c r="L30" i="429"/>
  <c r="K71" i="433"/>
  <c r="L59" i="429"/>
  <c r="L10" i="433" s="1"/>
  <c r="K10" i="433"/>
  <c r="L64" i="429"/>
  <c r="K85" i="433"/>
  <c r="L94" i="429"/>
  <c r="K13" i="433"/>
  <c r="L85" i="429"/>
  <c r="L30" i="433" s="1"/>
  <c r="K30" i="433"/>
  <c r="F91" i="429"/>
  <c r="F96" i="433" s="1"/>
  <c r="D96" i="433"/>
  <c r="D105" i="433" s="1"/>
  <c r="S45" i="433"/>
  <c r="L26" i="429"/>
  <c r="K69" i="433"/>
  <c r="L48" i="429"/>
  <c r="K78" i="433"/>
  <c r="L72" i="429"/>
  <c r="K52" i="433"/>
  <c r="L101" i="429"/>
  <c r="L94" i="433" s="1"/>
  <c r="K94" i="433"/>
  <c r="L62" i="429"/>
  <c r="K26" i="433"/>
  <c r="L91" i="429"/>
  <c r="K96" i="433"/>
  <c r="L36" i="429"/>
  <c r="K74" i="433"/>
  <c r="L52" i="429"/>
  <c r="K81" i="433"/>
  <c r="L81" i="429"/>
  <c r="K103" i="433"/>
  <c r="L18" i="97"/>
  <c r="L28" i="429"/>
  <c r="K70" i="433"/>
  <c r="L19" i="429"/>
  <c r="L21" i="433" s="1"/>
  <c r="K21" i="433"/>
  <c r="K45" i="433" s="1"/>
  <c r="L37" i="429"/>
  <c r="L6" i="433" s="1"/>
  <c r="L7" i="433" s="1"/>
  <c r="J6" i="97" s="1"/>
  <c r="K6" i="433"/>
  <c r="K7" i="433" s="1"/>
  <c r="I6" i="97" s="1"/>
  <c r="L58" i="429"/>
  <c r="K25" i="433"/>
  <c r="L90" i="429"/>
  <c r="K35" i="433"/>
  <c r="L35" i="429"/>
  <c r="K73" i="433"/>
  <c r="F42" i="429"/>
  <c r="F42" i="433" s="1"/>
  <c r="D42" i="433"/>
  <c r="L54" i="429"/>
  <c r="K100" i="433"/>
  <c r="L8" i="429"/>
  <c r="L36" i="433" s="1"/>
  <c r="K36" i="433"/>
  <c r="L38" i="429"/>
  <c r="L120" i="433" s="1"/>
  <c r="K120" i="433"/>
  <c r="L79" i="429"/>
  <c r="L108" i="433" s="1"/>
  <c r="K108" i="433"/>
  <c r="F47" i="429"/>
  <c r="F121" i="433" s="1"/>
  <c r="D121" i="433"/>
  <c r="L75" i="429"/>
  <c r="K87" i="433"/>
  <c r="S60" i="433"/>
  <c r="S61" i="433" s="1"/>
  <c r="Q17" i="97" s="1"/>
  <c r="S102" i="429"/>
  <c r="L11" i="429"/>
  <c r="K119" i="433"/>
  <c r="L27" i="429"/>
  <c r="K22" i="433"/>
  <c r="F58" i="433"/>
  <c r="L56" i="429"/>
  <c r="K24" i="433"/>
  <c r="D15" i="433"/>
  <c r="B10" i="97" s="1"/>
  <c r="L84" i="429"/>
  <c r="K29" i="433"/>
  <c r="L70" i="429"/>
  <c r="K92" i="433"/>
  <c r="L21" i="429"/>
  <c r="L65" i="433" s="1"/>
  <c r="K65" i="433"/>
  <c r="L45" i="429"/>
  <c r="K77" i="433"/>
  <c r="L67" i="429"/>
  <c r="K95" i="433"/>
  <c r="F8" i="429"/>
  <c r="F36" i="433" s="1"/>
  <c r="D36" i="433"/>
  <c r="L88" i="429"/>
  <c r="K55" i="433"/>
  <c r="L31" i="429"/>
  <c r="L99" i="433" s="1"/>
  <c r="K99" i="433"/>
  <c r="K60" i="433"/>
  <c r="K61" i="433" s="1"/>
  <c r="I17" i="97" s="1"/>
  <c r="L17" i="429"/>
  <c r="K14" i="433"/>
  <c r="F84" i="429"/>
  <c r="F29" i="433" s="1"/>
  <c r="F45" i="433" s="1"/>
  <c r="D29" i="433"/>
  <c r="J66" i="433"/>
  <c r="J90" i="433" s="1"/>
  <c r="L47" i="429"/>
  <c r="L121" i="433" s="1"/>
  <c r="K121" i="433"/>
  <c r="L87" i="429"/>
  <c r="K54" i="433"/>
  <c r="S125" i="433"/>
  <c r="L15" i="429"/>
  <c r="K39" i="433"/>
  <c r="L18" i="429"/>
  <c r="K41" i="433"/>
  <c r="F24" i="429"/>
  <c r="F32" i="433" s="1"/>
  <c r="D32" i="433"/>
  <c r="I47" i="433"/>
  <c r="I58" i="433" s="1"/>
  <c r="I102" i="429"/>
  <c r="L61" i="429"/>
  <c r="K11" i="433"/>
  <c r="L71" i="429"/>
  <c r="K33" i="433"/>
  <c r="S105" i="433"/>
  <c r="L86" i="429"/>
  <c r="L34" i="433" s="1"/>
  <c r="K34" i="433"/>
  <c r="L33" i="429"/>
  <c r="K48" i="433"/>
  <c r="L49" i="429"/>
  <c r="K79" i="433"/>
  <c r="L77" i="429"/>
  <c r="K88" i="433"/>
  <c r="N41" i="433"/>
  <c r="N45" i="433" s="1"/>
  <c r="N126" i="433" s="1"/>
  <c r="N102" i="429"/>
  <c r="D102" i="429"/>
  <c r="G9" i="12"/>
  <c r="L43" i="429"/>
  <c r="L43" i="433" s="1"/>
  <c r="F66" i="429"/>
  <c r="F98" i="433" s="1"/>
  <c r="L14" i="429"/>
  <c r="L20" i="433" s="1"/>
  <c r="F6" i="429"/>
  <c r="F17" i="433" s="1"/>
  <c r="F18" i="433" s="1"/>
  <c r="F34" i="429"/>
  <c r="F72" i="433" s="1"/>
  <c r="F90" i="433" s="1"/>
  <c r="P101" i="429"/>
  <c r="P82" i="429"/>
  <c r="P28" i="433" s="1"/>
  <c r="P6" i="429"/>
  <c r="P17" i="433" s="1"/>
  <c r="P18" i="433" s="1"/>
  <c r="X9" i="12"/>
  <c r="V9" i="12"/>
  <c r="P9" i="12"/>
  <c r="J32" i="429"/>
  <c r="J47" i="433" s="1"/>
  <c r="J58" i="433" s="1"/>
  <c r="H9" i="97" s="1"/>
  <c r="E9" i="12"/>
  <c r="P13" i="429"/>
  <c r="P63" i="433" s="1"/>
  <c r="P42" i="429"/>
  <c r="P42" i="433" s="1"/>
  <c r="P20" i="429"/>
  <c r="P64" i="433" s="1"/>
  <c r="P16" i="429"/>
  <c r="P40" i="433" s="1"/>
  <c r="P50" i="429"/>
  <c r="P80" i="433" s="1"/>
  <c r="P37" i="429"/>
  <c r="P6" i="433" s="1"/>
  <c r="P7" i="433" s="1"/>
  <c r="N6" i="97" s="1"/>
  <c r="P9" i="429"/>
  <c r="P37" i="433" s="1"/>
  <c r="P80" i="429"/>
  <c r="P116" i="433" s="1"/>
  <c r="P12" i="429"/>
  <c r="P109" i="433" s="1"/>
  <c r="P47" i="429"/>
  <c r="P121" i="433" s="1"/>
  <c r="P10" i="429"/>
  <c r="P38" i="433" s="1"/>
  <c r="P19" i="429"/>
  <c r="P21" i="433" s="1"/>
  <c r="P79" i="429"/>
  <c r="P108" i="433" s="1"/>
  <c r="F7" i="429"/>
  <c r="F112" i="433" s="1"/>
  <c r="F113" i="433" s="1"/>
  <c r="P40" i="429"/>
  <c r="P9" i="433" s="1"/>
  <c r="F64" i="429"/>
  <c r="F85" i="433" s="1"/>
  <c r="P23" i="429"/>
  <c r="P67" i="433" s="1"/>
  <c r="L96" i="429"/>
  <c r="L44" i="433" s="1"/>
  <c r="P85" i="429"/>
  <c r="P30" i="433" s="1"/>
  <c r="C9" i="12"/>
  <c r="O9" i="12"/>
  <c r="L5" i="429"/>
  <c r="P38" i="429"/>
  <c r="P120" i="433" s="1"/>
  <c r="P59" i="429"/>
  <c r="P10" i="433" s="1"/>
  <c r="P53" i="429"/>
  <c r="P82" i="433" s="1"/>
  <c r="P25" i="429"/>
  <c r="P68" i="433" s="1"/>
  <c r="K22" i="429"/>
  <c r="K66" i="433" s="1"/>
  <c r="P46" i="429"/>
  <c r="P49" i="433" s="1"/>
  <c r="F70" i="429"/>
  <c r="F92" i="433" s="1"/>
  <c r="F105" i="433" s="1"/>
  <c r="P92" i="429"/>
  <c r="P123" i="433" s="1"/>
  <c r="P69" i="429"/>
  <c r="P86" i="433" s="1"/>
  <c r="P39" i="429"/>
  <c r="P75" i="433" s="1"/>
  <c r="F61" i="429"/>
  <c r="F11" i="433" s="1"/>
  <c r="F15" i="433" s="1"/>
  <c r="P43" i="429"/>
  <c r="P43" i="433" s="1"/>
  <c r="F90" i="429"/>
  <c r="F35" i="433" s="1"/>
  <c r="P86" i="429" l="1"/>
  <c r="P34" i="433" s="1"/>
  <c r="H11" i="97"/>
  <c r="J126" i="433"/>
  <c r="P62" i="429"/>
  <c r="L26" i="433"/>
  <c r="P26" i="429"/>
  <c r="L69" i="433"/>
  <c r="K90" i="433"/>
  <c r="P93" i="429"/>
  <c r="L31" i="433"/>
  <c r="P34" i="429"/>
  <c r="L72" i="433"/>
  <c r="G9" i="97"/>
  <c r="I126" i="433"/>
  <c r="P61" i="429"/>
  <c r="L11" i="433"/>
  <c r="P8" i="429"/>
  <c r="P36" i="433" s="1"/>
  <c r="M101" i="429"/>
  <c r="P94" i="433"/>
  <c r="P33" i="429"/>
  <c r="L48" i="433"/>
  <c r="P15" i="429"/>
  <c r="L39" i="433"/>
  <c r="P45" i="429"/>
  <c r="L77" i="433"/>
  <c r="P35" i="429"/>
  <c r="L73" i="433"/>
  <c r="P52" i="429"/>
  <c r="L81" i="433"/>
  <c r="P64" i="429"/>
  <c r="L85" i="433"/>
  <c r="P68" i="429"/>
  <c r="L27" i="433"/>
  <c r="D125" i="433"/>
  <c r="K15" i="433"/>
  <c r="P21" i="429"/>
  <c r="P65" i="433" s="1"/>
  <c r="P57" i="429"/>
  <c r="P51" i="433" s="1"/>
  <c r="S126" i="433"/>
  <c r="P56" i="429"/>
  <c r="L24" i="433"/>
  <c r="P98" i="429"/>
  <c r="L124" i="433"/>
  <c r="F125" i="433"/>
  <c r="F126" i="433" s="1"/>
  <c r="P87" i="429"/>
  <c r="L54" i="433"/>
  <c r="P17" i="429"/>
  <c r="L14" i="433"/>
  <c r="K105" i="433"/>
  <c r="P72" i="429"/>
  <c r="L52" i="433"/>
  <c r="P7" i="429"/>
  <c r="L112" i="433"/>
  <c r="L113" i="433" s="1"/>
  <c r="P65" i="429"/>
  <c r="L101" i="433"/>
  <c r="P78" i="429"/>
  <c r="L89" i="433"/>
  <c r="K110" i="433"/>
  <c r="P75" i="429"/>
  <c r="L87" i="433"/>
  <c r="P28" i="429"/>
  <c r="L70" i="433"/>
  <c r="F102" i="429"/>
  <c r="P83" i="429"/>
  <c r="L12" i="433"/>
  <c r="L15" i="433" s="1"/>
  <c r="P60" i="429"/>
  <c r="L84" i="433"/>
  <c r="L60" i="433"/>
  <c r="L61" i="433" s="1"/>
  <c r="J17" i="97" s="1"/>
  <c r="P77" i="429"/>
  <c r="L88" i="433"/>
  <c r="P70" i="429"/>
  <c r="L92" i="433"/>
  <c r="P27" i="429"/>
  <c r="L22" i="433"/>
  <c r="L45" i="433" s="1"/>
  <c r="P54" i="429"/>
  <c r="L100" i="433"/>
  <c r="P58" i="429"/>
  <c r="L25" i="433"/>
  <c r="P91" i="429"/>
  <c r="L96" i="433"/>
  <c r="P30" i="429"/>
  <c r="L71" i="433"/>
  <c r="P73" i="429"/>
  <c r="L102" i="433"/>
  <c r="P63" i="429"/>
  <c r="L107" i="433"/>
  <c r="L110" i="433" s="1"/>
  <c r="P36" i="429"/>
  <c r="L74" i="433"/>
  <c r="P71" i="429"/>
  <c r="L33" i="433"/>
  <c r="K125" i="433"/>
  <c r="P48" i="429"/>
  <c r="L78" i="433"/>
  <c r="P51" i="429"/>
  <c r="L50" i="433"/>
  <c r="P41" i="429"/>
  <c r="L76" i="433"/>
  <c r="P44" i="429"/>
  <c r="L23" i="433"/>
  <c r="P74" i="429"/>
  <c r="L53" i="433"/>
  <c r="P29" i="429"/>
  <c r="L115" i="433"/>
  <c r="L117" i="433" s="1"/>
  <c r="P76" i="429"/>
  <c r="L122" i="433"/>
  <c r="P66" i="429"/>
  <c r="L98" i="433"/>
  <c r="P24" i="429"/>
  <c r="L32" i="433"/>
  <c r="P55" i="429"/>
  <c r="L83" i="433"/>
  <c r="P88" i="429"/>
  <c r="L55" i="433"/>
  <c r="P90" i="429"/>
  <c r="L35" i="433"/>
  <c r="P31" i="429"/>
  <c r="P99" i="433" s="1"/>
  <c r="P49" i="429"/>
  <c r="L79" i="433"/>
  <c r="P18" i="429"/>
  <c r="L41" i="433"/>
  <c r="J102" i="429"/>
  <c r="H9" i="12" s="1"/>
  <c r="P67" i="429"/>
  <c r="L95" i="433"/>
  <c r="P84" i="429"/>
  <c r="L29" i="433"/>
  <c r="P11" i="429"/>
  <c r="L119" i="433"/>
  <c r="L125" i="433" s="1"/>
  <c r="P81" i="429"/>
  <c r="L103" i="433"/>
  <c r="P94" i="429"/>
  <c r="L13" i="433"/>
  <c r="D45" i="433"/>
  <c r="D9" i="12"/>
  <c r="P14" i="429"/>
  <c r="P20" i="433" s="1"/>
  <c r="W9" i="12"/>
  <c r="E14" i="69"/>
  <c r="M86" i="429"/>
  <c r="M6" i="429"/>
  <c r="M82" i="429"/>
  <c r="K32" i="429"/>
  <c r="K47" i="433" s="1"/>
  <c r="K58" i="433" s="1"/>
  <c r="M31" i="429"/>
  <c r="M9" i="429"/>
  <c r="M92" i="429"/>
  <c r="M46" i="429"/>
  <c r="M25" i="429"/>
  <c r="M59" i="429"/>
  <c r="M10" i="429"/>
  <c r="M16" i="429"/>
  <c r="M57" i="429"/>
  <c r="M40" i="429"/>
  <c r="M19" i="429"/>
  <c r="M21" i="429"/>
  <c r="M65" i="433" s="1"/>
  <c r="P96" i="429"/>
  <c r="P44" i="433" s="1"/>
  <c r="M23" i="429"/>
  <c r="M47" i="429"/>
  <c r="M80" i="429"/>
  <c r="M69" i="429"/>
  <c r="L22" i="429"/>
  <c r="L66" i="433" s="1"/>
  <c r="L90" i="433" s="1"/>
  <c r="P5" i="429"/>
  <c r="M85" i="429"/>
  <c r="M79" i="429"/>
  <c r="M37" i="429"/>
  <c r="M20" i="429"/>
  <c r="M42" i="429"/>
  <c r="M38" i="429"/>
  <c r="M12" i="429"/>
  <c r="M53" i="429"/>
  <c r="M13" i="429"/>
  <c r="M39" i="429"/>
  <c r="M43" i="429"/>
  <c r="M43" i="433" s="1"/>
  <c r="M50" i="429"/>
  <c r="T94" i="429" l="1"/>
  <c r="T67" i="429"/>
  <c r="T101" i="429"/>
  <c r="M94" i="433"/>
  <c r="O42" i="429"/>
  <c r="O42" i="433" s="1"/>
  <c r="M42" i="433"/>
  <c r="P84" i="433"/>
  <c r="M60" i="429"/>
  <c r="P60" i="433"/>
  <c r="P61" i="433" s="1"/>
  <c r="N17" i="97" s="1"/>
  <c r="O23" i="429"/>
  <c r="O67" i="433" s="1"/>
  <c r="M67" i="433"/>
  <c r="O92" i="429"/>
  <c r="O123" i="433" s="1"/>
  <c r="M123" i="433"/>
  <c r="O101" i="429"/>
  <c r="O94" i="433" s="1"/>
  <c r="P79" i="433"/>
  <c r="M49" i="429"/>
  <c r="P70" i="433"/>
  <c r="M28" i="429"/>
  <c r="P14" i="433"/>
  <c r="M17" i="429"/>
  <c r="P124" i="433"/>
  <c r="M98" i="429"/>
  <c r="B18" i="97"/>
  <c r="D126" i="433"/>
  <c r="F127" i="433" s="1"/>
  <c r="P81" i="433"/>
  <c r="M52" i="429"/>
  <c r="P48" i="433"/>
  <c r="M33" i="429"/>
  <c r="O12" i="429"/>
  <c r="O109" i="433" s="1"/>
  <c r="M109" i="433"/>
  <c r="O16" i="429"/>
  <c r="O40" i="433" s="1"/>
  <c r="M40" i="433"/>
  <c r="O9" i="429"/>
  <c r="O37" i="433" s="1"/>
  <c r="M37" i="433"/>
  <c r="P29" i="433"/>
  <c r="M84" i="429"/>
  <c r="P83" i="433"/>
  <c r="M55" i="429"/>
  <c r="P115" i="433"/>
  <c r="P117" i="433" s="1"/>
  <c r="M29" i="429"/>
  <c r="T29" i="429"/>
  <c r="P50" i="433"/>
  <c r="M51" i="429"/>
  <c r="T51" i="429"/>
  <c r="P74" i="433"/>
  <c r="M36" i="429"/>
  <c r="P71" i="433"/>
  <c r="M30" i="429"/>
  <c r="P22" i="433"/>
  <c r="M27" i="429"/>
  <c r="P101" i="433"/>
  <c r="M65" i="429"/>
  <c r="P26" i="433"/>
  <c r="M62" i="429"/>
  <c r="O69" i="429"/>
  <c r="O86" i="433" s="1"/>
  <c r="M86" i="433"/>
  <c r="P24" i="433"/>
  <c r="M56" i="429"/>
  <c r="P32" i="433"/>
  <c r="M24" i="429"/>
  <c r="O19" i="429"/>
  <c r="O21" i="433" s="1"/>
  <c r="M21" i="433"/>
  <c r="K126" i="433"/>
  <c r="L127" i="433" s="1"/>
  <c r="P127" i="433" s="1"/>
  <c r="P107" i="433"/>
  <c r="P110" i="433" s="1"/>
  <c r="M63" i="429"/>
  <c r="K102" i="429"/>
  <c r="P77" i="433"/>
  <c r="M45" i="429"/>
  <c r="P31" i="433"/>
  <c r="M93" i="429"/>
  <c r="O50" i="429"/>
  <c r="O80" i="433" s="1"/>
  <c r="M80" i="433"/>
  <c r="P72" i="433"/>
  <c r="M34" i="429"/>
  <c r="P95" i="433"/>
  <c r="M67" i="429"/>
  <c r="P78" i="433"/>
  <c r="M48" i="429"/>
  <c r="P27" i="433"/>
  <c r="M68" i="429"/>
  <c r="O39" i="429"/>
  <c r="O75" i="433" s="1"/>
  <c r="M75" i="433"/>
  <c r="O86" i="429"/>
  <c r="O34" i="433" s="1"/>
  <c r="M34" i="433"/>
  <c r="O37" i="429"/>
  <c r="O6" i="433" s="1"/>
  <c r="O7" i="433" s="1"/>
  <c r="M6" i="97" s="1"/>
  <c r="M6" i="433"/>
  <c r="M7" i="433" s="1"/>
  <c r="K6" i="97" s="1"/>
  <c r="P103" i="433"/>
  <c r="M81" i="429"/>
  <c r="P35" i="433"/>
  <c r="M90" i="429"/>
  <c r="P98" i="433"/>
  <c r="M66" i="429"/>
  <c r="P23" i="433"/>
  <c r="P45" i="433" s="1"/>
  <c r="M44" i="429"/>
  <c r="P25" i="433"/>
  <c r="M58" i="429"/>
  <c r="P12" i="433"/>
  <c r="M83" i="429"/>
  <c r="P89" i="433"/>
  <c r="M78" i="429"/>
  <c r="P52" i="433"/>
  <c r="M72" i="429"/>
  <c r="O10" i="429"/>
  <c r="O38" i="433" s="1"/>
  <c r="M38" i="433"/>
  <c r="L105" i="433"/>
  <c r="P54" i="433"/>
  <c r="M87" i="429"/>
  <c r="P73" i="433"/>
  <c r="M35" i="429"/>
  <c r="O31" i="429"/>
  <c r="O99" i="433" s="1"/>
  <c r="M99" i="433"/>
  <c r="P13" i="433"/>
  <c r="M94" i="429"/>
  <c r="P96" i="433"/>
  <c r="M91" i="429"/>
  <c r="T91" i="429" s="1"/>
  <c r="P92" i="433"/>
  <c r="M70" i="429"/>
  <c r="P112" i="433"/>
  <c r="P113" i="433" s="1"/>
  <c r="M7" i="429"/>
  <c r="O80" i="429"/>
  <c r="O116" i="433" s="1"/>
  <c r="M116" i="433"/>
  <c r="O25" i="429"/>
  <c r="O68" i="433" s="1"/>
  <c r="M68" i="433"/>
  <c r="T70" i="429"/>
  <c r="O79" i="429"/>
  <c r="O108" i="433" s="1"/>
  <c r="M108" i="433"/>
  <c r="O47" i="429"/>
  <c r="O121" i="433" s="1"/>
  <c r="M121" i="433"/>
  <c r="O57" i="429"/>
  <c r="O51" i="433" s="1"/>
  <c r="M51" i="433"/>
  <c r="O6" i="429"/>
  <c r="O17" i="433" s="1"/>
  <c r="O18" i="433" s="1"/>
  <c r="M17" i="433"/>
  <c r="M18" i="433" s="1"/>
  <c r="T7" i="429"/>
  <c r="P41" i="433"/>
  <c r="M18" i="429"/>
  <c r="P33" i="433"/>
  <c r="M71" i="429"/>
  <c r="P88" i="433"/>
  <c r="M77" i="429"/>
  <c r="P85" i="433"/>
  <c r="M64" i="429"/>
  <c r="P39" i="433"/>
  <c r="M15" i="429"/>
  <c r="P11" i="433"/>
  <c r="P15" i="433" s="1"/>
  <c r="M61" i="429"/>
  <c r="O38" i="429"/>
  <c r="O120" i="433" s="1"/>
  <c r="M120" i="433"/>
  <c r="P87" i="433"/>
  <c r="M75" i="429"/>
  <c r="P53" i="433"/>
  <c r="M74" i="429"/>
  <c r="O20" i="429"/>
  <c r="O64" i="433" s="1"/>
  <c r="M64" i="433"/>
  <c r="O59" i="429"/>
  <c r="O10" i="433" s="1"/>
  <c r="M10" i="433"/>
  <c r="O13" i="429"/>
  <c r="O63" i="433" s="1"/>
  <c r="M63" i="433"/>
  <c r="O40" i="429"/>
  <c r="O9" i="433" s="1"/>
  <c r="M9" i="433"/>
  <c r="M8" i="429"/>
  <c r="O53" i="429"/>
  <c r="O82" i="433" s="1"/>
  <c r="M82" i="433"/>
  <c r="O85" i="429"/>
  <c r="O30" i="433" s="1"/>
  <c r="M30" i="433"/>
  <c r="O46" i="429"/>
  <c r="O49" i="433" s="1"/>
  <c r="M49" i="433"/>
  <c r="O82" i="429"/>
  <c r="O28" i="433" s="1"/>
  <c r="M28" i="433"/>
  <c r="P119" i="433"/>
  <c r="M11" i="429"/>
  <c r="P55" i="433"/>
  <c r="M88" i="429"/>
  <c r="P122" i="433"/>
  <c r="M76" i="429"/>
  <c r="P76" i="433"/>
  <c r="M41" i="429"/>
  <c r="P102" i="433"/>
  <c r="M73" i="429"/>
  <c r="P100" i="433"/>
  <c r="M54" i="429"/>
  <c r="P69" i="433"/>
  <c r="M26" i="429"/>
  <c r="T43" i="429"/>
  <c r="T43" i="433" s="1"/>
  <c r="M14" i="429"/>
  <c r="M20" i="433" s="1"/>
  <c r="F9" i="12"/>
  <c r="Q9" i="12"/>
  <c r="T92" i="429"/>
  <c r="L9" i="12"/>
  <c r="T10" i="429"/>
  <c r="T86" i="429"/>
  <c r="T23" i="429"/>
  <c r="T39" i="429"/>
  <c r="T50" i="429"/>
  <c r="T13" i="429"/>
  <c r="T42" i="429"/>
  <c r="T47" i="429"/>
  <c r="T59" i="429"/>
  <c r="T31" i="429"/>
  <c r="L32" i="429"/>
  <c r="L47" i="433" s="1"/>
  <c r="L58" i="433" s="1"/>
  <c r="T16" i="429"/>
  <c r="T82" i="429"/>
  <c r="T6" i="429"/>
  <c r="O43" i="429"/>
  <c r="O43" i="433" s="1"/>
  <c r="T19" i="429"/>
  <c r="T37" i="429"/>
  <c r="P22" i="429"/>
  <c r="P66" i="433" s="1"/>
  <c r="T80" i="429"/>
  <c r="M96" i="429"/>
  <c r="M44" i="433" s="1"/>
  <c r="T38" i="429"/>
  <c r="T79" i="429"/>
  <c r="T40" i="429"/>
  <c r="O21" i="429"/>
  <c r="O65" i="433" s="1"/>
  <c r="T53" i="429"/>
  <c r="T85" i="429"/>
  <c r="T69" i="429"/>
  <c r="T57" i="429"/>
  <c r="T25" i="429"/>
  <c r="T21" i="429"/>
  <c r="T65" i="433" s="1"/>
  <c r="T8" i="429"/>
  <c r="T12" i="429"/>
  <c r="T20" i="429"/>
  <c r="T9" i="429"/>
  <c r="M5" i="429"/>
  <c r="T46" i="429"/>
  <c r="U91" i="429" l="1"/>
  <c r="T96" i="433"/>
  <c r="U59" i="429"/>
  <c r="T10" i="433"/>
  <c r="O74" i="429"/>
  <c r="O53" i="433" s="1"/>
  <c r="M53" i="433"/>
  <c r="T48" i="429"/>
  <c r="M78" i="433"/>
  <c r="O48" i="429"/>
  <c r="O78" i="433" s="1"/>
  <c r="O62" i="429"/>
  <c r="O26" i="433" s="1"/>
  <c r="M26" i="433"/>
  <c r="T62" i="429"/>
  <c r="O98" i="429"/>
  <c r="O124" i="433" s="1"/>
  <c r="M124" i="433"/>
  <c r="T98" i="429"/>
  <c r="M60" i="433"/>
  <c r="M61" i="433" s="1"/>
  <c r="K17" i="97" s="1"/>
  <c r="U57" i="429"/>
  <c r="T51" i="433"/>
  <c r="U16" i="429"/>
  <c r="T40" i="433"/>
  <c r="U9" i="429"/>
  <c r="T37" i="433"/>
  <c r="U69" i="429"/>
  <c r="T86" i="433"/>
  <c r="U80" i="429"/>
  <c r="T116" i="433"/>
  <c r="U23" i="429"/>
  <c r="T67" i="433"/>
  <c r="M76" i="433"/>
  <c r="O41" i="429"/>
  <c r="O76" i="433" s="1"/>
  <c r="T41" i="429"/>
  <c r="T61" i="429"/>
  <c r="M11" i="433"/>
  <c r="O61" i="429"/>
  <c r="O11" i="433" s="1"/>
  <c r="U70" i="429"/>
  <c r="T92" i="433"/>
  <c r="O70" i="429"/>
  <c r="O92" i="433" s="1"/>
  <c r="O105" i="433" s="1"/>
  <c r="M92" i="433"/>
  <c r="T30" i="429"/>
  <c r="M71" i="433"/>
  <c r="O30" i="429"/>
  <c r="O71" i="433" s="1"/>
  <c r="O29" i="429"/>
  <c r="O115" i="433" s="1"/>
  <c r="O117" i="433" s="1"/>
  <c r="M115" i="433"/>
  <c r="M117" i="433" s="1"/>
  <c r="L102" i="429"/>
  <c r="U101" i="429"/>
  <c r="U94" i="433" s="1"/>
  <c r="T94" i="433"/>
  <c r="U53" i="429"/>
  <c r="T82" i="433"/>
  <c r="O91" i="429"/>
  <c r="O96" i="433" s="1"/>
  <c r="M96" i="433"/>
  <c r="U20" i="429"/>
  <c r="T64" i="433"/>
  <c r="U85" i="429"/>
  <c r="T30" i="433"/>
  <c r="P90" i="433"/>
  <c r="U31" i="429"/>
  <c r="T99" i="433"/>
  <c r="U86" i="429"/>
  <c r="T34" i="433"/>
  <c r="T26" i="429"/>
  <c r="M69" i="433"/>
  <c r="O26" i="429"/>
  <c r="O69" i="433" s="1"/>
  <c r="O8" i="429"/>
  <c r="O36" i="433" s="1"/>
  <c r="M36" i="433"/>
  <c r="T71" i="429"/>
  <c r="M33" i="433"/>
  <c r="O71" i="429"/>
  <c r="O33" i="433" s="1"/>
  <c r="P105" i="433"/>
  <c r="O35" i="429"/>
  <c r="O73" i="433" s="1"/>
  <c r="M73" i="433"/>
  <c r="T72" i="429"/>
  <c r="M52" i="433"/>
  <c r="O72" i="429"/>
  <c r="O52" i="433" s="1"/>
  <c r="T44" i="429"/>
  <c r="M23" i="433"/>
  <c r="O44" i="429"/>
  <c r="O23" i="433" s="1"/>
  <c r="O93" i="429"/>
  <c r="O31" i="433" s="1"/>
  <c r="M31" i="433"/>
  <c r="T93" i="429"/>
  <c r="U67" i="429"/>
  <c r="T95" i="433"/>
  <c r="U47" i="429"/>
  <c r="T121" i="433"/>
  <c r="O18" i="429"/>
  <c r="O41" i="433" s="1"/>
  <c r="M41" i="433"/>
  <c r="T18" i="429"/>
  <c r="T66" i="429"/>
  <c r="M98" i="433"/>
  <c r="O66" i="429"/>
  <c r="O98" i="433" s="1"/>
  <c r="U94" i="429"/>
  <c r="T13" i="433"/>
  <c r="U40" i="429"/>
  <c r="T9" i="433"/>
  <c r="U92" i="429"/>
  <c r="T123" i="433"/>
  <c r="O88" i="429"/>
  <c r="O55" i="433" s="1"/>
  <c r="M55" i="433"/>
  <c r="T88" i="429"/>
  <c r="T75" i="429"/>
  <c r="M87" i="433"/>
  <c r="O75" i="429"/>
  <c r="O87" i="433" s="1"/>
  <c r="T64" i="429"/>
  <c r="M85" i="433"/>
  <c r="O64" i="429"/>
  <c r="O85" i="433" s="1"/>
  <c r="O67" i="429"/>
  <c r="O95" i="433" s="1"/>
  <c r="M95" i="433"/>
  <c r="T45" i="429"/>
  <c r="M77" i="433"/>
  <c r="O45" i="429"/>
  <c r="O77" i="433" s="1"/>
  <c r="T24" i="429"/>
  <c r="M32" i="433"/>
  <c r="O24" i="429"/>
  <c r="O32" i="433" s="1"/>
  <c r="O65" i="429"/>
  <c r="O101" i="433" s="1"/>
  <c r="M101" i="433"/>
  <c r="T65" i="429"/>
  <c r="U51" i="429"/>
  <c r="T50" i="433"/>
  <c r="T84" i="429"/>
  <c r="M29" i="433"/>
  <c r="O84" i="429"/>
  <c r="O29" i="433" s="1"/>
  <c r="O33" i="429"/>
  <c r="O48" i="433" s="1"/>
  <c r="M48" i="433"/>
  <c r="T33" i="429"/>
  <c r="O17" i="429"/>
  <c r="O14" i="433" s="1"/>
  <c r="M14" i="433"/>
  <c r="T17" i="429"/>
  <c r="T74" i="429"/>
  <c r="U37" i="429"/>
  <c r="T6" i="433"/>
  <c r="T7" i="433" s="1"/>
  <c r="R6" i="97" s="1"/>
  <c r="O76" i="429"/>
  <c r="O122" i="433" s="1"/>
  <c r="M122" i="433"/>
  <c r="T76" i="429"/>
  <c r="O36" i="429"/>
  <c r="O74" i="433" s="1"/>
  <c r="M74" i="433"/>
  <c r="T36" i="429"/>
  <c r="O55" i="429"/>
  <c r="O83" i="433" s="1"/>
  <c r="M83" i="433"/>
  <c r="T55" i="429"/>
  <c r="O78" i="429"/>
  <c r="O89" i="433" s="1"/>
  <c r="M89" i="433"/>
  <c r="T78" i="429"/>
  <c r="O60" i="429"/>
  <c r="O84" i="433" s="1"/>
  <c r="M84" i="433"/>
  <c r="T60" i="429"/>
  <c r="U42" i="429"/>
  <c r="T42" i="433"/>
  <c r="T54" i="429"/>
  <c r="M100" i="433"/>
  <c r="O54" i="429"/>
  <c r="O100" i="433" s="1"/>
  <c r="U43" i="429"/>
  <c r="U43" i="433" s="1"/>
  <c r="U79" i="429"/>
  <c r="T108" i="433"/>
  <c r="U6" i="429"/>
  <c r="T17" i="433"/>
  <c r="T18" i="433" s="1"/>
  <c r="U13" i="429"/>
  <c r="T63" i="433"/>
  <c r="L126" i="433"/>
  <c r="O94" i="429"/>
  <c r="O13" i="433" s="1"/>
  <c r="M13" i="433"/>
  <c r="T83" i="429"/>
  <c r="M12" i="433"/>
  <c r="M15" i="433" s="1"/>
  <c r="O83" i="429"/>
  <c r="O12" i="433" s="1"/>
  <c r="O15" i="433" s="1"/>
  <c r="O90" i="429"/>
  <c r="O35" i="433" s="1"/>
  <c r="M35" i="433"/>
  <c r="T90" i="429"/>
  <c r="M50" i="433"/>
  <c r="O51" i="429"/>
  <c r="O50" i="433" s="1"/>
  <c r="U10" i="429"/>
  <c r="T38" i="433"/>
  <c r="T15" i="429"/>
  <c r="M39" i="433"/>
  <c r="O15" i="429"/>
  <c r="O39" i="433" s="1"/>
  <c r="U8" i="429"/>
  <c r="T36" i="433"/>
  <c r="T87" i="429"/>
  <c r="M54" i="433"/>
  <c r="O87" i="429"/>
  <c r="O54" i="433" s="1"/>
  <c r="U46" i="429"/>
  <c r="T49" i="433"/>
  <c r="U25" i="429"/>
  <c r="T68" i="433"/>
  <c r="U38" i="429"/>
  <c r="T120" i="433"/>
  <c r="U82" i="429"/>
  <c r="T28" i="433"/>
  <c r="U50" i="429"/>
  <c r="T80" i="433"/>
  <c r="O73" i="429"/>
  <c r="O102" i="433" s="1"/>
  <c r="M102" i="433"/>
  <c r="T73" i="429"/>
  <c r="T11" i="429"/>
  <c r="M119" i="433"/>
  <c r="O11" i="429"/>
  <c r="O119" i="433" s="1"/>
  <c r="O125" i="433" s="1"/>
  <c r="O7" i="429"/>
  <c r="O112" i="433" s="1"/>
  <c r="O113" i="433" s="1"/>
  <c r="M112" i="433"/>
  <c r="M113" i="433" s="1"/>
  <c r="T34" i="429"/>
  <c r="M72" i="433"/>
  <c r="O34" i="429"/>
  <c r="O72" i="433" s="1"/>
  <c r="T56" i="429"/>
  <c r="M24" i="433"/>
  <c r="O56" i="429"/>
  <c r="O24" i="433" s="1"/>
  <c r="T27" i="429"/>
  <c r="M22" i="433"/>
  <c r="M45" i="433" s="1"/>
  <c r="O27" i="429"/>
  <c r="O22" i="433" s="1"/>
  <c r="O52" i="429"/>
  <c r="O81" i="433" s="1"/>
  <c r="M81" i="433"/>
  <c r="T52" i="429"/>
  <c r="T28" i="429"/>
  <c r="M70" i="433"/>
  <c r="O28" i="429"/>
  <c r="O70" i="433" s="1"/>
  <c r="T35" i="429"/>
  <c r="U12" i="429"/>
  <c r="T109" i="433"/>
  <c r="O49" i="429"/>
  <c r="O79" i="433" s="1"/>
  <c r="M79" i="433"/>
  <c r="T49" i="429"/>
  <c r="U19" i="429"/>
  <c r="T21" i="433"/>
  <c r="U39" i="429"/>
  <c r="T75" i="433"/>
  <c r="P125" i="433"/>
  <c r="T77" i="429"/>
  <c r="M88" i="433"/>
  <c r="O77" i="429"/>
  <c r="O88" i="433" s="1"/>
  <c r="U7" i="429"/>
  <c r="T112" i="433"/>
  <c r="T113" i="433" s="1"/>
  <c r="O58" i="429"/>
  <c r="O25" i="433" s="1"/>
  <c r="M25" i="433"/>
  <c r="T58" i="429"/>
  <c r="O81" i="429"/>
  <c r="O103" i="433" s="1"/>
  <c r="M103" i="433"/>
  <c r="T81" i="429"/>
  <c r="T68" i="429"/>
  <c r="M27" i="433"/>
  <c r="O68" i="429"/>
  <c r="O27" i="433" s="1"/>
  <c r="T63" i="429"/>
  <c r="M107" i="433"/>
  <c r="M110" i="433" s="1"/>
  <c r="O63" i="429"/>
  <c r="O107" i="433" s="1"/>
  <c r="O110" i="433" s="1"/>
  <c r="U29" i="429"/>
  <c r="T115" i="433"/>
  <c r="T117" i="433" s="1"/>
  <c r="T14" i="429"/>
  <c r="T20" i="433" s="1"/>
  <c r="O14" i="429"/>
  <c r="O20" i="433" s="1"/>
  <c r="O45" i="433" s="1"/>
  <c r="O96" i="429"/>
  <c r="O44" i="433" s="1"/>
  <c r="W16" i="429"/>
  <c r="W40" i="433" s="1"/>
  <c r="B9" i="12"/>
  <c r="F103" i="429"/>
  <c r="P32" i="429"/>
  <c r="P47" i="433" s="1"/>
  <c r="P58" i="433" s="1"/>
  <c r="O5" i="429"/>
  <c r="O60" i="433" s="1"/>
  <c r="O61" i="433" s="1"/>
  <c r="M17" i="97" s="1"/>
  <c r="M22" i="429"/>
  <c r="M66" i="433" s="1"/>
  <c r="M90" i="433" s="1"/>
  <c r="T5" i="429"/>
  <c r="U21" i="429"/>
  <c r="U65" i="433" s="1"/>
  <c r="W43" i="429"/>
  <c r="W43" i="433" s="1"/>
  <c r="T96" i="429"/>
  <c r="T44" i="433" s="1"/>
  <c r="U35" i="429" l="1"/>
  <c r="T73" i="433"/>
  <c r="U84" i="429"/>
  <c r="T29" i="433"/>
  <c r="U93" i="429"/>
  <c r="T31" i="433"/>
  <c r="W20" i="429"/>
  <c r="W64" i="433" s="1"/>
  <c r="U64" i="433"/>
  <c r="U68" i="429"/>
  <c r="T27" i="433"/>
  <c r="U27" i="429"/>
  <c r="T22" i="433"/>
  <c r="W50" i="429"/>
  <c r="W80" i="433" s="1"/>
  <c r="U80" i="433"/>
  <c r="W46" i="429"/>
  <c r="W49" i="433" s="1"/>
  <c r="U49" i="433"/>
  <c r="U15" i="429"/>
  <c r="T39" i="433"/>
  <c r="W92" i="429"/>
  <c r="W123" i="433" s="1"/>
  <c r="U123" i="433"/>
  <c r="U18" i="429"/>
  <c r="T41" i="433"/>
  <c r="U71" i="429"/>
  <c r="T33" i="433"/>
  <c r="W86" i="429"/>
  <c r="W34" i="433" s="1"/>
  <c r="U34" i="433"/>
  <c r="W9" i="429"/>
  <c r="W37" i="433" s="1"/>
  <c r="U37" i="433"/>
  <c r="U98" i="429"/>
  <c r="U124" i="433" s="1"/>
  <c r="T124" i="433"/>
  <c r="U48" i="429"/>
  <c r="T78" i="433"/>
  <c r="W39" i="429"/>
  <c r="W75" i="433" s="1"/>
  <c r="U75" i="433"/>
  <c r="U44" i="429"/>
  <c r="T23" i="433"/>
  <c r="T45" i="433" s="1"/>
  <c r="W7" i="429"/>
  <c r="W112" i="433" s="1"/>
  <c r="W113" i="433" s="1"/>
  <c r="U14" i="97" s="1"/>
  <c r="U112" i="433"/>
  <c r="U113" i="433" s="1"/>
  <c r="W29" i="429"/>
  <c r="W115" i="433" s="1"/>
  <c r="U115" i="433"/>
  <c r="U117" i="433" s="1"/>
  <c r="U49" i="429"/>
  <c r="T79" i="433"/>
  <c r="U28" i="429"/>
  <c r="T70" i="433"/>
  <c r="M125" i="433"/>
  <c r="W82" i="429"/>
  <c r="W28" i="433" s="1"/>
  <c r="U28" i="433"/>
  <c r="W10" i="429"/>
  <c r="W38" i="433" s="1"/>
  <c r="U38" i="433"/>
  <c r="U83" i="429"/>
  <c r="T12" i="433"/>
  <c r="U33" i="429"/>
  <c r="T48" i="433"/>
  <c r="U65" i="429"/>
  <c r="T101" i="433"/>
  <c r="U45" i="429"/>
  <c r="T77" i="433"/>
  <c r="U75" i="429"/>
  <c r="T87" i="433"/>
  <c r="W40" i="429"/>
  <c r="W9" i="433" s="1"/>
  <c r="U9" i="433"/>
  <c r="P102" i="429"/>
  <c r="U72" i="429"/>
  <c r="T52" i="433"/>
  <c r="W31" i="429"/>
  <c r="W99" i="433" s="1"/>
  <c r="U99" i="433"/>
  <c r="T60" i="433"/>
  <c r="T61" i="433" s="1"/>
  <c r="R17" i="97" s="1"/>
  <c r="U78" i="429"/>
  <c r="T89" i="433"/>
  <c r="U76" i="429"/>
  <c r="T122" i="433"/>
  <c r="W23" i="429"/>
  <c r="W67" i="433" s="1"/>
  <c r="U67" i="433"/>
  <c r="U52" i="429"/>
  <c r="T81" i="433"/>
  <c r="W6" i="429"/>
  <c r="W17" i="433" s="1"/>
  <c r="W18" i="433" s="1"/>
  <c r="U7" i="97" s="1"/>
  <c r="U17" i="433"/>
  <c r="U18" i="433" s="1"/>
  <c r="W42" i="429"/>
  <c r="W42" i="433" s="1"/>
  <c r="U42" i="433"/>
  <c r="U55" i="429"/>
  <c r="T83" i="433"/>
  <c r="E15" i="160"/>
  <c r="U40" i="433"/>
  <c r="U62" i="429"/>
  <c r="T26" i="433"/>
  <c r="U24" i="429"/>
  <c r="T32" i="433"/>
  <c r="U56" i="429"/>
  <c r="T24" i="433"/>
  <c r="U58" i="429"/>
  <c r="T25" i="433"/>
  <c r="U77" i="429"/>
  <c r="T88" i="433"/>
  <c r="U73" i="429"/>
  <c r="T102" i="433"/>
  <c r="W38" i="429"/>
  <c r="W120" i="433" s="1"/>
  <c r="U120" i="433"/>
  <c r="U60" i="429"/>
  <c r="T84" i="433"/>
  <c r="U88" i="429"/>
  <c r="T55" i="433"/>
  <c r="U13" i="433"/>
  <c r="W94" i="429"/>
  <c r="W13" i="433" s="1"/>
  <c r="W47" i="429"/>
  <c r="W121" i="433" s="1"/>
  <c r="U121" i="433"/>
  <c r="W53" i="429"/>
  <c r="W82" i="433" s="1"/>
  <c r="U82" i="433"/>
  <c r="U30" i="429"/>
  <c r="T71" i="433"/>
  <c r="U61" i="429"/>
  <c r="T11" i="433"/>
  <c r="T15" i="433" s="1"/>
  <c r="W80" i="429"/>
  <c r="W116" i="433" s="1"/>
  <c r="U116" i="433"/>
  <c r="W59" i="429"/>
  <c r="W10" i="433" s="1"/>
  <c r="E17" i="160"/>
  <c r="U10" i="433"/>
  <c r="U17" i="429"/>
  <c r="T14" i="433"/>
  <c r="U66" i="429"/>
  <c r="T98" i="433"/>
  <c r="T105" i="433" s="1"/>
  <c r="U81" i="429"/>
  <c r="T103" i="433"/>
  <c r="W13" i="429"/>
  <c r="W63" i="433" s="1"/>
  <c r="U63" i="433"/>
  <c r="W51" i="429"/>
  <c r="W50" i="433" s="1"/>
  <c r="U50" i="433"/>
  <c r="W70" i="429"/>
  <c r="W92" i="433" s="1"/>
  <c r="U92" i="433"/>
  <c r="U11" i="429"/>
  <c r="T119" i="433"/>
  <c r="T125" i="433" s="1"/>
  <c r="U63" i="429"/>
  <c r="T107" i="433"/>
  <c r="T110" i="433" s="1"/>
  <c r="P126" i="433"/>
  <c r="W8" i="429"/>
  <c r="W36" i="433" s="1"/>
  <c r="E16" i="160"/>
  <c r="U36" i="433"/>
  <c r="U90" i="429"/>
  <c r="T35" i="433"/>
  <c r="W79" i="429"/>
  <c r="W108" i="433" s="1"/>
  <c r="U108" i="433"/>
  <c r="W37" i="429"/>
  <c r="W6" i="433" s="1"/>
  <c r="W7" i="433" s="1"/>
  <c r="U6" i="97" s="1"/>
  <c r="U6" i="433"/>
  <c r="U7" i="433" s="1"/>
  <c r="S6" i="97" s="1"/>
  <c r="W85" i="429"/>
  <c r="W30" i="433" s="1"/>
  <c r="U30" i="433"/>
  <c r="U41" i="429"/>
  <c r="T76" i="433"/>
  <c r="W57" i="429"/>
  <c r="W51" i="433" s="1"/>
  <c r="U51" i="433"/>
  <c r="U64" i="429"/>
  <c r="T85" i="433"/>
  <c r="W19" i="429"/>
  <c r="W21" i="433" s="1"/>
  <c r="U21" i="433"/>
  <c r="U54" i="429"/>
  <c r="T100" i="433"/>
  <c r="U87" i="429"/>
  <c r="T54" i="433"/>
  <c r="W12" i="429"/>
  <c r="W109" i="433" s="1"/>
  <c r="U109" i="433"/>
  <c r="U34" i="429"/>
  <c r="T72" i="433"/>
  <c r="W25" i="429"/>
  <c r="W68" i="433" s="1"/>
  <c r="U68" i="433"/>
  <c r="U36" i="429"/>
  <c r="T74" i="433"/>
  <c r="U74" i="429"/>
  <c r="T53" i="433"/>
  <c r="W67" i="429"/>
  <c r="W95" i="433" s="1"/>
  <c r="U95" i="433"/>
  <c r="U26" i="429"/>
  <c r="T69" i="433"/>
  <c r="M105" i="433"/>
  <c r="W69" i="429"/>
  <c r="W86" i="433" s="1"/>
  <c r="U86" i="433"/>
  <c r="W91" i="429"/>
  <c r="W96" i="433" s="1"/>
  <c r="U96" i="433"/>
  <c r="U14" i="429"/>
  <c r="U20" i="433" s="1"/>
  <c r="T22" i="429"/>
  <c r="T66" i="433" s="1"/>
  <c r="T90" i="433" s="1"/>
  <c r="I9" i="12"/>
  <c r="L103" i="429"/>
  <c r="P103" i="429" s="1"/>
  <c r="J9" i="12"/>
  <c r="M32" i="429"/>
  <c r="M47" i="433" s="1"/>
  <c r="M58" i="433" s="1"/>
  <c r="W21" i="429"/>
  <c r="W65" i="433" s="1"/>
  <c r="O22" i="429"/>
  <c r="O66" i="433" s="1"/>
  <c r="O90" i="433" s="1"/>
  <c r="U96" i="429"/>
  <c r="U44" i="433" s="1"/>
  <c r="U5" i="429"/>
  <c r="U60" i="433" s="1"/>
  <c r="U61" i="433" s="1"/>
  <c r="S17" i="97" s="1"/>
  <c r="W30" i="429" l="1"/>
  <c r="W71" i="433" s="1"/>
  <c r="U71" i="433"/>
  <c r="W88" i="429"/>
  <c r="W55" i="433" s="1"/>
  <c r="U55" i="433"/>
  <c r="W24" i="429"/>
  <c r="W32" i="433" s="1"/>
  <c r="U32" i="433"/>
  <c r="W45" i="429"/>
  <c r="W77" i="433" s="1"/>
  <c r="U77" i="433"/>
  <c r="W87" i="429"/>
  <c r="W54" i="433" s="1"/>
  <c r="U54" i="433"/>
  <c r="W64" i="429"/>
  <c r="W85" i="433" s="1"/>
  <c r="E8" i="160"/>
  <c r="U85" i="433"/>
  <c r="W81" i="429"/>
  <c r="W103" i="433" s="1"/>
  <c r="U103" i="433"/>
  <c r="W60" i="429"/>
  <c r="W84" i="433" s="1"/>
  <c r="U84" i="433"/>
  <c r="W58" i="429"/>
  <c r="W25" i="433" s="1"/>
  <c r="U25" i="433"/>
  <c r="W62" i="429"/>
  <c r="W26" i="433" s="1"/>
  <c r="U26" i="433"/>
  <c r="W65" i="429"/>
  <c r="W101" i="433" s="1"/>
  <c r="U101" i="433"/>
  <c r="W48" i="429"/>
  <c r="W78" i="433" s="1"/>
  <c r="U78" i="433"/>
  <c r="W27" i="429"/>
  <c r="W22" i="433" s="1"/>
  <c r="U22" i="433"/>
  <c r="W93" i="429"/>
  <c r="W31" i="433" s="1"/>
  <c r="E11" i="160"/>
  <c r="U31" i="433"/>
  <c r="W26" i="429"/>
  <c r="W69" i="433" s="1"/>
  <c r="U69" i="433"/>
  <c r="W78" i="429"/>
  <c r="W89" i="433" s="1"/>
  <c r="U89" i="433"/>
  <c r="M126" i="433"/>
  <c r="W15" i="429"/>
  <c r="W39" i="433" s="1"/>
  <c r="U39" i="433"/>
  <c r="W52" i="429"/>
  <c r="W81" i="433" s="1"/>
  <c r="U81" i="433"/>
  <c r="W28" i="429"/>
  <c r="W70" i="433" s="1"/>
  <c r="E10" i="160"/>
  <c r="U70" i="433"/>
  <c r="U90" i="433" s="1"/>
  <c r="W68" i="429"/>
  <c r="W27" i="433" s="1"/>
  <c r="U27" i="433"/>
  <c r="M102" i="429"/>
  <c r="W34" i="429"/>
  <c r="W72" i="433" s="1"/>
  <c r="U72" i="433"/>
  <c r="W41" i="429"/>
  <c r="W76" i="433" s="1"/>
  <c r="U76" i="433"/>
  <c r="W63" i="429"/>
  <c r="W107" i="433" s="1"/>
  <c r="W110" i="433" s="1"/>
  <c r="U16" i="97" s="1"/>
  <c r="U107" i="433"/>
  <c r="U110" i="433" s="1"/>
  <c r="W17" i="429"/>
  <c r="W14" i="433" s="1"/>
  <c r="E18" i="160"/>
  <c r="U14" i="433"/>
  <c r="W61" i="429"/>
  <c r="W11" i="433" s="1"/>
  <c r="W15" i="433" s="1"/>
  <c r="U10" i="97" s="1"/>
  <c r="U11" i="433"/>
  <c r="U15" i="433" s="1"/>
  <c r="W73" i="429"/>
  <c r="W102" i="433" s="1"/>
  <c r="U102" i="433"/>
  <c r="W75" i="429"/>
  <c r="W87" i="433" s="1"/>
  <c r="U87" i="433"/>
  <c r="W83" i="429"/>
  <c r="W12" i="433" s="1"/>
  <c r="U12" i="433"/>
  <c r="W44" i="429"/>
  <c r="W23" i="433" s="1"/>
  <c r="U23" i="433"/>
  <c r="U45" i="433" s="1"/>
  <c r="W18" i="429"/>
  <c r="W41" i="433" s="1"/>
  <c r="U41" i="433"/>
  <c r="W35" i="429"/>
  <c r="W73" i="433" s="1"/>
  <c r="U73" i="433"/>
  <c r="W33" i="429"/>
  <c r="W48" i="433" s="1"/>
  <c r="U48" i="433"/>
  <c r="W71" i="429"/>
  <c r="W33" i="433" s="1"/>
  <c r="U33" i="433"/>
  <c r="W84" i="429"/>
  <c r="W29" i="433" s="1"/>
  <c r="E9" i="160"/>
  <c r="U29" i="433"/>
  <c r="W54" i="429"/>
  <c r="W100" i="433" s="1"/>
  <c r="U100" i="433"/>
  <c r="W74" i="429"/>
  <c r="W53" i="433" s="1"/>
  <c r="U53" i="433"/>
  <c r="W90" i="429"/>
  <c r="W35" i="433" s="1"/>
  <c r="U35" i="433"/>
  <c r="W55" i="429"/>
  <c r="W83" i="433" s="1"/>
  <c r="U83" i="433"/>
  <c r="W49" i="429"/>
  <c r="W79" i="433" s="1"/>
  <c r="U79" i="433"/>
  <c r="W66" i="429"/>
  <c r="W98" i="433" s="1"/>
  <c r="E13" i="160"/>
  <c r="U98" i="433"/>
  <c r="U105" i="433" s="1"/>
  <c r="W56" i="429"/>
  <c r="W24" i="433" s="1"/>
  <c r="U24" i="433"/>
  <c r="W77" i="429"/>
  <c r="W88" i="433" s="1"/>
  <c r="U88" i="433"/>
  <c r="W36" i="429"/>
  <c r="W74" i="433" s="1"/>
  <c r="U74" i="433"/>
  <c r="W11" i="429"/>
  <c r="W119" i="433" s="1"/>
  <c r="U119" i="433"/>
  <c r="W76" i="429"/>
  <c r="W122" i="433" s="1"/>
  <c r="E14" i="160"/>
  <c r="U122" i="433"/>
  <c r="W72" i="429"/>
  <c r="W52" i="433" s="1"/>
  <c r="U52" i="433"/>
  <c r="W117" i="433"/>
  <c r="U15" i="97" s="1"/>
  <c r="W14" i="429"/>
  <c r="W20" i="433" s="1"/>
  <c r="U22" i="429"/>
  <c r="U66" i="433" s="1"/>
  <c r="T32" i="429"/>
  <c r="N9" i="12"/>
  <c r="O32" i="429"/>
  <c r="AA5" i="429"/>
  <c r="O102" i="429" l="1"/>
  <c r="M9" i="12" s="1"/>
  <c r="O47" i="433"/>
  <c r="O58" i="433" s="1"/>
  <c r="AA60" i="433"/>
  <c r="AA61" i="433" s="1"/>
  <c r="AA102" i="429"/>
  <c r="N6" i="44"/>
  <c r="T127" i="433"/>
  <c r="U127" i="433" s="1"/>
  <c r="T47" i="433"/>
  <c r="T58" i="433" s="1"/>
  <c r="T102" i="429"/>
  <c r="R9" i="12" s="1"/>
  <c r="U125" i="433"/>
  <c r="U32" i="429"/>
  <c r="W22" i="429"/>
  <c r="W66" i="433" s="1"/>
  <c r="W90" i="433" s="1"/>
  <c r="U11" i="97" s="1"/>
  <c r="U102" i="429" l="1"/>
  <c r="E12" i="160"/>
  <c r="U47" i="433"/>
  <c r="U58" i="433" s="1"/>
  <c r="Y17" i="97"/>
  <c r="AA126" i="433"/>
  <c r="U126" i="433"/>
  <c r="O126" i="433"/>
  <c r="D127" i="433" s="1"/>
  <c r="T126" i="433"/>
  <c r="W32" i="429"/>
  <c r="W47" i="433" s="1"/>
  <c r="K9" i="12"/>
  <c r="D103" i="429"/>
  <c r="T103" i="429"/>
  <c r="U103" i="429" s="1"/>
  <c r="Y9" i="12"/>
  <c r="E15" i="69"/>
  <c r="N7" i="403"/>
  <c r="Q37" i="411"/>
  <c r="BD132" i="416"/>
  <c r="BL132" i="416"/>
  <c r="AW132" i="416"/>
  <c r="BL127" i="416"/>
  <c r="BD127" i="416"/>
  <c r="AW93" i="416"/>
  <c r="AE73" i="427"/>
  <c r="AE62" i="427"/>
  <c r="Q37" i="443" l="1"/>
  <c r="Q83" i="432"/>
  <c r="S9" i="12"/>
  <c r="F5" i="69"/>
  <c r="D108" i="411"/>
  <c r="Y98" i="411"/>
  <c r="N98" i="411"/>
  <c r="Y98" i="443" l="1"/>
  <c r="Y124" i="443" s="1"/>
  <c r="Y53" i="432"/>
  <c r="Y68" i="432" s="1"/>
  <c r="Y124" i="411"/>
  <c r="D108" i="443"/>
  <c r="D102" i="432"/>
  <c r="N98" i="443"/>
  <c r="N53" i="432"/>
  <c r="Q30" i="411"/>
  <c r="Y146" i="432" l="1"/>
  <c r="W8" i="97"/>
  <c r="Q30" i="443"/>
  <c r="Q79" i="432"/>
  <c r="F24" i="100"/>
  <c r="S112" i="411"/>
  <c r="K112" i="411"/>
  <c r="F112" i="411"/>
  <c r="L112" i="411" l="1"/>
  <c r="P112" i="411" s="1"/>
  <c r="K112" i="443"/>
  <c r="K58" i="432"/>
  <c r="S112" i="443"/>
  <c r="S58" i="432"/>
  <c r="F112" i="443"/>
  <c r="F58" i="432"/>
  <c r="D91" i="411"/>
  <c r="R62" i="411"/>
  <c r="N50" i="411"/>
  <c r="Q50" i="411"/>
  <c r="Q68" i="411"/>
  <c r="P112" i="443" l="1"/>
  <c r="P58" i="432"/>
  <c r="Q68" i="443"/>
  <c r="Q92" i="432"/>
  <c r="Q50" i="443"/>
  <c r="Q87" i="432"/>
  <c r="N50" i="443"/>
  <c r="N87" i="432"/>
  <c r="R62" i="443"/>
  <c r="R44" i="432"/>
  <c r="R68" i="432" s="1"/>
  <c r="P8" i="97" s="1"/>
  <c r="D91" i="443"/>
  <c r="D112" i="432"/>
  <c r="L112" i="443"/>
  <c r="L58" i="432"/>
  <c r="M112" i="411"/>
  <c r="O112" i="411" l="1"/>
  <c r="M112" i="443"/>
  <c r="M58" i="432"/>
  <c r="T112" i="411"/>
  <c r="U112" i="411" l="1"/>
  <c r="T112" i="443"/>
  <c r="T58" i="432"/>
  <c r="O112" i="443"/>
  <c r="O58" i="432"/>
  <c r="D88" i="411"/>
  <c r="D10" i="411"/>
  <c r="N10" i="411"/>
  <c r="AA84" i="411"/>
  <c r="Q84" i="411"/>
  <c r="Q40" i="411"/>
  <c r="Q76" i="411"/>
  <c r="Q67" i="411"/>
  <c r="Q92" i="411"/>
  <c r="Q99" i="411"/>
  <c r="R52" i="411"/>
  <c r="D10" i="443" l="1"/>
  <c r="D23" i="432"/>
  <c r="D88" i="443"/>
  <c r="D119" i="432"/>
  <c r="N10" i="443"/>
  <c r="N23" i="432"/>
  <c r="Q84" i="443"/>
  <c r="Q51" i="432"/>
  <c r="R52" i="443"/>
  <c r="R126" i="432"/>
  <c r="R129" i="432" s="1"/>
  <c r="Q99" i="443"/>
  <c r="Q121" i="432"/>
  <c r="Q92" i="443"/>
  <c r="Q136" i="432"/>
  <c r="Q137" i="432" s="1"/>
  <c r="Q67" i="443"/>
  <c r="Q91" i="432"/>
  <c r="Q76" i="443"/>
  <c r="Q118" i="432"/>
  <c r="Q40" i="443"/>
  <c r="Q35" i="432"/>
  <c r="K5" i="44"/>
  <c r="AA84" i="443"/>
  <c r="AA51" i="432"/>
  <c r="AA68" i="432" s="1"/>
  <c r="Y8" i="97" s="1"/>
  <c r="V112" i="411"/>
  <c r="U112" i="443"/>
  <c r="U58" i="432"/>
  <c r="D58" i="411"/>
  <c r="D81" i="411"/>
  <c r="N39" i="411"/>
  <c r="V112" i="443" l="1"/>
  <c r="V58" i="432"/>
  <c r="N39" i="443"/>
  <c r="N34" i="432"/>
  <c r="O14" i="97"/>
  <c r="D58" i="443"/>
  <c r="D43" i="432"/>
  <c r="P13" i="97"/>
  <c r="D81" i="443"/>
  <c r="D66" i="432"/>
  <c r="Q124" i="432"/>
  <c r="O12" i="97" s="1"/>
  <c r="S14" i="414"/>
  <c r="K14" i="414"/>
  <c r="L14" i="414" s="1"/>
  <c r="F14" i="414"/>
  <c r="P14" i="414" l="1"/>
  <c r="M14" i="414" l="1"/>
  <c r="O14" i="414" s="1"/>
  <c r="T14" i="414" l="1"/>
  <c r="U14" i="414" s="1"/>
  <c r="V14" i="414" s="1"/>
  <c r="AW153" i="427" l="1"/>
  <c r="AV153" i="427"/>
  <c r="AQ153" i="427"/>
  <c r="AP153" i="427"/>
  <c r="AO153" i="427"/>
  <c r="AN153" i="427"/>
  <c r="AM153" i="427"/>
  <c r="AL153" i="427"/>
  <c r="AK153" i="427"/>
  <c r="AJ153" i="427"/>
  <c r="AI153" i="427"/>
  <c r="AE153" i="427"/>
  <c r="AD153" i="427"/>
  <c r="AC153" i="427"/>
  <c r="AB153" i="427"/>
  <c r="AA153" i="427"/>
  <c r="Y153" i="427"/>
  <c r="X153" i="427"/>
  <c r="W153" i="427"/>
  <c r="V153" i="427"/>
  <c r="S153" i="427"/>
  <c r="O153" i="427"/>
  <c r="L153" i="427"/>
  <c r="K153" i="427"/>
  <c r="J153" i="427"/>
  <c r="I153" i="427"/>
  <c r="G153" i="427"/>
  <c r="F153" i="427"/>
  <c r="AF152" i="427"/>
  <c r="AH152" i="427" s="1"/>
  <c r="M152" i="427"/>
  <c r="N152" i="427" s="1"/>
  <c r="Q152" i="427" s="1"/>
  <c r="R152" i="427" s="1"/>
  <c r="T152" i="427" s="1"/>
  <c r="H152" i="427"/>
  <c r="AF151" i="427"/>
  <c r="AH151" i="427" s="1"/>
  <c r="O151" i="427"/>
  <c r="M151" i="427"/>
  <c r="N151" i="427" s="1"/>
  <c r="Q151" i="427" s="1"/>
  <c r="H151" i="427"/>
  <c r="AL148" i="427"/>
  <c r="AK148" i="427"/>
  <c r="AJ148" i="427"/>
  <c r="AI148" i="427"/>
  <c r="AH148" i="427"/>
  <c r="AG148" i="427"/>
  <c r="AF148" i="427"/>
  <c r="AE148" i="427"/>
  <c r="AD148" i="427"/>
  <c r="AC148" i="427"/>
  <c r="AB148" i="427"/>
  <c r="AA148" i="427"/>
  <c r="Y148" i="427"/>
  <c r="X148" i="427"/>
  <c r="W148" i="427"/>
  <c r="V148" i="427"/>
  <c r="U148" i="427"/>
  <c r="T148" i="427"/>
  <c r="S148" i="427"/>
  <c r="R148" i="427"/>
  <c r="Q148" i="427"/>
  <c r="P148" i="427"/>
  <c r="O148" i="427"/>
  <c r="N148" i="427"/>
  <c r="M148" i="427"/>
  <c r="L148" i="427"/>
  <c r="K148" i="427"/>
  <c r="J148" i="427"/>
  <c r="I148" i="427"/>
  <c r="H148" i="427"/>
  <c r="G148" i="427"/>
  <c r="F148" i="427"/>
  <c r="C148" i="427"/>
  <c r="AL143" i="427"/>
  <c r="AK143" i="427"/>
  <c r="AJ143" i="427"/>
  <c r="AI143" i="427"/>
  <c r="AH143" i="427"/>
  <c r="AG143" i="427"/>
  <c r="AF143" i="427"/>
  <c r="AE143" i="427"/>
  <c r="AD143" i="427"/>
  <c r="AC143" i="427"/>
  <c r="AB143" i="427"/>
  <c r="AA143" i="427"/>
  <c r="Y143" i="427"/>
  <c r="X143" i="427"/>
  <c r="W143" i="427"/>
  <c r="V143" i="427"/>
  <c r="U143" i="427"/>
  <c r="T143" i="427"/>
  <c r="S143" i="427"/>
  <c r="R143" i="427"/>
  <c r="Q143" i="427"/>
  <c r="P143" i="427"/>
  <c r="O143" i="427"/>
  <c r="N143" i="427"/>
  <c r="M143" i="427"/>
  <c r="L143" i="427"/>
  <c r="K143" i="427"/>
  <c r="J143" i="427"/>
  <c r="I143" i="427"/>
  <c r="H143" i="427"/>
  <c r="G143" i="427"/>
  <c r="F143" i="427"/>
  <c r="C143" i="427"/>
  <c r="AW138" i="427"/>
  <c r="AV138" i="427"/>
  <c r="AU138" i="427"/>
  <c r="AT138" i="427"/>
  <c r="AS138" i="427"/>
  <c r="AQ138" i="427"/>
  <c r="AP138" i="427"/>
  <c r="AO138" i="427"/>
  <c r="AN138" i="427"/>
  <c r="AM138" i="427"/>
  <c r="AL138" i="427"/>
  <c r="AK138" i="427"/>
  <c r="AJ138" i="427"/>
  <c r="AI138" i="427"/>
  <c r="AC138" i="427"/>
  <c r="AB138" i="427"/>
  <c r="AA138" i="427"/>
  <c r="Y138" i="427"/>
  <c r="X138" i="427"/>
  <c r="W138" i="427"/>
  <c r="V138" i="427"/>
  <c r="S138" i="427"/>
  <c r="L138" i="427"/>
  <c r="K138" i="427"/>
  <c r="I138" i="427"/>
  <c r="G138" i="427"/>
  <c r="AD137" i="427"/>
  <c r="AF137" i="427" s="1"/>
  <c r="AH137" i="427" s="1"/>
  <c r="O137" i="427"/>
  <c r="M137" i="427"/>
  <c r="N137" i="427" s="1"/>
  <c r="Q137" i="427" s="1"/>
  <c r="F137" i="427"/>
  <c r="F138" i="427" s="1"/>
  <c r="AE136" i="427"/>
  <c r="AE138" i="427" s="1"/>
  <c r="O136" i="427"/>
  <c r="M136" i="427"/>
  <c r="J136" i="427"/>
  <c r="J138" i="427" s="1"/>
  <c r="H136" i="427"/>
  <c r="AF135" i="427"/>
  <c r="AH135" i="427" s="1"/>
  <c r="M135" i="427"/>
  <c r="N135" i="427" s="1"/>
  <c r="H135" i="427"/>
  <c r="AF134" i="427"/>
  <c r="AH134" i="427" s="1"/>
  <c r="O134" i="427"/>
  <c r="M134" i="427"/>
  <c r="N134" i="427" s="1"/>
  <c r="H134" i="427"/>
  <c r="AL131" i="427"/>
  <c r="AK131" i="427"/>
  <c r="AJ131" i="427"/>
  <c r="AI131" i="427"/>
  <c r="AE131" i="427"/>
  <c r="AD131" i="427"/>
  <c r="AC131" i="427"/>
  <c r="AB131" i="427"/>
  <c r="AA131" i="427"/>
  <c r="Y131" i="427"/>
  <c r="X131" i="427"/>
  <c r="W131" i="427"/>
  <c r="V131" i="427"/>
  <c r="S131" i="427"/>
  <c r="O131" i="427"/>
  <c r="L131" i="427"/>
  <c r="K131" i="427"/>
  <c r="J131" i="427"/>
  <c r="I131" i="427"/>
  <c r="G131" i="427"/>
  <c r="F131" i="427"/>
  <c r="C131" i="427"/>
  <c r="AH130" i="427"/>
  <c r="AF130" i="427"/>
  <c r="M130" i="427"/>
  <c r="H130" i="427"/>
  <c r="AH129" i="427"/>
  <c r="AF129" i="427"/>
  <c r="M129" i="427"/>
  <c r="N129" i="427" s="1"/>
  <c r="H129" i="427"/>
  <c r="H131" i="427" s="1"/>
  <c r="AW126" i="427"/>
  <c r="AV126" i="427"/>
  <c r="AU126" i="427"/>
  <c r="AT126" i="427"/>
  <c r="AS126" i="427"/>
  <c r="AQ126" i="427"/>
  <c r="AP126" i="427"/>
  <c r="AO126" i="427"/>
  <c r="AN126" i="427"/>
  <c r="AM126" i="427"/>
  <c r="AL126" i="427"/>
  <c r="AK126" i="427"/>
  <c r="AJ126" i="427"/>
  <c r="AI126" i="427"/>
  <c r="AE126" i="427"/>
  <c r="AC126" i="427"/>
  <c r="AB126" i="427"/>
  <c r="AA126" i="427"/>
  <c r="Y126" i="427"/>
  <c r="X126" i="427"/>
  <c r="W126" i="427"/>
  <c r="V126" i="427"/>
  <c r="S126" i="427"/>
  <c r="O126" i="427"/>
  <c r="L126" i="427"/>
  <c r="K126" i="427"/>
  <c r="J126" i="427"/>
  <c r="I126" i="427"/>
  <c r="G126" i="427"/>
  <c r="F126" i="427"/>
  <c r="AH125" i="427"/>
  <c r="AF125" i="427"/>
  <c r="M125" i="427"/>
  <c r="N125" i="427" s="1"/>
  <c r="H125" i="427"/>
  <c r="AE124" i="427"/>
  <c r="AD124" i="427"/>
  <c r="M124" i="427"/>
  <c r="N124" i="427" s="1"/>
  <c r="H124" i="427"/>
  <c r="AH123" i="427"/>
  <c r="AF123" i="427"/>
  <c r="M123" i="427"/>
  <c r="H123" i="427"/>
  <c r="AX120" i="427"/>
  <c r="AW120" i="427"/>
  <c r="AV120" i="427"/>
  <c r="AU120" i="427"/>
  <c r="AT120" i="427"/>
  <c r="AS120" i="427"/>
  <c r="AR120" i="427"/>
  <c r="AQ120" i="427"/>
  <c r="AP120" i="427"/>
  <c r="AO120" i="427"/>
  <c r="AN120" i="427"/>
  <c r="AM120" i="427"/>
  <c r="AL120" i="427"/>
  <c r="AK120" i="427"/>
  <c r="AJ120" i="427"/>
  <c r="AI120" i="427"/>
  <c r="AE120" i="427"/>
  <c r="AD120" i="427"/>
  <c r="AC120" i="427"/>
  <c r="AB120" i="427"/>
  <c r="AA120" i="427"/>
  <c r="Y120" i="427"/>
  <c r="X120" i="427"/>
  <c r="W120" i="427"/>
  <c r="V120" i="427"/>
  <c r="S120" i="427"/>
  <c r="L120" i="427"/>
  <c r="K120" i="427"/>
  <c r="J120" i="427"/>
  <c r="I120" i="427"/>
  <c r="G120" i="427"/>
  <c r="F120" i="427"/>
  <c r="AF119" i="427"/>
  <c r="AF120" i="427" s="1"/>
  <c r="O119" i="427"/>
  <c r="M119" i="427"/>
  <c r="N119" i="427" s="1"/>
  <c r="H119" i="427"/>
  <c r="H120" i="427" s="1"/>
  <c r="AX115" i="427"/>
  <c r="AW115" i="427"/>
  <c r="AV115" i="427"/>
  <c r="AS115" i="427"/>
  <c r="AR115" i="427"/>
  <c r="AQ115" i="427"/>
  <c r="AP115" i="427"/>
  <c r="AN115" i="427"/>
  <c r="AM115" i="427"/>
  <c r="AL115" i="427"/>
  <c r="AK115" i="427"/>
  <c r="AJ115" i="427"/>
  <c r="X115" i="427"/>
  <c r="W115" i="427"/>
  <c r="V115" i="427"/>
  <c r="L115" i="427"/>
  <c r="K115" i="427"/>
  <c r="G115" i="427"/>
  <c r="AT114" i="427"/>
  <c r="AD114" i="427"/>
  <c r="M114" i="427"/>
  <c r="N114" i="427" s="1"/>
  <c r="H114" i="427"/>
  <c r="AT113" i="427"/>
  <c r="AD113" i="427"/>
  <c r="M113" i="427"/>
  <c r="N113" i="427" s="1"/>
  <c r="Q113" i="427" s="1"/>
  <c r="R113" i="427" s="1"/>
  <c r="T113" i="427" s="1"/>
  <c r="H113" i="427"/>
  <c r="AT112" i="427"/>
  <c r="AD112" i="427"/>
  <c r="M112" i="427"/>
  <c r="N112" i="427" s="1"/>
  <c r="H112" i="427"/>
  <c r="AT111" i="427"/>
  <c r="AD111" i="427"/>
  <c r="M111" i="427"/>
  <c r="N111" i="427" s="1"/>
  <c r="H111" i="427"/>
  <c r="AT110" i="427"/>
  <c r="AD110" i="427"/>
  <c r="AF110" i="427" s="1"/>
  <c r="AH110" i="427" s="1"/>
  <c r="O110" i="427"/>
  <c r="M110" i="427"/>
  <c r="N110" i="427" s="1"/>
  <c r="P110" i="427" s="1"/>
  <c r="J110" i="427"/>
  <c r="H110" i="427"/>
  <c r="AT109" i="427"/>
  <c r="AD109" i="427"/>
  <c r="AF109" i="427" s="1"/>
  <c r="AH109" i="427" s="1"/>
  <c r="M109" i="427"/>
  <c r="N109" i="427" s="1"/>
  <c r="H109" i="427"/>
  <c r="AT108" i="427"/>
  <c r="AD108" i="427"/>
  <c r="AF108" i="427" s="1"/>
  <c r="AH108" i="427" s="1"/>
  <c r="M108" i="427"/>
  <c r="N108" i="427" s="1"/>
  <c r="H108" i="427"/>
  <c r="AT107" i="427"/>
  <c r="AD107" i="427"/>
  <c r="AF107" i="427" s="1"/>
  <c r="AH107" i="427" s="1"/>
  <c r="M107" i="427"/>
  <c r="N107" i="427" s="1"/>
  <c r="Q107" i="427" s="1"/>
  <c r="R107" i="427" s="1"/>
  <c r="T107" i="427" s="1"/>
  <c r="H107" i="427"/>
  <c r="AT106" i="427"/>
  <c r="AD106" i="427"/>
  <c r="AF106" i="427" s="1"/>
  <c r="AH106" i="427" s="1"/>
  <c r="O106" i="427"/>
  <c r="M106" i="427"/>
  <c r="J106" i="427"/>
  <c r="H106" i="427"/>
  <c r="AT105" i="427"/>
  <c r="AD105" i="427"/>
  <c r="M105" i="427"/>
  <c r="N105" i="427" s="1"/>
  <c r="H105" i="427"/>
  <c r="AT104" i="427"/>
  <c r="AD104" i="427"/>
  <c r="N104" i="427"/>
  <c r="P104" i="427" s="1"/>
  <c r="M104" i="427"/>
  <c r="H104" i="427"/>
  <c r="AT103" i="427"/>
  <c r="AD103" i="427"/>
  <c r="O103" i="427"/>
  <c r="M103" i="427"/>
  <c r="J103" i="427"/>
  <c r="F103" i="427"/>
  <c r="AT102" i="427"/>
  <c r="AD102" i="427"/>
  <c r="AF102" i="427" s="1"/>
  <c r="AH102" i="427" s="1"/>
  <c r="O102" i="427"/>
  <c r="M102" i="427"/>
  <c r="N102" i="427" s="1"/>
  <c r="H102" i="427"/>
  <c r="AT101" i="427"/>
  <c r="AF101" i="427"/>
  <c r="AH101" i="427" s="1"/>
  <c r="O101" i="427"/>
  <c r="M101" i="427"/>
  <c r="J101" i="427"/>
  <c r="I101" i="427"/>
  <c r="H101" i="427"/>
  <c r="AT100" i="427"/>
  <c r="AF100" i="427"/>
  <c r="AH100" i="427" s="1"/>
  <c r="O100" i="427"/>
  <c r="M100" i="427"/>
  <c r="J100" i="427"/>
  <c r="H100" i="427"/>
  <c r="AT99" i="427"/>
  <c r="AF99" i="427"/>
  <c r="AH99" i="427" s="1"/>
  <c r="S99" i="427"/>
  <c r="O99" i="427"/>
  <c r="M99" i="427"/>
  <c r="N99" i="427" s="1"/>
  <c r="Q99" i="427" s="1"/>
  <c r="F99" i="427"/>
  <c r="AT98" i="427"/>
  <c r="AF98" i="427"/>
  <c r="AH98" i="427" s="1"/>
  <c r="S98" i="427"/>
  <c r="S115" i="427" s="1"/>
  <c r="O98" i="427"/>
  <c r="M98" i="427"/>
  <c r="N98" i="427" s="1"/>
  <c r="Q98" i="427" s="1"/>
  <c r="F98" i="427"/>
  <c r="AT97" i="427"/>
  <c r="AF97" i="427"/>
  <c r="AH97" i="427" s="1"/>
  <c r="M97" i="427"/>
  <c r="N97" i="427" s="1"/>
  <c r="Q97" i="427" s="1"/>
  <c r="R97" i="427" s="1"/>
  <c r="T97" i="427" s="1"/>
  <c r="U97" i="427" s="1"/>
  <c r="H97" i="427"/>
  <c r="AT96" i="427"/>
  <c r="AF96" i="427"/>
  <c r="AH96" i="427" s="1"/>
  <c r="O96" i="427"/>
  <c r="M96" i="427"/>
  <c r="N96" i="427" s="1"/>
  <c r="H96" i="427"/>
  <c r="AT95" i="427"/>
  <c r="AF95" i="427"/>
  <c r="AH95" i="427" s="1"/>
  <c r="N95" i="427"/>
  <c r="P95" i="427" s="1"/>
  <c r="M95" i="427"/>
  <c r="H95" i="427"/>
  <c r="AT94" i="427"/>
  <c r="AF94" i="427"/>
  <c r="AH94" i="427" s="1"/>
  <c r="O94" i="427"/>
  <c r="N94" i="427"/>
  <c r="Q94" i="427" s="1"/>
  <c r="R94" i="427" s="1"/>
  <c r="T94" i="427" s="1"/>
  <c r="U94" i="427" s="1"/>
  <c r="M94" i="427"/>
  <c r="H94" i="427"/>
  <c r="AT93" i="427"/>
  <c r="AF93" i="427"/>
  <c r="AH93" i="427" s="1"/>
  <c r="O93" i="427"/>
  <c r="M93" i="427"/>
  <c r="N93" i="427" s="1"/>
  <c r="Q93" i="427" s="1"/>
  <c r="R93" i="427" s="1"/>
  <c r="T93" i="427" s="1"/>
  <c r="AG93" i="427" s="1"/>
  <c r="H93" i="427"/>
  <c r="AT92" i="427"/>
  <c r="AF92" i="427"/>
  <c r="AH92" i="427" s="1"/>
  <c r="O92" i="427"/>
  <c r="M92" i="427"/>
  <c r="N92" i="427" s="1"/>
  <c r="H92" i="427"/>
  <c r="AT91" i="427"/>
  <c r="AC91" i="427"/>
  <c r="O91" i="427"/>
  <c r="M91" i="427"/>
  <c r="N91" i="427" s="1"/>
  <c r="H91" i="427"/>
  <c r="AT90" i="427"/>
  <c r="AF90" i="427"/>
  <c r="AH90" i="427" s="1"/>
  <c r="Y90" i="427"/>
  <c r="O90" i="427"/>
  <c r="M90" i="427"/>
  <c r="J90" i="427"/>
  <c r="I90" i="427"/>
  <c r="H90" i="427"/>
  <c r="AT89" i="427"/>
  <c r="AF89" i="427"/>
  <c r="AH89" i="427" s="1"/>
  <c r="M89" i="427"/>
  <c r="N89" i="427" s="1"/>
  <c r="H89" i="427"/>
  <c r="AU88" i="427"/>
  <c r="AU115" i="427" s="1"/>
  <c r="AO88" i="427"/>
  <c r="AO115" i="427" s="1"/>
  <c r="AI88" i="427"/>
  <c r="AI115" i="427" s="1"/>
  <c r="AD88" i="427"/>
  <c r="AB88" i="427"/>
  <c r="AB115" i="427" s="1"/>
  <c r="M88" i="427"/>
  <c r="N88" i="427" s="1"/>
  <c r="H88" i="427"/>
  <c r="AT87" i="427"/>
  <c r="AF87" i="427"/>
  <c r="AH87" i="427" s="1"/>
  <c r="O87" i="427"/>
  <c r="M87" i="427"/>
  <c r="N87" i="427" s="1"/>
  <c r="H87" i="427"/>
  <c r="AT86" i="427"/>
  <c r="AF86" i="427"/>
  <c r="AH86" i="427" s="1"/>
  <c r="O86" i="427"/>
  <c r="M86" i="427"/>
  <c r="N86" i="427" s="1"/>
  <c r="H86" i="427"/>
  <c r="AT85" i="427"/>
  <c r="AF85" i="427"/>
  <c r="AH85" i="427" s="1"/>
  <c r="M85" i="427"/>
  <c r="N85" i="427" s="1"/>
  <c r="H85" i="427"/>
  <c r="AT84" i="427"/>
  <c r="AF84" i="427"/>
  <c r="AH84" i="427" s="1"/>
  <c r="O84" i="427"/>
  <c r="M84" i="427"/>
  <c r="N84" i="427" s="1"/>
  <c r="H84" i="427"/>
  <c r="AT83" i="427"/>
  <c r="AA83" i="427"/>
  <c r="Y83" i="427"/>
  <c r="O83" i="427"/>
  <c r="M83" i="427"/>
  <c r="J83" i="427"/>
  <c r="I83" i="427"/>
  <c r="I115" i="427" s="1"/>
  <c r="H83" i="427"/>
  <c r="AX80" i="427"/>
  <c r="AW80" i="427"/>
  <c r="AV80" i="427"/>
  <c r="AU80" i="427"/>
  <c r="AS80" i="427"/>
  <c r="AR80" i="427"/>
  <c r="AQ80" i="427"/>
  <c r="AP80" i="427"/>
  <c r="AO80" i="427"/>
  <c r="AM80" i="427"/>
  <c r="AL80" i="427"/>
  <c r="AK80" i="427"/>
  <c r="AJ80" i="427"/>
  <c r="AI80" i="427"/>
  <c r="AE80" i="427"/>
  <c r="AB80" i="427"/>
  <c r="AA80" i="427"/>
  <c r="X80" i="427"/>
  <c r="W80" i="427"/>
  <c r="V80" i="427"/>
  <c r="L80" i="427"/>
  <c r="K80" i="427"/>
  <c r="I80" i="427"/>
  <c r="G80" i="427"/>
  <c r="AT79" i="427"/>
  <c r="AD79" i="427"/>
  <c r="AF79" i="427" s="1"/>
  <c r="AH79" i="427" s="1"/>
  <c r="O79" i="427"/>
  <c r="M79" i="427"/>
  <c r="J79" i="427"/>
  <c r="F79" i="427"/>
  <c r="H79" i="427" s="1"/>
  <c r="AT78" i="427"/>
  <c r="AD78" i="427"/>
  <c r="AF78" i="427" s="1"/>
  <c r="AH78" i="427" s="1"/>
  <c r="O78" i="427"/>
  <c r="M78" i="427"/>
  <c r="J78" i="427"/>
  <c r="N78" i="427" s="1"/>
  <c r="Q78" i="427" s="1"/>
  <c r="R78" i="427" s="1"/>
  <c r="T78" i="427" s="1"/>
  <c r="H78" i="427"/>
  <c r="AT77" i="427"/>
  <c r="AD77" i="427"/>
  <c r="AF77" i="427" s="1"/>
  <c r="AH77" i="427" s="1"/>
  <c r="O77" i="427"/>
  <c r="M77" i="427"/>
  <c r="J77" i="427"/>
  <c r="H77" i="427"/>
  <c r="AT76" i="427"/>
  <c r="AD76" i="427"/>
  <c r="AF76" i="427" s="1"/>
  <c r="AH76" i="427" s="1"/>
  <c r="M76" i="427"/>
  <c r="J76" i="427"/>
  <c r="H76" i="427"/>
  <c r="AT75" i="427"/>
  <c r="AD75" i="427"/>
  <c r="AF75" i="427" s="1"/>
  <c r="AH75" i="427" s="1"/>
  <c r="O75" i="427"/>
  <c r="M75" i="427"/>
  <c r="J75" i="427"/>
  <c r="H75" i="427"/>
  <c r="AT74" i="427"/>
  <c r="AD74" i="427"/>
  <c r="AF74" i="427" s="1"/>
  <c r="AH74" i="427" s="1"/>
  <c r="S74" i="427"/>
  <c r="O74" i="427"/>
  <c r="M74" i="427"/>
  <c r="J74" i="427"/>
  <c r="N74" i="427" s="1"/>
  <c r="Q74" i="427" s="1"/>
  <c r="H74" i="427"/>
  <c r="AT73" i="427"/>
  <c r="AF73" i="427"/>
  <c r="AH73" i="427" s="1"/>
  <c r="AD73" i="427"/>
  <c r="S73" i="427"/>
  <c r="O73" i="427"/>
  <c r="M73" i="427"/>
  <c r="J73" i="427"/>
  <c r="H73" i="427"/>
  <c r="AT72" i="427"/>
  <c r="AN72" i="427"/>
  <c r="AF72" i="427"/>
  <c r="AH72" i="427" s="1"/>
  <c r="O72" i="427"/>
  <c r="M72" i="427"/>
  <c r="N72" i="427" s="1"/>
  <c r="H72" i="427"/>
  <c r="AT71" i="427"/>
  <c r="AN71" i="427"/>
  <c r="AD71" i="427"/>
  <c r="AF71" i="427" s="1"/>
  <c r="AH71" i="427" s="1"/>
  <c r="O71" i="427"/>
  <c r="M71" i="427"/>
  <c r="N71" i="427" s="1"/>
  <c r="H71" i="427"/>
  <c r="AT70" i="427"/>
  <c r="AN70" i="427"/>
  <c r="AD70" i="427"/>
  <c r="AF70" i="427" s="1"/>
  <c r="AH70" i="427" s="1"/>
  <c r="O70" i="427"/>
  <c r="M70" i="427"/>
  <c r="J70" i="427"/>
  <c r="H70" i="427"/>
  <c r="AT69" i="427"/>
  <c r="AN69" i="427"/>
  <c r="AD69" i="427"/>
  <c r="AF69" i="427" s="1"/>
  <c r="AH69" i="427" s="1"/>
  <c r="O69" i="427"/>
  <c r="M69" i="427"/>
  <c r="J69" i="427"/>
  <c r="F69" i="427"/>
  <c r="AT68" i="427"/>
  <c r="AN68" i="427"/>
  <c r="AD68" i="427"/>
  <c r="AF68" i="427" s="1"/>
  <c r="AH68" i="427" s="1"/>
  <c r="O68" i="427"/>
  <c r="M68" i="427"/>
  <c r="J68" i="427"/>
  <c r="H68" i="427"/>
  <c r="AT67" i="427"/>
  <c r="AD67" i="427"/>
  <c r="AF67" i="427" s="1"/>
  <c r="AH67" i="427" s="1"/>
  <c r="O67" i="427"/>
  <c r="M67" i="427"/>
  <c r="J67" i="427"/>
  <c r="H67" i="427"/>
  <c r="AT66" i="427"/>
  <c r="AD66" i="427"/>
  <c r="AF66" i="427" s="1"/>
  <c r="AH66" i="427" s="1"/>
  <c r="O66" i="427"/>
  <c r="M66" i="427"/>
  <c r="J66" i="427"/>
  <c r="H66" i="427"/>
  <c r="AT65" i="427"/>
  <c r="AD65" i="427"/>
  <c r="AF65" i="427" s="1"/>
  <c r="AH65" i="427" s="1"/>
  <c r="O65" i="427"/>
  <c r="M65" i="427"/>
  <c r="J65" i="427"/>
  <c r="H65" i="427"/>
  <c r="AT64" i="427"/>
  <c r="AD64" i="427"/>
  <c r="AF64" i="427" s="1"/>
  <c r="AH64" i="427" s="1"/>
  <c r="O64" i="427"/>
  <c r="M64" i="427"/>
  <c r="J64" i="427"/>
  <c r="N64" i="427" s="1"/>
  <c r="F64" i="427"/>
  <c r="H64" i="427" s="1"/>
  <c r="AT63" i="427"/>
  <c r="AD63" i="427"/>
  <c r="AF63" i="427" s="1"/>
  <c r="AH63" i="427" s="1"/>
  <c r="O63" i="427"/>
  <c r="M63" i="427"/>
  <c r="J63" i="427"/>
  <c r="H63" i="427"/>
  <c r="AT62" i="427"/>
  <c r="AD62" i="427"/>
  <c r="AF62" i="427" s="1"/>
  <c r="AH62" i="427" s="1"/>
  <c r="O62" i="427"/>
  <c r="M62" i="427"/>
  <c r="J62" i="427"/>
  <c r="H62" i="427"/>
  <c r="AT61" i="427"/>
  <c r="AD61" i="427"/>
  <c r="AF61" i="427" s="1"/>
  <c r="AH61" i="427" s="1"/>
  <c r="O61" i="427"/>
  <c r="M61" i="427"/>
  <c r="J61" i="427"/>
  <c r="F61" i="427"/>
  <c r="H61" i="427" s="1"/>
  <c r="AT60" i="427"/>
  <c r="AD60" i="427"/>
  <c r="AF60" i="427" s="1"/>
  <c r="AH60" i="427" s="1"/>
  <c r="O60" i="427"/>
  <c r="M60" i="427"/>
  <c r="J60" i="427"/>
  <c r="H60" i="427"/>
  <c r="AT59" i="427"/>
  <c r="AD59" i="427"/>
  <c r="AF59" i="427" s="1"/>
  <c r="AH59" i="427" s="1"/>
  <c r="O59" i="427"/>
  <c r="M59" i="427"/>
  <c r="J59" i="427"/>
  <c r="H59" i="427"/>
  <c r="AT58" i="427"/>
  <c r="AD58" i="427"/>
  <c r="AF58" i="427" s="1"/>
  <c r="AH58" i="427" s="1"/>
  <c r="O58" i="427"/>
  <c r="M58" i="427"/>
  <c r="J58" i="427"/>
  <c r="N58" i="427" s="1"/>
  <c r="Q58" i="427" s="1"/>
  <c r="F58" i="427"/>
  <c r="H58" i="427" s="1"/>
  <c r="AT57" i="427"/>
  <c r="AD57" i="427"/>
  <c r="AF57" i="427" s="1"/>
  <c r="AH57" i="427" s="1"/>
  <c r="O57" i="427"/>
  <c r="M57" i="427"/>
  <c r="N57" i="427" s="1"/>
  <c r="Q57" i="427" s="1"/>
  <c r="F57" i="427"/>
  <c r="H57" i="427" s="1"/>
  <c r="AT56" i="427"/>
  <c r="AH56" i="427"/>
  <c r="AF56" i="427"/>
  <c r="O56" i="427"/>
  <c r="M56" i="427"/>
  <c r="J56" i="427"/>
  <c r="H56" i="427"/>
  <c r="AT55" i="427"/>
  <c r="AF55" i="427"/>
  <c r="AH55" i="427" s="1"/>
  <c r="O55" i="427"/>
  <c r="M55" i="427"/>
  <c r="J55" i="427"/>
  <c r="H55" i="427"/>
  <c r="AT54" i="427"/>
  <c r="AF54" i="427"/>
  <c r="AH54" i="427" s="1"/>
  <c r="O54" i="427"/>
  <c r="M54" i="427"/>
  <c r="J54" i="427"/>
  <c r="H54" i="427"/>
  <c r="AT53" i="427"/>
  <c r="AF53" i="427"/>
  <c r="AH53" i="427" s="1"/>
  <c r="O53" i="427"/>
  <c r="M53" i="427"/>
  <c r="J53" i="427"/>
  <c r="F53" i="427"/>
  <c r="H53" i="427" s="1"/>
  <c r="AT52" i="427"/>
  <c r="AF52" i="427"/>
  <c r="AH52" i="427" s="1"/>
  <c r="O52" i="427"/>
  <c r="M52" i="427"/>
  <c r="J52" i="427"/>
  <c r="F52" i="427"/>
  <c r="H52" i="427" s="1"/>
  <c r="AT51" i="427"/>
  <c r="AF51" i="427"/>
  <c r="AH51" i="427" s="1"/>
  <c r="O51" i="427"/>
  <c r="M51" i="427"/>
  <c r="J51" i="427"/>
  <c r="H51" i="427"/>
  <c r="AT50" i="427"/>
  <c r="AF50" i="427"/>
  <c r="AH50" i="427" s="1"/>
  <c r="O50" i="427"/>
  <c r="M50" i="427"/>
  <c r="N50" i="427" s="1"/>
  <c r="Q50" i="427" s="1"/>
  <c r="H50" i="427"/>
  <c r="AT49" i="427"/>
  <c r="AF49" i="427"/>
  <c r="AH49" i="427" s="1"/>
  <c r="O49" i="427"/>
  <c r="M49" i="427"/>
  <c r="N49" i="427" s="1"/>
  <c r="Q49" i="427" s="1"/>
  <c r="R49" i="427" s="1"/>
  <c r="T49" i="427" s="1"/>
  <c r="H49" i="427"/>
  <c r="AT48" i="427"/>
  <c r="AF48" i="427"/>
  <c r="AH48" i="427" s="1"/>
  <c r="O48" i="427"/>
  <c r="M48" i="427"/>
  <c r="J48" i="427"/>
  <c r="F48" i="427"/>
  <c r="H48" i="427" s="1"/>
  <c r="AT47" i="427"/>
  <c r="AF47" i="427"/>
  <c r="AH47" i="427" s="1"/>
  <c r="S47" i="427"/>
  <c r="S80" i="427" s="1"/>
  <c r="O47" i="427"/>
  <c r="M47" i="427"/>
  <c r="N47" i="427" s="1"/>
  <c r="Q47" i="427" s="1"/>
  <c r="F47" i="427"/>
  <c r="AT46" i="427"/>
  <c r="AF46" i="427"/>
  <c r="AH46" i="427" s="1"/>
  <c r="M46" i="427"/>
  <c r="N46" i="427" s="1"/>
  <c r="Q46" i="427" s="1"/>
  <c r="R46" i="427" s="1"/>
  <c r="T46" i="427" s="1"/>
  <c r="H46" i="427"/>
  <c r="AT45" i="427"/>
  <c r="AC45" i="427"/>
  <c r="AF45" i="427" s="1"/>
  <c r="AH45" i="427" s="1"/>
  <c r="O45" i="427"/>
  <c r="M45" i="427"/>
  <c r="N45" i="427" s="1"/>
  <c r="Q45" i="427" s="1"/>
  <c r="H45" i="427"/>
  <c r="AT44" i="427"/>
  <c r="AC44" i="427"/>
  <c r="O44" i="427"/>
  <c r="M44" i="427"/>
  <c r="N44" i="427" s="1"/>
  <c r="H44" i="427"/>
  <c r="AT43" i="427"/>
  <c r="AF43" i="427"/>
  <c r="AH43" i="427" s="1"/>
  <c r="M43" i="427"/>
  <c r="N43" i="427" s="1"/>
  <c r="P43" i="427" s="1"/>
  <c r="H43" i="427"/>
  <c r="AT42" i="427"/>
  <c r="AF42" i="427"/>
  <c r="AH42" i="427" s="1"/>
  <c r="Y42" i="427"/>
  <c r="Y80" i="427" s="1"/>
  <c r="O42" i="427"/>
  <c r="M42" i="427"/>
  <c r="N42" i="427" s="1"/>
  <c r="Q42" i="427" s="1"/>
  <c r="H42" i="427"/>
  <c r="AT41" i="427"/>
  <c r="AF41" i="427"/>
  <c r="AH41" i="427" s="1"/>
  <c r="O41" i="427"/>
  <c r="M41" i="427"/>
  <c r="N41" i="427" s="1"/>
  <c r="Q41" i="427" s="1"/>
  <c r="H41" i="427"/>
  <c r="AT40" i="427"/>
  <c r="AF40" i="427"/>
  <c r="AH40" i="427" s="1"/>
  <c r="O40" i="427"/>
  <c r="M40" i="427"/>
  <c r="N40" i="427" s="1"/>
  <c r="H40" i="427"/>
  <c r="AT39" i="427"/>
  <c r="AF39" i="427"/>
  <c r="AH39" i="427" s="1"/>
  <c r="O39" i="427"/>
  <c r="M39" i="427"/>
  <c r="J39" i="427"/>
  <c r="H39" i="427"/>
  <c r="AT38" i="427"/>
  <c r="AF38" i="427"/>
  <c r="AH38" i="427" s="1"/>
  <c r="O38" i="427"/>
  <c r="M38" i="427"/>
  <c r="J38" i="427"/>
  <c r="H38" i="427"/>
  <c r="AT37" i="427"/>
  <c r="AF37" i="427"/>
  <c r="AH37" i="427" s="1"/>
  <c r="O37" i="427"/>
  <c r="M37" i="427"/>
  <c r="J37" i="427"/>
  <c r="H37" i="427"/>
  <c r="AX34" i="427"/>
  <c r="AW34" i="427"/>
  <c r="AV34" i="427"/>
  <c r="AU34" i="427"/>
  <c r="AS34" i="427"/>
  <c r="AR34" i="427"/>
  <c r="AQ34" i="427"/>
  <c r="AP34" i="427"/>
  <c r="AO34" i="427"/>
  <c r="AN34" i="427"/>
  <c r="AM34" i="427"/>
  <c r="AL34" i="427"/>
  <c r="AK34" i="427"/>
  <c r="AJ34" i="427"/>
  <c r="AI34" i="427"/>
  <c r="AC34" i="427"/>
  <c r="AB34" i="427"/>
  <c r="AA34" i="427"/>
  <c r="Z34" i="427"/>
  <c r="X34" i="427"/>
  <c r="W34" i="427"/>
  <c r="V34" i="427"/>
  <c r="S34" i="427"/>
  <c r="L34" i="427"/>
  <c r="K34" i="427"/>
  <c r="I34" i="427"/>
  <c r="G34" i="427"/>
  <c r="AT33" i="427"/>
  <c r="AD33" i="427"/>
  <c r="M33" i="427"/>
  <c r="N33" i="427" s="1"/>
  <c r="P33" i="427" s="1"/>
  <c r="F33" i="427"/>
  <c r="H33" i="427" s="1"/>
  <c r="AT32" i="427"/>
  <c r="AD32" i="427"/>
  <c r="AD34" i="427" s="1"/>
  <c r="M32" i="427"/>
  <c r="J32" i="427"/>
  <c r="F32" i="427"/>
  <c r="H32" i="427" s="1"/>
  <c r="AT31" i="427"/>
  <c r="AF31" i="427"/>
  <c r="AH31" i="427" s="1"/>
  <c r="O31" i="427"/>
  <c r="M31" i="427"/>
  <c r="N31" i="427" s="1"/>
  <c r="J31" i="427"/>
  <c r="F31" i="427"/>
  <c r="H31" i="427" s="1"/>
  <c r="AT30" i="427"/>
  <c r="AF30" i="427"/>
  <c r="AH30" i="427" s="1"/>
  <c r="O30" i="427"/>
  <c r="M30" i="427"/>
  <c r="N30" i="427" s="1"/>
  <c r="H30" i="427"/>
  <c r="AT29" i="427"/>
  <c r="AF29" i="427"/>
  <c r="AH29" i="427" s="1"/>
  <c r="M29" i="427"/>
  <c r="N29" i="427" s="1"/>
  <c r="H29" i="427"/>
  <c r="AT28" i="427"/>
  <c r="AF28" i="427"/>
  <c r="AH28" i="427" s="1"/>
  <c r="O28" i="427"/>
  <c r="M28" i="427"/>
  <c r="J28" i="427"/>
  <c r="H28" i="427"/>
  <c r="AT27" i="427"/>
  <c r="AF27" i="427"/>
  <c r="AH27" i="427" s="1"/>
  <c r="O27" i="427"/>
  <c r="M27" i="427"/>
  <c r="J27" i="427"/>
  <c r="H27" i="427"/>
  <c r="AT26" i="427"/>
  <c r="AF26" i="427"/>
  <c r="AH26" i="427" s="1"/>
  <c r="O26" i="427"/>
  <c r="M26" i="427"/>
  <c r="J26" i="427"/>
  <c r="H26" i="427"/>
  <c r="AT25" i="427"/>
  <c r="AF25" i="427"/>
  <c r="AH25" i="427" s="1"/>
  <c r="O25" i="427"/>
  <c r="M25" i="427"/>
  <c r="J25" i="427"/>
  <c r="N25" i="427" s="1"/>
  <c r="H25" i="427"/>
  <c r="AT24" i="427"/>
  <c r="AF24" i="427"/>
  <c r="AH24" i="427" s="1"/>
  <c r="O24" i="427"/>
  <c r="M24" i="427"/>
  <c r="J24" i="427"/>
  <c r="N24" i="427" s="1"/>
  <c r="Q24" i="427" s="1"/>
  <c r="F24" i="427"/>
  <c r="H24" i="427" s="1"/>
  <c r="AT23" i="427"/>
  <c r="AF23" i="427"/>
  <c r="AH23" i="427" s="1"/>
  <c r="O23" i="427"/>
  <c r="M23" i="427"/>
  <c r="J23" i="427"/>
  <c r="F23" i="427"/>
  <c r="H23" i="427" s="1"/>
  <c r="AT22" i="427"/>
  <c r="AF22" i="427"/>
  <c r="AH22" i="427" s="1"/>
  <c r="O22" i="427"/>
  <c r="M22" i="427"/>
  <c r="J22" i="427"/>
  <c r="H22" i="427"/>
  <c r="AT21" i="427"/>
  <c r="AF21" i="427"/>
  <c r="AH21" i="427" s="1"/>
  <c r="O21" i="427"/>
  <c r="M21" i="427"/>
  <c r="J21" i="427"/>
  <c r="H21" i="427"/>
  <c r="AT20" i="427"/>
  <c r="AF20" i="427"/>
  <c r="AH20" i="427" s="1"/>
  <c r="O20" i="427"/>
  <c r="M20" i="427"/>
  <c r="J20" i="427"/>
  <c r="H20" i="427"/>
  <c r="AT19" i="427"/>
  <c r="AF19" i="427"/>
  <c r="AH19" i="427" s="1"/>
  <c r="O19" i="427"/>
  <c r="M19" i="427"/>
  <c r="J19" i="427"/>
  <c r="H19" i="427"/>
  <c r="AT18" i="427"/>
  <c r="AF18" i="427"/>
  <c r="AH18" i="427" s="1"/>
  <c r="O18" i="427"/>
  <c r="M18" i="427"/>
  <c r="N18" i="427" s="1"/>
  <c r="Q18" i="427" s="1"/>
  <c r="J18" i="427"/>
  <c r="H18" i="427"/>
  <c r="AT17" i="427"/>
  <c r="AF17" i="427"/>
  <c r="AH17" i="427" s="1"/>
  <c r="O17" i="427"/>
  <c r="M17" i="427"/>
  <c r="J17" i="427"/>
  <c r="H17" i="427"/>
  <c r="AT16" i="427"/>
  <c r="AF16" i="427"/>
  <c r="AH16" i="427" s="1"/>
  <c r="O16" i="427"/>
  <c r="M16" i="427"/>
  <c r="N16" i="427" s="1"/>
  <c r="Q16" i="427" s="1"/>
  <c r="H16" i="427"/>
  <c r="AT15" i="427"/>
  <c r="AF15" i="427"/>
  <c r="AH15" i="427" s="1"/>
  <c r="O15" i="427"/>
  <c r="M15" i="427"/>
  <c r="J15" i="427"/>
  <c r="H15" i="427"/>
  <c r="AT14" i="427"/>
  <c r="AF14" i="427"/>
  <c r="AH14" i="427" s="1"/>
  <c r="Y14" i="427"/>
  <c r="Y34" i="427" s="1"/>
  <c r="O14" i="427"/>
  <c r="M14" i="427"/>
  <c r="J14" i="427"/>
  <c r="F14" i="427"/>
  <c r="H14" i="427" s="1"/>
  <c r="AT13" i="427"/>
  <c r="AF13" i="427"/>
  <c r="AH13" i="427" s="1"/>
  <c r="O13" i="427"/>
  <c r="M13" i="427"/>
  <c r="N13" i="427" s="1"/>
  <c r="Q13" i="427" s="1"/>
  <c r="J13" i="427"/>
  <c r="H13" i="427"/>
  <c r="AT12" i="427"/>
  <c r="AF12" i="427"/>
  <c r="AH12" i="427" s="1"/>
  <c r="O12" i="427"/>
  <c r="M12" i="427"/>
  <c r="N12" i="427" s="1"/>
  <c r="Q12" i="427" s="1"/>
  <c r="J12" i="427"/>
  <c r="H12" i="427"/>
  <c r="AT11" i="427"/>
  <c r="AF11" i="427"/>
  <c r="AH11" i="427" s="1"/>
  <c r="M11" i="427"/>
  <c r="N11" i="427" s="1"/>
  <c r="H11" i="427"/>
  <c r="AT10" i="427"/>
  <c r="AF10" i="427"/>
  <c r="AH10" i="427" s="1"/>
  <c r="O10" i="427"/>
  <c r="M10" i="427"/>
  <c r="N10" i="427" s="1"/>
  <c r="H10" i="427"/>
  <c r="AT9" i="427"/>
  <c r="AF9" i="427"/>
  <c r="AH9" i="427" s="1"/>
  <c r="O9" i="427"/>
  <c r="M9" i="427"/>
  <c r="N9" i="427" s="1"/>
  <c r="Q9" i="427" s="1"/>
  <c r="H9" i="427"/>
  <c r="C9" i="427"/>
  <c r="AT8" i="427"/>
  <c r="AF8" i="427"/>
  <c r="AH8" i="427" s="1"/>
  <c r="O8" i="427"/>
  <c r="M8" i="427"/>
  <c r="J8" i="427"/>
  <c r="N8" i="427" s="1"/>
  <c r="H8" i="427"/>
  <c r="J14" i="409"/>
  <c r="N28" i="427" l="1"/>
  <c r="Q28" i="427" s="1"/>
  <c r="N53" i="427"/>
  <c r="N61" i="427"/>
  <c r="Q61" i="427" s="1"/>
  <c r="R61" i="427" s="1"/>
  <c r="T61" i="427" s="1"/>
  <c r="N65" i="427"/>
  <c r="P97" i="427"/>
  <c r="N15" i="427"/>
  <c r="Q15" i="427" s="1"/>
  <c r="R18" i="437"/>
  <c r="R14" i="405"/>
  <c r="R9" i="427"/>
  <c r="T9" i="427" s="1"/>
  <c r="N14" i="427"/>
  <c r="Q14" i="427" s="1"/>
  <c r="N22" i="427"/>
  <c r="Q22" i="427" s="1"/>
  <c r="AF131" i="427"/>
  <c r="AF136" i="427"/>
  <c r="AH136" i="427" s="1"/>
  <c r="R27" i="441"/>
  <c r="R17" i="409"/>
  <c r="N32" i="427"/>
  <c r="Q32" i="427" s="1"/>
  <c r="R32" i="427" s="1"/>
  <c r="T32" i="427" s="1"/>
  <c r="R45" i="427"/>
  <c r="T45" i="427" s="1"/>
  <c r="P72" i="427"/>
  <c r="N77" i="427"/>
  <c r="Q77" i="427" s="1"/>
  <c r="R125" i="443"/>
  <c r="R147" i="432"/>
  <c r="R125" i="411"/>
  <c r="R58" i="427"/>
  <c r="T58" i="427" s="1"/>
  <c r="U58" i="427" s="1"/>
  <c r="N66" i="427"/>
  <c r="Q95" i="427"/>
  <c r="R95" i="427" s="1"/>
  <c r="T95" i="427" s="1"/>
  <c r="R16" i="434"/>
  <c r="R17" i="434" s="1"/>
  <c r="R16" i="402"/>
  <c r="R17" i="402" s="1"/>
  <c r="R16" i="436"/>
  <c r="R16" i="403"/>
  <c r="R16" i="439"/>
  <c r="R16" i="414"/>
  <c r="R29" i="438"/>
  <c r="R19" i="406"/>
  <c r="R8" i="435"/>
  <c r="R8" i="404"/>
  <c r="N55" i="427"/>
  <c r="N60" i="427"/>
  <c r="N70" i="427"/>
  <c r="P70" i="427" s="1"/>
  <c r="P86" i="427"/>
  <c r="N17" i="427"/>
  <c r="N59" i="427"/>
  <c r="P59" i="427" s="1"/>
  <c r="N63" i="427"/>
  <c r="N67" i="427"/>
  <c r="Q67" i="427" s="1"/>
  <c r="R67" i="427" s="1"/>
  <c r="T67" i="427" s="1"/>
  <c r="R74" i="427"/>
  <c r="T74" i="427" s="1"/>
  <c r="U74" i="427" s="1"/>
  <c r="N75" i="427"/>
  <c r="N79" i="427"/>
  <c r="P79" i="427" s="1"/>
  <c r="N100" i="427"/>
  <c r="P100" i="427" s="1"/>
  <c r="N101" i="427"/>
  <c r="P101" i="427" s="1"/>
  <c r="H153" i="427"/>
  <c r="N21" i="427"/>
  <c r="Q21" i="427" s="1"/>
  <c r="R21" i="427" s="1"/>
  <c r="T21" i="427" s="1"/>
  <c r="N73" i="427"/>
  <c r="P73" i="427" s="1"/>
  <c r="Y115" i="427"/>
  <c r="R77" i="427"/>
  <c r="T77" i="427" s="1"/>
  <c r="R137" i="427"/>
  <c r="T137" i="427" s="1"/>
  <c r="U137" i="427" s="1"/>
  <c r="N56" i="427"/>
  <c r="Q56" i="427" s="1"/>
  <c r="R56" i="427" s="1"/>
  <c r="T56" i="427" s="1"/>
  <c r="N103" i="427"/>
  <c r="Q103" i="427" s="1"/>
  <c r="R103" i="427" s="1"/>
  <c r="T103" i="427" s="1"/>
  <c r="R12" i="427"/>
  <c r="T12" i="427" s="1"/>
  <c r="N23" i="427"/>
  <c r="Q23" i="427" s="1"/>
  <c r="R28" i="427"/>
  <c r="T28" i="427" s="1"/>
  <c r="AG28" i="427" s="1"/>
  <c r="N48" i="427"/>
  <c r="Q48" i="427" s="1"/>
  <c r="R48" i="427" s="1"/>
  <c r="T48" i="427" s="1"/>
  <c r="P91" i="427"/>
  <c r="N136" i="427"/>
  <c r="N138" i="427" s="1"/>
  <c r="P134" i="427"/>
  <c r="Q30" i="427"/>
  <c r="R30" i="427" s="1"/>
  <c r="T30" i="427" s="1"/>
  <c r="P30" i="427"/>
  <c r="Q31" i="427"/>
  <c r="R31" i="427" s="1"/>
  <c r="T31" i="427" s="1"/>
  <c r="P31" i="427"/>
  <c r="P129" i="427"/>
  <c r="Q129" i="427"/>
  <c r="Q60" i="427"/>
  <c r="R60" i="427" s="1"/>
  <c r="T60" i="427" s="1"/>
  <c r="U60" i="427" s="1"/>
  <c r="P60" i="427"/>
  <c r="Q25" i="427"/>
  <c r="P25" i="427"/>
  <c r="Q59" i="427"/>
  <c r="R59" i="427" s="1"/>
  <c r="T59" i="427" s="1"/>
  <c r="U59" i="427" s="1"/>
  <c r="P111" i="427"/>
  <c r="Q111" i="427"/>
  <c r="R111" i="427" s="1"/>
  <c r="T111" i="427" s="1"/>
  <c r="U46" i="427"/>
  <c r="AG46" i="427"/>
  <c r="Q85" i="427"/>
  <c r="R85" i="427" s="1"/>
  <c r="T85" i="427" s="1"/>
  <c r="AG85" i="427" s="1"/>
  <c r="P85" i="427"/>
  <c r="P109" i="427"/>
  <c r="Q109" i="427"/>
  <c r="R109" i="427" s="1"/>
  <c r="T109" i="427" s="1"/>
  <c r="P32" i="427"/>
  <c r="N26" i="427"/>
  <c r="N27" i="427"/>
  <c r="Q27" i="427" s="1"/>
  <c r="R27" i="427" s="1"/>
  <c r="T27" i="427" s="1"/>
  <c r="Q33" i="427"/>
  <c r="R33" i="427" s="1"/>
  <c r="T33" i="427" s="1"/>
  <c r="AE33" i="427" s="1"/>
  <c r="AF33" i="427" s="1"/>
  <c r="AH33" i="427" s="1"/>
  <c r="N51" i="427"/>
  <c r="Q51" i="427" s="1"/>
  <c r="R51" i="427" s="1"/>
  <c r="T51" i="427" s="1"/>
  <c r="N76" i="427"/>
  <c r="AT88" i="427"/>
  <c r="AT115" i="427" s="1"/>
  <c r="N90" i="427"/>
  <c r="Q90" i="427" s="1"/>
  <c r="R90" i="427" s="1"/>
  <c r="T90" i="427" s="1"/>
  <c r="AH119" i="427"/>
  <c r="AH120" i="427" s="1"/>
  <c r="AF124" i="427"/>
  <c r="AF126" i="427" s="1"/>
  <c r="H137" i="427"/>
  <c r="H138" i="427" s="1"/>
  <c r="R16" i="427"/>
  <c r="T16" i="427" s="1"/>
  <c r="R50" i="427"/>
  <c r="T50" i="427" s="1"/>
  <c r="AG50" i="427" s="1"/>
  <c r="H126" i="427"/>
  <c r="AK155" i="427"/>
  <c r="G25" i="40" s="1"/>
  <c r="P9" i="427"/>
  <c r="N37" i="427"/>
  <c r="Q37" i="427" s="1"/>
  <c r="R37" i="427" s="1"/>
  <c r="R42" i="427"/>
  <c r="T42" i="427" s="1"/>
  <c r="U42" i="427" s="1"/>
  <c r="Q43" i="427"/>
  <c r="R43" i="427" s="1"/>
  <c r="T43" i="427" s="1"/>
  <c r="AG43" i="427" s="1"/>
  <c r="P78" i="427"/>
  <c r="O115" i="427"/>
  <c r="Q104" i="427"/>
  <c r="R104" i="427" s="1"/>
  <c r="T104" i="427" s="1"/>
  <c r="M126" i="427"/>
  <c r="AH131" i="427"/>
  <c r="I155" i="427"/>
  <c r="AF153" i="427"/>
  <c r="N52" i="427"/>
  <c r="Q52" i="427" s="1"/>
  <c r="R52" i="427" s="1"/>
  <c r="T52" i="427" s="1"/>
  <c r="N20" i="427"/>
  <c r="R41" i="427"/>
  <c r="T41" i="427" s="1"/>
  <c r="J80" i="427"/>
  <c r="P58" i="427"/>
  <c r="N62" i="427"/>
  <c r="P87" i="427"/>
  <c r="Q91" i="427"/>
  <c r="R91" i="427" s="1"/>
  <c r="T91" i="427" s="1"/>
  <c r="U91" i="427" s="1"/>
  <c r="AG97" i="427"/>
  <c r="N106" i="427"/>
  <c r="Q110" i="427"/>
  <c r="N123" i="427"/>
  <c r="Q123" i="427" s="1"/>
  <c r="M153" i="427"/>
  <c r="J34" i="427"/>
  <c r="N19" i="427"/>
  <c r="Q19" i="427" s="1"/>
  <c r="R19" i="427" s="1"/>
  <c r="T19" i="427" s="1"/>
  <c r="F34" i="427"/>
  <c r="P46" i="427"/>
  <c r="AD115" i="427"/>
  <c r="L155" i="427"/>
  <c r="AH153" i="427"/>
  <c r="P16" i="427"/>
  <c r="N39" i="427"/>
  <c r="P39" i="427" s="1"/>
  <c r="M34" i="427"/>
  <c r="R18" i="427"/>
  <c r="T18" i="427" s="1"/>
  <c r="AG18" i="427" s="1"/>
  <c r="N68" i="427"/>
  <c r="Q68" i="427" s="1"/>
  <c r="R68" i="427" s="1"/>
  <c r="T68" i="427" s="1"/>
  <c r="N69" i="427"/>
  <c r="Q69" i="427" s="1"/>
  <c r="R69" i="427" s="1"/>
  <c r="T69" i="427" s="1"/>
  <c r="U69" i="427" s="1"/>
  <c r="P71" i="427"/>
  <c r="Q87" i="427"/>
  <c r="AF88" i="427"/>
  <c r="AH88" i="427" s="1"/>
  <c r="AH126" i="427"/>
  <c r="P26" i="427"/>
  <c r="Q26" i="427"/>
  <c r="R26" i="427" s="1"/>
  <c r="T26" i="427" s="1"/>
  <c r="AE32" i="427"/>
  <c r="U32" i="427"/>
  <c r="Q11" i="427"/>
  <c r="R11" i="427" s="1"/>
  <c r="T11" i="427" s="1"/>
  <c r="P11" i="427"/>
  <c r="R14" i="427"/>
  <c r="T14" i="427" s="1"/>
  <c r="U21" i="427"/>
  <c r="AG21" i="427"/>
  <c r="R22" i="427"/>
  <c r="T22" i="427" s="1"/>
  <c r="R23" i="427"/>
  <c r="T23" i="427" s="1"/>
  <c r="R24" i="427"/>
  <c r="T24" i="427" s="1"/>
  <c r="R25" i="427"/>
  <c r="T25" i="427" s="1"/>
  <c r="AG9" i="427"/>
  <c r="U9" i="427"/>
  <c r="R13" i="427"/>
  <c r="T13" i="427" s="1"/>
  <c r="AG49" i="427"/>
  <c r="U49" i="427"/>
  <c r="Q10" i="427"/>
  <c r="R10" i="427" s="1"/>
  <c r="T10" i="427" s="1"/>
  <c r="P10" i="427"/>
  <c r="Q29" i="427"/>
  <c r="R29" i="427" s="1"/>
  <c r="T29" i="427" s="1"/>
  <c r="P29" i="427"/>
  <c r="U48" i="427"/>
  <c r="AG48" i="427"/>
  <c r="AG69" i="427"/>
  <c r="AG16" i="427"/>
  <c r="U16" i="427"/>
  <c r="Q17" i="427"/>
  <c r="R17" i="427" s="1"/>
  <c r="T17" i="427" s="1"/>
  <c r="P17" i="427"/>
  <c r="Q64" i="427"/>
  <c r="R64" i="427" s="1"/>
  <c r="T64" i="427" s="1"/>
  <c r="P64" i="427"/>
  <c r="R15" i="427"/>
  <c r="T15" i="427" s="1"/>
  <c r="U12" i="427"/>
  <c r="AG12" i="427"/>
  <c r="P69" i="427"/>
  <c r="H69" i="427"/>
  <c r="O34" i="427"/>
  <c r="C10" i="427"/>
  <c r="C11" i="427" s="1"/>
  <c r="C12" i="427" s="1"/>
  <c r="C13" i="427" s="1"/>
  <c r="C14" i="427" s="1"/>
  <c r="C15" i="427" s="1"/>
  <c r="C16" i="427" s="1"/>
  <c r="C17" i="427" s="1"/>
  <c r="C18" i="427" s="1"/>
  <c r="C19" i="427" s="1"/>
  <c r="C20" i="427" s="1"/>
  <c r="C21" i="427" s="1"/>
  <c r="C22" i="427" s="1"/>
  <c r="C23" i="427" s="1"/>
  <c r="C24" i="427" s="1"/>
  <c r="C25" i="427" s="1"/>
  <c r="C26" i="427" s="1"/>
  <c r="C27" i="427" s="1"/>
  <c r="C28" i="427" s="1"/>
  <c r="C29" i="427" s="1"/>
  <c r="C30" i="427" s="1"/>
  <c r="C31" i="427" s="1"/>
  <c r="C32" i="427" s="1"/>
  <c r="C33" i="427" s="1"/>
  <c r="P13" i="427"/>
  <c r="P14" i="427"/>
  <c r="P15" i="427"/>
  <c r="P22" i="427"/>
  <c r="P23" i="427"/>
  <c r="P24" i="427"/>
  <c r="U33" i="427"/>
  <c r="O80" i="427"/>
  <c r="P48" i="427"/>
  <c r="Q53" i="427"/>
  <c r="R53" i="427" s="1"/>
  <c r="T53" i="427" s="1"/>
  <c r="P53" i="427"/>
  <c r="N54" i="427"/>
  <c r="Q55" i="427"/>
  <c r="P55" i="427"/>
  <c r="AG74" i="427"/>
  <c r="Q84" i="427"/>
  <c r="R84" i="427" s="1"/>
  <c r="T84" i="427" s="1"/>
  <c r="P84" i="427"/>
  <c r="N126" i="427"/>
  <c r="P123" i="427"/>
  <c r="P8" i="427"/>
  <c r="AT34" i="427"/>
  <c r="P12" i="427"/>
  <c r="P21" i="427"/>
  <c r="N38" i="427"/>
  <c r="P41" i="427"/>
  <c r="P42" i="427"/>
  <c r="P49" i="427"/>
  <c r="R55" i="427"/>
  <c r="T55" i="427" s="1"/>
  <c r="R57" i="427"/>
  <c r="T57" i="427" s="1"/>
  <c r="Q105" i="427"/>
  <c r="R105" i="427" s="1"/>
  <c r="T105" i="427" s="1"/>
  <c r="P105" i="427"/>
  <c r="Q40" i="427"/>
  <c r="R40" i="427" s="1"/>
  <c r="T40" i="427" s="1"/>
  <c r="P40" i="427"/>
  <c r="U41" i="427"/>
  <c r="AG41" i="427"/>
  <c r="Q44" i="427"/>
  <c r="P44" i="427"/>
  <c r="AG45" i="427"/>
  <c r="H47" i="427"/>
  <c r="F80" i="427"/>
  <c r="P47" i="427"/>
  <c r="AG77" i="427"/>
  <c r="U77" i="427"/>
  <c r="Q8" i="427"/>
  <c r="AG33" i="427"/>
  <c r="R44" i="427"/>
  <c r="T44" i="427" s="1"/>
  <c r="AG59" i="427"/>
  <c r="Q72" i="427"/>
  <c r="R72" i="427" s="1"/>
  <c r="T72" i="427" s="1"/>
  <c r="AG78" i="427"/>
  <c r="U78" i="427"/>
  <c r="P103" i="427"/>
  <c r="H103" i="427"/>
  <c r="H34" i="427"/>
  <c r="P18" i="427"/>
  <c r="P28" i="427"/>
  <c r="Q39" i="427"/>
  <c r="R39" i="427" s="1"/>
  <c r="T39" i="427" s="1"/>
  <c r="P45" i="427"/>
  <c r="R47" i="427"/>
  <c r="T47" i="427" s="1"/>
  <c r="Q63" i="427"/>
  <c r="R63" i="427" s="1"/>
  <c r="T63" i="427" s="1"/>
  <c r="P63" i="427"/>
  <c r="Q71" i="427"/>
  <c r="R71" i="427" s="1"/>
  <c r="T71" i="427" s="1"/>
  <c r="Q75" i="427"/>
  <c r="R75" i="427" s="1"/>
  <c r="T75" i="427" s="1"/>
  <c r="P75" i="427"/>
  <c r="Q92" i="427"/>
  <c r="R92" i="427" s="1"/>
  <c r="T92" i="427" s="1"/>
  <c r="P92" i="427"/>
  <c r="AT80" i="427"/>
  <c r="AF44" i="427"/>
  <c r="AH44" i="427" s="1"/>
  <c r="AH80" i="427" s="1"/>
  <c r="AC80" i="427"/>
  <c r="U45" i="427"/>
  <c r="Q62" i="427"/>
  <c r="R62" i="427" s="1"/>
  <c r="T62" i="427" s="1"/>
  <c r="P62" i="427"/>
  <c r="Q65" i="427"/>
  <c r="R65" i="427" s="1"/>
  <c r="T65" i="427" s="1"/>
  <c r="P65" i="427"/>
  <c r="AN80" i="427"/>
  <c r="AN155" i="427" s="1"/>
  <c r="P74" i="427"/>
  <c r="P77" i="427"/>
  <c r="Q88" i="427"/>
  <c r="R88" i="427" s="1"/>
  <c r="T88" i="427" s="1"/>
  <c r="P88" i="427"/>
  <c r="AE104" i="427"/>
  <c r="U104" i="427"/>
  <c r="AE111" i="427"/>
  <c r="AF111" i="427" s="1"/>
  <c r="U111" i="427"/>
  <c r="Q66" i="427"/>
  <c r="R66" i="427" s="1"/>
  <c r="T66" i="427" s="1"/>
  <c r="P66" i="427"/>
  <c r="Q79" i="427"/>
  <c r="R79" i="427" s="1"/>
  <c r="T79" i="427" s="1"/>
  <c r="Q89" i="427"/>
  <c r="R89" i="427" s="1"/>
  <c r="T89" i="427" s="1"/>
  <c r="P89" i="427"/>
  <c r="AS155" i="427"/>
  <c r="AO155" i="427"/>
  <c r="P57" i="427"/>
  <c r="R98" i="427"/>
  <c r="T98" i="427" s="1"/>
  <c r="R99" i="427"/>
  <c r="T99" i="427" s="1"/>
  <c r="AG109" i="427"/>
  <c r="U109" i="427"/>
  <c r="N120" i="427"/>
  <c r="Q119" i="427"/>
  <c r="Q120" i="427" s="1"/>
  <c r="P119" i="427"/>
  <c r="P120" i="427" s="1"/>
  <c r="O138" i="427"/>
  <c r="W155" i="427"/>
  <c r="AP155" i="427"/>
  <c r="Q108" i="427"/>
  <c r="R108" i="427" s="1"/>
  <c r="T108" i="427" s="1"/>
  <c r="P108" i="427"/>
  <c r="U113" i="427"/>
  <c r="AE113" i="427"/>
  <c r="O120" i="427"/>
  <c r="Q125" i="427"/>
  <c r="R125" i="427" s="1"/>
  <c r="T125" i="427" s="1"/>
  <c r="P125" i="427"/>
  <c r="AM155" i="427"/>
  <c r="V155" i="427"/>
  <c r="AG152" i="427"/>
  <c r="U152" i="427"/>
  <c r="K155" i="427"/>
  <c r="X155" i="427"/>
  <c r="P61" i="427"/>
  <c r="M80" i="427"/>
  <c r="AD80" i="427"/>
  <c r="J115" i="427"/>
  <c r="J155" i="427" s="1"/>
  <c r="Q96" i="427"/>
  <c r="R96" i="427" s="1"/>
  <c r="T96" i="427" s="1"/>
  <c r="P96" i="427"/>
  <c r="Q102" i="427"/>
  <c r="R102" i="427" s="1"/>
  <c r="T102" i="427" s="1"/>
  <c r="P102" i="427"/>
  <c r="AF113" i="427"/>
  <c r="AH113" i="427" s="1"/>
  <c r="M131" i="427"/>
  <c r="N130" i="427"/>
  <c r="AH138" i="427"/>
  <c r="P152" i="427"/>
  <c r="Y155" i="427"/>
  <c r="AJ155" i="427"/>
  <c r="F25" i="40" s="1"/>
  <c r="AV155" i="427"/>
  <c r="M115" i="427"/>
  <c r="Q86" i="427"/>
  <c r="R86" i="427" s="1"/>
  <c r="T86" i="427" s="1"/>
  <c r="AC115" i="427"/>
  <c r="AF91" i="427"/>
  <c r="AH91" i="427" s="1"/>
  <c r="P93" i="427"/>
  <c r="AG103" i="427"/>
  <c r="AE103" i="427"/>
  <c r="U103" i="427"/>
  <c r="AF104" i="427"/>
  <c r="AH104" i="427" s="1"/>
  <c r="Q112" i="427"/>
  <c r="R112" i="427" s="1"/>
  <c r="T112" i="427" s="1"/>
  <c r="P112" i="427"/>
  <c r="Q124" i="427"/>
  <c r="R124" i="427" s="1"/>
  <c r="T124" i="427" s="1"/>
  <c r="P124" i="427"/>
  <c r="AT153" i="427"/>
  <c r="AW155" i="427"/>
  <c r="N83" i="427"/>
  <c r="AF83" i="427"/>
  <c r="AA115" i="427"/>
  <c r="AA155" i="427" s="1"/>
  <c r="P90" i="427"/>
  <c r="U93" i="427"/>
  <c r="P94" i="427"/>
  <c r="Q101" i="427"/>
  <c r="R101" i="427" s="1"/>
  <c r="T101" i="427" s="1"/>
  <c r="AF103" i="427"/>
  <c r="AH103" i="427" s="1"/>
  <c r="U107" i="427"/>
  <c r="AG107" i="427"/>
  <c r="AX155" i="427"/>
  <c r="R151" i="427"/>
  <c r="Q153" i="427"/>
  <c r="O155" i="427"/>
  <c r="AB155" i="427"/>
  <c r="AL155" i="427"/>
  <c r="I25" i="40" s="1"/>
  <c r="P50" i="427"/>
  <c r="R87" i="427"/>
  <c r="T87" i="427" s="1"/>
  <c r="AG95" i="427"/>
  <c r="U95" i="427"/>
  <c r="Q106" i="427"/>
  <c r="R106" i="427" s="1"/>
  <c r="T106" i="427" s="1"/>
  <c r="P106" i="427"/>
  <c r="Q114" i="427"/>
  <c r="R114" i="427" s="1"/>
  <c r="T114" i="427" s="1"/>
  <c r="P114" i="427"/>
  <c r="AQ155" i="427"/>
  <c r="Q135" i="427"/>
  <c r="R135" i="427" s="1"/>
  <c r="T135" i="427" s="1"/>
  <c r="P135" i="427"/>
  <c r="AU155" i="427"/>
  <c r="AI155" i="427"/>
  <c r="E25" i="40" s="1"/>
  <c r="S155" i="427"/>
  <c r="AG94" i="427"/>
  <c r="P98" i="427"/>
  <c r="P99" i="427"/>
  <c r="R110" i="427"/>
  <c r="T110" i="427" s="1"/>
  <c r="AR155" i="427"/>
  <c r="R129" i="427"/>
  <c r="G155" i="427"/>
  <c r="M120" i="427"/>
  <c r="AD126" i="427"/>
  <c r="Q134" i="427"/>
  <c r="P137" i="427"/>
  <c r="N153" i="427"/>
  <c r="M138" i="427"/>
  <c r="AD138" i="427"/>
  <c r="H98" i="427"/>
  <c r="H99" i="427"/>
  <c r="P107" i="427"/>
  <c r="P113" i="427"/>
  <c r="AF138" i="427"/>
  <c r="P151" i="427"/>
  <c r="P153" i="427" s="1"/>
  <c r="F115" i="427"/>
  <c r="R94" i="411"/>
  <c r="N34" i="411"/>
  <c r="R34" i="411"/>
  <c r="U61" i="427" l="1"/>
  <c r="AG61" i="427"/>
  <c r="AG60" i="427"/>
  <c r="P37" i="427"/>
  <c r="P27" i="427"/>
  <c r="Q100" i="427"/>
  <c r="R100" i="427" s="1"/>
  <c r="T100" i="427" s="1"/>
  <c r="AG100" i="427" s="1"/>
  <c r="U18" i="427"/>
  <c r="P56" i="427"/>
  <c r="AG137" i="427"/>
  <c r="AG42" i="427"/>
  <c r="N34" i="443"/>
  <c r="N81" i="432"/>
  <c r="R94" i="443"/>
  <c r="R120" i="432"/>
  <c r="R124" i="432" s="1"/>
  <c r="P136" i="427"/>
  <c r="P138" i="427" s="1"/>
  <c r="AG58" i="427"/>
  <c r="Q70" i="427"/>
  <c r="R70" i="427" s="1"/>
  <c r="T70" i="427" s="1"/>
  <c r="R34" i="443"/>
  <c r="R124" i="443" s="1"/>
  <c r="R81" i="432"/>
  <c r="R105" i="432" s="1"/>
  <c r="P11" i="97" s="1"/>
  <c r="R124" i="411"/>
  <c r="Q136" i="427"/>
  <c r="R136" i="427" s="1"/>
  <c r="T136" i="427" s="1"/>
  <c r="U85" i="427"/>
  <c r="P68" i="427"/>
  <c r="P19" i="427"/>
  <c r="AG30" i="427"/>
  <c r="U30" i="427"/>
  <c r="P52" i="427"/>
  <c r="U43" i="427"/>
  <c r="H80" i="427"/>
  <c r="H115" i="427"/>
  <c r="H155" i="427" s="1"/>
  <c r="F155" i="427"/>
  <c r="P51" i="427"/>
  <c r="P80" i="427" s="1"/>
  <c r="R119" i="427"/>
  <c r="P67" i="427"/>
  <c r="Q73" i="427"/>
  <c r="R73" i="427" s="1"/>
  <c r="T73" i="427" s="1"/>
  <c r="U28" i="427"/>
  <c r="AC155" i="427"/>
  <c r="N34" i="427"/>
  <c r="AD155" i="427"/>
  <c r="U50" i="427"/>
  <c r="P20" i="427"/>
  <c r="Q76" i="427"/>
  <c r="R76" i="427" s="1"/>
  <c r="T76" i="427" s="1"/>
  <c r="P76" i="427"/>
  <c r="Q20" i="427"/>
  <c r="R20" i="427" s="1"/>
  <c r="T20" i="427" s="1"/>
  <c r="U20" i="427" s="1"/>
  <c r="U56" i="427"/>
  <c r="AG56" i="427"/>
  <c r="M155" i="427"/>
  <c r="AG90" i="427"/>
  <c r="U90" i="427"/>
  <c r="U79" i="427"/>
  <c r="AG79" i="427"/>
  <c r="U75" i="427"/>
  <c r="AG75" i="427"/>
  <c r="T37" i="427"/>
  <c r="U86" i="427"/>
  <c r="AG86" i="427"/>
  <c r="AH111" i="427"/>
  <c r="AG111" i="427"/>
  <c r="AG53" i="427"/>
  <c r="U53" i="427"/>
  <c r="Q130" i="427"/>
  <c r="P130" i="427"/>
  <c r="P131" i="427" s="1"/>
  <c r="AG52" i="427"/>
  <c r="U52" i="427"/>
  <c r="U14" i="427"/>
  <c r="AG14" i="427"/>
  <c r="Q138" i="427"/>
  <c r="R134" i="427"/>
  <c r="AG113" i="427"/>
  <c r="AG98" i="427"/>
  <c r="U98" i="427"/>
  <c r="Q126" i="427"/>
  <c r="R123" i="427"/>
  <c r="Q54" i="427"/>
  <c r="R54" i="427" s="1"/>
  <c r="T54" i="427" s="1"/>
  <c r="P54" i="427"/>
  <c r="AG31" i="427"/>
  <c r="U31" i="427"/>
  <c r="AG13" i="427"/>
  <c r="U13" i="427"/>
  <c r="AG23" i="427"/>
  <c r="U23" i="427"/>
  <c r="AG26" i="427"/>
  <c r="U26" i="427"/>
  <c r="T129" i="427"/>
  <c r="AH83" i="427"/>
  <c r="AE112" i="427"/>
  <c r="AF112" i="427" s="1"/>
  <c r="AH112" i="427" s="1"/>
  <c r="U112" i="427"/>
  <c r="U96" i="427"/>
  <c r="AG96" i="427"/>
  <c r="U47" i="427"/>
  <c r="AG47" i="427"/>
  <c r="AG91" i="427"/>
  <c r="AG22" i="427"/>
  <c r="U22" i="427"/>
  <c r="U11" i="427"/>
  <c r="AG11" i="427"/>
  <c r="AG110" i="427"/>
  <c r="U110" i="427"/>
  <c r="AG64" i="427"/>
  <c r="U64" i="427"/>
  <c r="AG135" i="427"/>
  <c r="U135" i="427"/>
  <c r="N115" i="427"/>
  <c r="P83" i="427"/>
  <c r="P115" i="427" s="1"/>
  <c r="Q83" i="427"/>
  <c r="U44" i="427"/>
  <c r="AG44" i="427"/>
  <c r="U57" i="427"/>
  <c r="AG57" i="427"/>
  <c r="Q38" i="427"/>
  <c r="R38" i="427" s="1"/>
  <c r="T38" i="427" s="1"/>
  <c r="P38" i="427"/>
  <c r="U29" i="427"/>
  <c r="AG29" i="427"/>
  <c r="T151" i="427"/>
  <c r="R153" i="427"/>
  <c r="R120" i="427"/>
  <c r="T119" i="427"/>
  <c r="AG65" i="427"/>
  <c r="U65" i="427"/>
  <c r="AG87" i="427"/>
  <c r="U87" i="427"/>
  <c r="U108" i="427"/>
  <c r="AG108" i="427"/>
  <c r="AG66" i="427"/>
  <c r="U66" i="427"/>
  <c r="AG104" i="427"/>
  <c r="AG92" i="427"/>
  <c r="U92" i="427"/>
  <c r="AG39" i="427"/>
  <c r="U39" i="427"/>
  <c r="AG40" i="427"/>
  <c r="U40" i="427"/>
  <c r="U55" i="427"/>
  <c r="AG55" i="427"/>
  <c r="AG15" i="427"/>
  <c r="U15" i="427"/>
  <c r="AG19" i="427"/>
  <c r="U19" i="427"/>
  <c r="AG68" i="427"/>
  <c r="U68" i="427"/>
  <c r="AT155" i="427"/>
  <c r="AG125" i="427"/>
  <c r="U125" i="427"/>
  <c r="U62" i="427"/>
  <c r="AG62" i="427"/>
  <c r="AF80" i="427"/>
  <c r="AG67" i="427"/>
  <c r="U67" i="427"/>
  <c r="AG84" i="427"/>
  <c r="U84" i="427"/>
  <c r="C34" i="427"/>
  <c r="C37" i="427" s="1"/>
  <c r="AE34" i="427"/>
  <c r="AE35" i="427" s="1"/>
  <c r="AF32" i="427"/>
  <c r="AG106" i="427"/>
  <c r="U106" i="427"/>
  <c r="U114" i="427"/>
  <c r="AE114" i="427"/>
  <c r="AF114" i="427" s="1"/>
  <c r="AH114" i="427" s="1"/>
  <c r="AG102" i="427"/>
  <c r="U102" i="427"/>
  <c r="AG89" i="427"/>
  <c r="U89" i="427"/>
  <c r="U63" i="427"/>
  <c r="AG63" i="427"/>
  <c r="AG71" i="427"/>
  <c r="U71" i="427"/>
  <c r="AG73" i="427"/>
  <c r="U73" i="427"/>
  <c r="R8" i="427"/>
  <c r="Q34" i="427"/>
  <c r="AE105" i="427"/>
  <c r="AF105" i="427" s="1"/>
  <c r="AH105" i="427" s="1"/>
  <c r="U105" i="427"/>
  <c r="AG51" i="427"/>
  <c r="U51" i="427"/>
  <c r="N80" i="427"/>
  <c r="AG27" i="427"/>
  <c r="U27" i="427"/>
  <c r="AG25" i="427"/>
  <c r="U25" i="427"/>
  <c r="U88" i="427"/>
  <c r="AG88" i="427"/>
  <c r="N131" i="427"/>
  <c r="U136" i="427"/>
  <c r="AG136" i="427"/>
  <c r="AG124" i="427"/>
  <c r="U124" i="427"/>
  <c r="AG101" i="427"/>
  <c r="U101" i="427"/>
  <c r="AG99" i="427"/>
  <c r="U99" i="427"/>
  <c r="AG72" i="427"/>
  <c r="U72" i="427"/>
  <c r="P34" i="427"/>
  <c r="P126" i="427"/>
  <c r="AG17" i="427"/>
  <c r="U17" i="427"/>
  <c r="AG10" i="427"/>
  <c r="U10" i="427"/>
  <c r="AG24" i="427"/>
  <c r="U24" i="427"/>
  <c r="P12" i="97" l="1"/>
  <c r="R146" i="432"/>
  <c r="U100" i="427"/>
  <c r="R53" i="442"/>
  <c r="R54" i="442" s="1"/>
  <c r="R61" i="431"/>
  <c r="R62" i="431" s="1"/>
  <c r="R53" i="410"/>
  <c r="R54" i="410" s="1"/>
  <c r="AG70" i="427"/>
  <c r="U70" i="427"/>
  <c r="N155" i="427"/>
  <c r="AG20" i="427"/>
  <c r="AF116" i="427"/>
  <c r="U76" i="427"/>
  <c r="AG76" i="427"/>
  <c r="AG114" i="427"/>
  <c r="P155" i="427"/>
  <c r="AG105" i="427"/>
  <c r="T153" i="427"/>
  <c r="AG151" i="427"/>
  <c r="AG153" i="427" s="1"/>
  <c r="U151" i="427"/>
  <c r="U153" i="427" s="1"/>
  <c r="R130" i="427"/>
  <c r="Q131" i="427"/>
  <c r="R80" i="427"/>
  <c r="AE115" i="427"/>
  <c r="AG54" i="427"/>
  <c r="U54" i="427"/>
  <c r="R138" i="427"/>
  <c r="T134" i="427"/>
  <c r="AG37" i="427"/>
  <c r="U37" i="427"/>
  <c r="T80" i="427"/>
  <c r="C38" i="427"/>
  <c r="C39" i="427" s="1"/>
  <c r="C40" i="427" s="1"/>
  <c r="C41" i="427" s="1"/>
  <c r="C42" i="427" s="1"/>
  <c r="C43" i="427" s="1"/>
  <c r="C44" i="427" s="1"/>
  <c r="C45" i="427" s="1"/>
  <c r="C46" i="427" s="1"/>
  <c r="C47" i="427" s="1"/>
  <c r="C48" i="427" s="1"/>
  <c r="C49" i="427" s="1"/>
  <c r="C50" i="427" s="1"/>
  <c r="C51" i="427" s="1"/>
  <c r="C52" i="427" s="1"/>
  <c r="C53" i="427" s="1"/>
  <c r="C54" i="427" s="1"/>
  <c r="C55" i="427" s="1"/>
  <c r="C56" i="427" s="1"/>
  <c r="C57" i="427" s="1"/>
  <c r="C58" i="427" s="1"/>
  <c r="C59" i="427" s="1"/>
  <c r="C60" i="427" s="1"/>
  <c r="C61" i="427" s="1"/>
  <c r="C62" i="427" s="1"/>
  <c r="C63" i="427" s="1"/>
  <c r="C64" i="427" s="1"/>
  <c r="C65" i="427" s="1"/>
  <c r="C66" i="427" s="1"/>
  <c r="C67" i="427" s="1"/>
  <c r="C68" i="427" s="1"/>
  <c r="C69" i="427" s="1"/>
  <c r="C70" i="427" s="1"/>
  <c r="C71" i="427" s="1"/>
  <c r="C72" i="427" s="1"/>
  <c r="C73" i="427" s="1"/>
  <c r="C74" i="427" s="1"/>
  <c r="C75" i="427" s="1"/>
  <c r="C76" i="427" s="1"/>
  <c r="C77" i="427" s="1"/>
  <c r="C78" i="427" s="1"/>
  <c r="C79" i="427" s="1"/>
  <c r="C83" i="427" s="1"/>
  <c r="Q80" i="427"/>
  <c r="Q115" i="427"/>
  <c r="R83" i="427"/>
  <c r="AG112" i="427"/>
  <c r="AG38" i="427"/>
  <c r="U38" i="427"/>
  <c r="AH115" i="427"/>
  <c r="T8" i="427"/>
  <c r="R34" i="427"/>
  <c r="R126" i="427"/>
  <c r="T123" i="427"/>
  <c r="AH32" i="427"/>
  <c r="AH34" i="427" s="1"/>
  <c r="AG32" i="427"/>
  <c r="AF34" i="427"/>
  <c r="AG119" i="427"/>
  <c r="AG120" i="427" s="1"/>
  <c r="U120" i="427"/>
  <c r="T120" i="427"/>
  <c r="AF115" i="427"/>
  <c r="AG129" i="427"/>
  <c r="U129" i="427"/>
  <c r="AF155" i="427" l="1"/>
  <c r="U80" i="427"/>
  <c r="Q155" i="427"/>
  <c r="AG80" i="427"/>
  <c r="T130" i="427"/>
  <c r="R131" i="427"/>
  <c r="R155" i="427" s="1"/>
  <c r="AG123" i="427"/>
  <c r="AG126" i="427" s="1"/>
  <c r="U123" i="427"/>
  <c r="U126" i="427" s="1"/>
  <c r="T126" i="427"/>
  <c r="R115" i="427"/>
  <c r="T83" i="427"/>
  <c r="AG134" i="427"/>
  <c r="AG138" i="427" s="1"/>
  <c r="U134" i="427"/>
  <c r="U138" i="427" s="1"/>
  <c r="T138" i="427"/>
  <c r="T34" i="427"/>
  <c r="AG8" i="427"/>
  <c r="AG34" i="427" s="1"/>
  <c r="U8" i="427"/>
  <c r="U34" i="427" s="1"/>
  <c r="C84" i="427"/>
  <c r="C85" i="427" s="1"/>
  <c r="C86" i="427" s="1"/>
  <c r="C87" i="427" s="1"/>
  <c r="C88" i="427" s="1"/>
  <c r="C89" i="427" s="1"/>
  <c r="C90" i="427" s="1"/>
  <c r="C91" i="427" s="1"/>
  <c r="C92" i="427" s="1"/>
  <c r="C93" i="427" s="1"/>
  <c r="C94" i="427" s="1"/>
  <c r="C95" i="427" s="1"/>
  <c r="C96" i="427" s="1"/>
  <c r="C97" i="427" s="1"/>
  <c r="C98" i="427" s="1"/>
  <c r="C99" i="427" s="1"/>
  <c r="AH155" i="427"/>
  <c r="D25" i="40" s="1"/>
  <c r="J25" i="40" s="1"/>
  <c r="C80" i="427"/>
  <c r="AE116" i="427"/>
  <c r="AE155" i="427"/>
  <c r="R127" i="433" l="1"/>
  <c r="R103" i="429"/>
  <c r="T115" i="427"/>
  <c r="AG83" i="427"/>
  <c r="AG115" i="427" s="1"/>
  <c r="U83" i="427"/>
  <c r="U115" i="427" s="1"/>
  <c r="C103" i="427"/>
  <c r="C104" i="427" s="1"/>
  <c r="C105" i="427" s="1"/>
  <c r="C106" i="427" s="1"/>
  <c r="C107" i="427" s="1"/>
  <c r="C108" i="427" s="1"/>
  <c r="C109" i="427" s="1"/>
  <c r="C110" i="427" s="1"/>
  <c r="C111" i="427" s="1"/>
  <c r="C112" i="427" s="1"/>
  <c r="C113" i="427" s="1"/>
  <c r="C114" i="427" s="1"/>
  <c r="C119" i="427" s="1"/>
  <c r="C100" i="427"/>
  <c r="U130" i="427"/>
  <c r="U131" i="427" s="1"/>
  <c r="U155" i="427" s="1"/>
  <c r="AG130" i="427"/>
  <c r="AG131" i="427" s="1"/>
  <c r="T131" i="427"/>
  <c r="AG155" i="427" l="1"/>
  <c r="C124" i="427"/>
  <c r="C120" i="427"/>
  <c r="C101" i="427"/>
  <c r="C102" i="427"/>
  <c r="C115" i="427" s="1"/>
  <c r="T155" i="427"/>
  <c r="C134" i="427" l="1"/>
  <c r="C126" i="427"/>
  <c r="C135" i="427" l="1"/>
  <c r="C136" i="427" s="1"/>
  <c r="C137" i="427" s="1"/>
  <c r="C151" i="427" s="1"/>
  <c r="C138" i="427" l="1"/>
  <c r="C152" i="427"/>
  <c r="C153" i="427"/>
  <c r="C155" i="427" l="1"/>
  <c r="AW133" i="416" l="1"/>
  <c r="Z17" i="426"/>
  <c r="AU17" i="425"/>
  <c r="AV14" i="424"/>
  <c r="AU14" i="424"/>
  <c r="AS16" i="426" s="1"/>
  <c r="AV20" i="422"/>
  <c r="AT14" i="426" s="1"/>
  <c r="AU20" i="422"/>
  <c r="AS14" i="426" s="1"/>
  <c r="AT13" i="426"/>
  <c r="AS12" i="426"/>
  <c r="AT12" i="426"/>
  <c r="AV18" i="418"/>
  <c r="AT10" i="426" s="1"/>
  <c r="A122" i="426"/>
  <c r="A125" i="426" s="1"/>
  <c r="BA17" i="425"/>
  <c r="BB17" i="425"/>
  <c r="BC17" i="425"/>
  <c r="BD17" i="425"/>
  <c r="BH17" i="425"/>
  <c r="BI17" i="425"/>
  <c r="BJ17" i="425"/>
  <c r="BK17" i="425"/>
  <c r="BL17" i="425"/>
  <c r="BG14" i="424"/>
  <c r="BI14" i="424"/>
  <c r="BG16" i="426" s="1"/>
  <c r="BJ14" i="424"/>
  <c r="BK14" i="424"/>
  <c r="BL14" i="424"/>
  <c r="BB21" i="423"/>
  <c r="AZ15" i="426" s="1"/>
  <c r="BC21" i="423"/>
  <c r="BA15" i="426" s="1"/>
  <c r="BD21" i="423"/>
  <c r="BB15" i="426" s="1"/>
  <c r="BH21" i="423"/>
  <c r="BF15" i="426" s="1"/>
  <c r="BJ21" i="423"/>
  <c r="BH15" i="426" s="1"/>
  <c r="BK21" i="423"/>
  <c r="BI15" i="426" s="1"/>
  <c r="BL21" i="423"/>
  <c r="BJ15" i="426" s="1"/>
  <c r="BG20" i="422"/>
  <c r="BE14" i="426" s="1"/>
  <c r="BI20" i="422"/>
  <c r="BG14" i="426" s="1"/>
  <c r="BJ20" i="422"/>
  <c r="BH14" i="426" s="1"/>
  <c r="BK20" i="422"/>
  <c r="BI14" i="426" s="1"/>
  <c r="BL20" i="422"/>
  <c r="BJ14" i="426" s="1"/>
  <c r="AZ16" i="421"/>
  <c r="AX13" i="426" s="1"/>
  <c r="BA16" i="421"/>
  <c r="AY13" i="426" s="1"/>
  <c r="BB16" i="421"/>
  <c r="AZ13" i="426" s="1"/>
  <c r="BC16" i="421"/>
  <c r="BA13" i="426" s="1"/>
  <c r="BD16" i="421"/>
  <c r="BB13" i="426" s="1"/>
  <c r="BH16" i="421"/>
  <c r="BF13" i="426" s="1"/>
  <c r="BI16" i="421"/>
  <c r="BG13" i="426" s="1"/>
  <c r="BJ16" i="421"/>
  <c r="BH13" i="426" s="1"/>
  <c r="BK16" i="421"/>
  <c r="BI13" i="426" s="1"/>
  <c r="BL16" i="421"/>
  <c r="BJ13" i="426" s="1"/>
  <c r="BA9" i="420"/>
  <c r="AY12" i="426" s="1"/>
  <c r="BB9" i="420"/>
  <c r="AZ12" i="426" s="1"/>
  <c r="BC9" i="420"/>
  <c r="BA12" i="426" s="1"/>
  <c r="BD9" i="420"/>
  <c r="BB12" i="426" s="1"/>
  <c r="BG9" i="420"/>
  <c r="BE12" i="426" s="1"/>
  <c r="BI9" i="420"/>
  <c r="BG12" i="426" s="1"/>
  <c r="BJ9" i="420"/>
  <c r="BH12" i="426" s="1"/>
  <c r="BK9" i="420"/>
  <c r="BI12" i="426" s="1"/>
  <c r="BL9" i="420"/>
  <c r="BJ12" i="426" s="1"/>
  <c r="BA17" i="419"/>
  <c r="AY11" i="426" s="1"/>
  <c r="BB17" i="419"/>
  <c r="AZ11" i="426" s="1"/>
  <c r="BC17" i="419"/>
  <c r="BA11" i="426" s="1"/>
  <c r="BD17" i="419"/>
  <c r="BB11" i="426" s="1"/>
  <c r="BG17" i="419"/>
  <c r="BE11" i="426" s="1"/>
  <c r="BI17" i="419"/>
  <c r="BG11" i="426" s="1"/>
  <c r="BJ17" i="419"/>
  <c r="BH11" i="426" s="1"/>
  <c r="BK17" i="419"/>
  <c r="BI11" i="426" s="1"/>
  <c r="BL17" i="419"/>
  <c r="BJ11" i="426" s="1"/>
  <c r="AY18" i="418"/>
  <c r="AW10" i="426" s="1"/>
  <c r="BA18" i="418"/>
  <c r="AY10" i="426" s="1"/>
  <c r="BB18" i="418"/>
  <c r="AZ10" i="426" s="1"/>
  <c r="BC18" i="418"/>
  <c r="BA10" i="426" s="1"/>
  <c r="BG18" i="418"/>
  <c r="BE10" i="426" s="1"/>
  <c r="BI18" i="418"/>
  <c r="BG10" i="426" s="1"/>
  <c r="BJ18" i="418"/>
  <c r="BH10" i="426" s="1"/>
  <c r="BK18" i="418"/>
  <c r="BI10" i="426" s="1"/>
  <c r="BL18" i="418"/>
  <c r="BJ10" i="426" s="1"/>
  <c r="BM18" i="418"/>
  <c r="BN18" i="418"/>
  <c r="BI16" i="426" l="1"/>
  <c r="BH16" i="426"/>
  <c r="BJ16" i="426"/>
  <c r="BL81" i="417"/>
  <c r="BL116" i="417" s="1"/>
  <c r="BJ9" i="426" s="1"/>
  <c r="BC116" i="417"/>
  <c r="BA9" i="426" s="1"/>
  <c r="BD116" i="417"/>
  <c r="BB9" i="426" s="1"/>
  <c r="BG116" i="417"/>
  <c r="BE9" i="426" s="1"/>
  <c r="BI116" i="417"/>
  <c r="BG9" i="426" s="1"/>
  <c r="BJ116" i="417"/>
  <c r="BH9" i="426" s="1"/>
  <c r="BK116" i="417"/>
  <c r="BI9" i="426" s="1"/>
  <c r="BL125" i="416"/>
  <c r="BL121" i="416"/>
  <c r="BL118" i="416"/>
  <c r="BH118" i="416"/>
  <c r="BH134" i="416" s="1"/>
  <c r="BF8" i="426" s="1"/>
  <c r="BI118" i="416"/>
  <c r="BI134" i="416" s="1"/>
  <c r="BG8" i="426" s="1"/>
  <c r="BJ118" i="416"/>
  <c r="BK118" i="416"/>
  <c r="BH133" i="416"/>
  <c r="BI133" i="416"/>
  <c r="BJ133" i="416"/>
  <c r="BK133" i="416"/>
  <c r="AZ66" i="415"/>
  <c r="AX7" i="426" s="1"/>
  <c r="BA66" i="415"/>
  <c r="AY7" i="426" s="1"/>
  <c r="BB66" i="415"/>
  <c r="AZ7" i="426" s="1"/>
  <c r="BC66" i="415"/>
  <c r="BA7" i="426" s="1"/>
  <c r="BD66" i="415"/>
  <c r="BB7" i="426" s="1"/>
  <c r="BH66" i="415"/>
  <c r="BF7" i="426" s="1"/>
  <c r="BI66" i="415"/>
  <c r="BG7" i="426" s="1"/>
  <c r="BJ66" i="415"/>
  <c r="BH7" i="426" s="1"/>
  <c r="BK66" i="415"/>
  <c r="BI7" i="426" s="1"/>
  <c r="BL66" i="415"/>
  <c r="BJ7" i="426" s="1"/>
  <c r="AZ17" i="425"/>
  <c r="AV17" i="425"/>
  <c r="AT16" i="426" s="1"/>
  <c r="AT17" i="425"/>
  <c r="AS17" i="425"/>
  <c r="AR17" i="425"/>
  <c r="AQ17" i="425"/>
  <c r="AP17" i="425"/>
  <c r="AM17" i="425"/>
  <c r="AL17" i="425"/>
  <c r="AI17" i="425"/>
  <c r="AH17" i="425"/>
  <c r="AG17" i="425"/>
  <c r="AF17" i="425"/>
  <c r="AE17" i="425"/>
  <c r="AD17" i="425"/>
  <c r="AC17" i="425"/>
  <c r="AB17" i="425"/>
  <c r="AA17" i="425"/>
  <c r="Z17" i="425"/>
  <c r="Y17" i="425"/>
  <c r="X17" i="425"/>
  <c r="R17" i="425"/>
  <c r="I17" i="425"/>
  <c r="H17" i="425"/>
  <c r="G17" i="425"/>
  <c r="E17" i="425"/>
  <c r="AJ16" i="425"/>
  <c r="S16" i="425"/>
  <c r="K16" i="425"/>
  <c r="L16" i="425" s="1"/>
  <c r="P16" i="425" s="1"/>
  <c r="D16" i="425"/>
  <c r="F16" i="425" s="1"/>
  <c r="AJ15" i="425"/>
  <c r="S15" i="425"/>
  <c r="N15" i="425"/>
  <c r="K15" i="425"/>
  <c r="L15" i="425" s="1"/>
  <c r="P15" i="425" s="1"/>
  <c r="F15" i="425"/>
  <c r="AJ14" i="425"/>
  <c r="W14" i="425"/>
  <c r="W17" i="425" s="1"/>
  <c r="S14" i="425"/>
  <c r="K14" i="425"/>
  <c r="L14" i="425" s="1"/>
  <c r="P14" i="425" s="1"/>
  <c r="F14" i="425"/>
  <c r="AJ13" i="425"/>
  <c r="S13" i="425"/>
  <c r="K13" i="425"/>
  <c r="L13" i="425" s="1"/>
  <c r="P13" i="425" s="1"/>
  <c r="D13" i="425"/>
  <c r="F13" i="425" s="1"/>
  <c r="AJ12" i="425"/>
  <c r="S12" i="425"/>
  <c r="K12" i="425"/>
  <c r="L12" i="425" s="1"/>
  <c r="P12" i="425" s="1"/>
  <c r="F12" i="425"/>
  <c r="AJ11" i="425"/>
  <c r="S11" i="425"/>
  <c r="K11" i="425"/>
  <c r="L11" i="425" s="1"/>
  <c r="P11" i="425" s="1"/>
  <c r="D11" i="425"/>
  <c r="F11" i="425" s="1"/>
  <c r="AJ10" i="425"/>
  <c r="Q10" i="425"/>
  <c r="Q17" i="425" s="1"/>
  <c r="K10" i="425"/>
  <c r="L10" i="425" s="1"/>
  <c r="D10" i="425"/>
  <c r="F10" i="425" s="1"/>
  <c r="AJ9" i="425"/>
  <c r="S9" i="425"/>
  <c r="K9" i="425"/>
  <c r="L9" i="425" s="1"/>
  <c r="P9" i="425" s="1"/>
  <c r="D9" i="425"/>
  <c r="F9" i="425" s="1"/>
  <c r="AJ8" i="425"/>
  <c r="S8" i="425"/>
  <c r="N8" i="425"/>
  <c r="J8" i="425"/>
  <c r="K8" i="425" s="1"/>
  <c r="L8" i="425" s="1"/>
  <c r="D8" i="425"/>
  <c r="F8" i="425" s="1"/>
  <c r="AJ7" i="425"/>
  <c r="S7" i="425"/>
  <c r="N7" i="425"/>
  <c r="J7" i="425"/>
  <c r="D7" i="425"/>
  <c r="A7" i="425"/>
  <c r="AJ6" i="425"/>
  <c r="S6" i="425"/>
  <c r="K6" i="425"/>
  <c r="L6" i="425" s="1"/>
  <c r="F6" i="425"/>
  <c r="BD14" i="424"/>
  <c r="BB16" i="426" s="1"/>
  <c r="BC14" i="424"/>
  <c r="BA16" i="426" s="1"/>
  <c r="BB14" i="424"/>
  <c r="AZ16" i="426" s="1"/>
  <c r="BA14" i="424"/>
  <c r="AY16" i="426" s="1"/>
  <c r="AZ14" i="424"/>
  <c r="AX16" i="426" s="1"/>
  <c r="AX14" i="424"/>
  <c r="AT14" i="424"/>
  <c r="AR16" i="426" s="1"/>
  <c r="AS14" i="424"/>
  <c r="AQ16" i="426" s="1"/>
  <c r="AR14" i="424"/>
  <c r="AQ14" i="424"/>
  <c r="AO16" i="426" s="1"/>
  <c r="AO14" i="424"/>
  <c r="AM14" i="424"/>
  <c r="AK16" i="426" s="1"/>
  <c r="AL14" i="424"/>
  <c r="AI14" i="424"/>
  <c r="AG16" i="426" s="1"/>
  <c r="AH14" i="424"/>
  <c r="AF16" i="426" s="1"/>
  <c r="AG14" i="424"/>
  <c r="AE16" i="426" s="1"/>
  <c r="AF14" i="424"/>
  <c r="AE14" i="424"/>
  <c r="AC16" i="426" s="1"/>
  <c r="AC14" i="424"/>
  <c r="AB14" i="424"/>
  <c r="AA14" i="424"/>
  <c r="Y16" i="426" s="1"/>
  <c r="Z14" i="424"/>
  <c r="X16" i="426" s="1"/>
  <c r="Y14" i="424"/>
  <c r="W16" i="426" s="1"/>
  <c r="X14" i="424"/>
  <c r="W14" i="424"/>
  <c r="R14" i="424"/>
  <c r="P16" i="426" s="1"/>
  <c r="Q14" i="424"/>
  <c r="J14" i="424"/>
  <c r="I14" i="424"/>
  <c r="H14" i="424"/>
  <c r="G14" i="424"/>
  <c r="E16" i="426" s="1"/>
  <c r="E14" i="424"/>
  <c r="C16" i="426" s="1"/>
  <c r="AY13" i="424"/>
  <c r="AJ13" i="424"/>
  <c r="BE13" i="424" s="1"/>
  <c r="BH13" i="424" s="1"/>
  <c r="S13" i="424"/>
  <c r="K13" i="424"/>
  <c r="L13" i="424" s="1"/>
  <c r="F13" i="424"/>
  <c r="AY12" i="424"/>
  <c r="AJ12" i="424"/>
  <c r="BE12" i="424" s="1"/>
  <c r="BH12" i="424" s="1"/>
  <c r="S12" i="424"/>
  <c r="N12" i="424"/>
  <c r="K12" i="424"/>
  <c r="L12" i="424" s="1"/>
  <c r="F12" i="424"/>
  <c r="AY11" i="424"/>
  <c r="AD11" i="424"/>
  <c r="AJ11" i="424" s="1"/>
  <c r="BE11" i="424" s="1"/>
  <c r="BH11" i="424" s="1"/>
  <c r="S11" i="424"/>
  <c r="N11" i="424"/>
  <c r="K11" i="424"/>
  <c r="L11" i="424" s="1"/>
  <c r="P11" i="424" s="1"/>
  <c r="D11" i="424"/>
  <c r="F11" i="424" s="1"/>
  <c r="AY10" i="424"/>
  <c r="AJ10" i="424"/>
  <c r="BE10" i="424" s="1"/>
  <c r="BH10" i="424" s="1"/>
  <c r="S10" i="424"/>
  <c r="N10" i="424"/>
  <c r="K10" i="424"/>
  <c r="L10" i="424" s="1"/>
  <c r="P10" i="424" s="1"/>
  <c r="D10" i="424"/>
  <c r="AY9" i="424"/>
  <c r="AJ9" i="424"/>
  <c r="BE9" i="424" s="1"/>
  <c r="BH9" i="424" s="1"/>
  <c r="S9" i="424"/>
  <c r="K9" i="424"/>
  <c r="L9" i="424" s="1"/>
  <c r="F9" i="424"/>
  <c r="AY8" i="424"/>
  <c r="AJ8" i="424"/>
  <c r="BE8" i="424" s="1"/>
  <c r="BH8" i="424" s="1"/>
  <c r="S8" i="424"/>
  <c r="N8" i="424"/>
  <c r="K8" i="424"/>
  <c r="L8" i="424" s="1"/>
  <c r="P8" i="424" s="1"/>
  <c r="F8" i="424"/>
  <c r="AY7" i="424"/>
  <c r="AJ7" i="424"/>
  <c r="BE7" i="424" s="1"/>
  <c r="BH7" i="424" s="1"/>
  <c r="S7" i="424"/>
  <c r="K7" i="424"/>
  <c r="L7" i="424" s="1"/>
  <c r="P7" i="424" s="1"/>
  <c r="D7" i="424"/>
  <c r="A7" i="424"/>
  <c r="A8" i="424" s="1"/>
  <c r="A9" i="424" s="1"/>
  <c r="A10" i="424" s="1"/>
  <c r="A11" i="424" s="1"/>
  <c r="A12" i="424" s="1"/>
  <c r="A13" i="424" s="1"/>
  <c r="AY6" i="424"/>
  <c r="AJ6" i="424"/>
  <c r="BE6" i="424" s="1"/>
  <c r="S6" i="424"/>
  <c r="N6" i="424"/>
  <c r="K6" i="424"/>
  <c r="L6" i="424" s="1"/>
  <c r="D6" i="424"/>
  <c r="F6" i="424" s="1"/>
  <c r="BA21" i="423"/>
  <c r="AY15" i="426" s="1"/>
  <c r="AZ21" i="423"/>
  <c r="AX15" i="426" s="1"/>
  <c r="AT21" i="423"/>
  <c r="AR15" i="426" s="1"/>
  <c r="AS21" i="423"/>
  <c r="AQ15" i="426" s="1"/>
  <c r="AR21" i="423"/>
  <c r="AP15" i="426" s="1"/>
  <c r="AQ21" i="423"/>
  <c r="AO15" i="426" s="1"/>
  <c r="AP21" i="423"/>
  <c r="AN15" i="426" s="1"/>
  <c r="AM21" i="423"/>
  <c r="AK15" i="426" s="1"/>
  <c r="AL21" i="423"/>
  <c r="AI21" i="423"/>
  <c r="AG15" i="426" s="1"/>
  <c r="AH21" i="423"/>
  <c r="AF15" i="426" s="1"/>
  <c r="AG21" i="423"/>
  <c r="AE15" i="426" s="1"/>
  <c r="AF21" i="423"/>
  <c r="AD15" i="426" s="1"/>
  <c r="AE21" i="423"/>
  <c r="AC15" i="426" s="1"/>
  <c r="AD21" i="423"/>
  <c r="AB15" i="426" s="1"/>
  <c r="AC21" i="423"/>
  <c r="AB21" i="423"/>
  <c r="AA21" i="423"/>
  <c r="Y15" i="426" s="1"/>
  <c r="Z21" i="423"/>
  <c r="X15" i="426" s="1"/>
  <c r="Y21" i="423"/>
  <c r="W15" i="426" s="1"/>
  <c r="X21" i="423"/>
  <c r="V15" i="426" s="1"/>
  <c r="W21" i="423"/>
  <c r="U15" i="426" s="1"/>
  <c r="R21" i="423"/>
  <c r="P15" i="426" s="1"/>
  <c r="Q21" i="423"/>
  <c r="O15" i="426" s="1"/>
  <c r="J21" i="423"/>
  <c r="H15" i="426" s="1"/>
  <c r="I21" i="423"/>
  <c r="G15" i="426" s="1"/>
  <c r="H21" i="423"/>
  <c r="F15" i="426" s="1"/>
  <c r="G21" i="423"/>
  <c r="E15" i="426" s="1"/>
  <c r="E21" i="423"/>
  <c r="C15" i="426" s="1"/>
  <c r="AJ20" i="423"/>
  <c r="S20" i="423"/>
  <c r="K20" i="423"/>
  <c r="L20" i="423" s="1"/>
  <c r="P20" i="423" s="1"/>
  <c r="F20" i="423"/>
  <c r="AJ19" i="423"/>
  <c r="S19" i="423"/>
  <c r="K19" i="423"/>
  <c r="L19" i="423" s="1"/>
  <c r="F19" i="423"/>
  <c r="AJ18" i="423"/>
  <c r="S18" i="423"/>
  <c r="K18" i="423"/>
  <c r="L18" i="423" s="1"/>
  <c r="F18" i="423"/>
  <c r="AJ17" i="423"/>
  <c r="S17" i="423"/>
  <c r="N17" i="423"/>
  <c r="K17" i="423"/>
  <c r="L17" i="423" s="1"/>
  <c r="P17" i="423" s="1"/>
  <c r="D17" i="423"/>
  <c r="F17" i="423" s="1"/>
  <c r="AJ16" i="423"/>
  <c r="S16" i="423"/>
  <c r="K16" i="423"/>
  <c r="L16" i="423" s="1"/>
  <c r="F16" i="423"/>
  <c r="AJ15" i="423"/>
  <c r="S15" i="423"/>
  <c r="K15" i="423"/>
  <c r="L15" i="423" s="1"/>
  <c r="P15" i="423" s="1"/>
  <c r="F15" i="423"/>
  <c r="AJ14" i="423"/>
  <c r="S14" i="423"/>
  <c r="K14" i="423"/>
  <c r="L14" i="423" s="1"/>
  <c r="F14" i="423"/>
  <c r="AJ13" i="423"/>
  <c r="S13" i="423"/>
  <c r="K13" i="423"/>
  <c r="L13" i="423" s="1"/>
  <c r="F13" i="423"/>
  <c r="AJ12" i="423"/>
  <c r="S12" i="423"/>
  <c r="K12" i="423"/>
  <c r="L12" i="423" s="1"/>
  <c r="F12" i="423"/>
  <c r="AJ11" i="423"/>
  <c r="S11" i="423"/>
  <c r="K11" i="423"/>
  <c r="L11" i="423" s="1"/>
  <c r="P11" i="423" s="1"/>
  <c r="F11" i="423"/>
  <c r="AJ10" i="423"/>
  <c r="S10" i="423"/>
  <c r="N10" i="423"/>
  <c r="K10" i="423"/>
  <c r="L10" i="423" s="1"/>
  <c r="P10" i="423" s="1"/>
  <c r="F10" i="423"/>
  <c r="AJ9" i="423"/>
  <c r="S9" i="423"/>
  <c r="N9" i="423"/>
  <c r="K9" i="423"/>
  <c r="L9" i="423" s="1"/>
  <c r="P9" i="423" s="1"/>
  <c r="F9" i="423"/>
  <c r="AJ8" i="423"/>
  <c r="S8" i="423"/>
  <c r="N8" i="423"/>
  <c r="K8" i="423"/>
  <c r="L8" i="423" s="1"/>
  <c r="F8" i="423"/>
  <c r="AJ7" i="423"/>
  <c r="S7" i="423"/>
  <c r="K7" i="423"/>
  <c r="L7" i="423" s="1"/>
  <c r="F7" i="423"/>
  <c r="A7" i="423"/>
  <c r="A8" i="423" s="1"/>
  <c r="A9" i="423" s="1"/>
  <c r="A10" i="423" s="1"/>
  <c r="A11" i="423" s="1"/>
  <c r="A12" i="423" s="1"/>
  <c r="A13" i="423" s="1"/>
  <c r="A14" i="423" s="1"/>
  <c r="A15" i="423" s="1"/>
  <c r="A16" i="423" s="1"/>
  <c r="A17" i="423" s="1"/>
  <c r="A18" i="423" s="1"/>
  <c r="A19" i="423" s="1"/>
  <c r="A20" i="423" s="1"/>
  <c r="AJ6" i="423"/>
  <c r="S6" i="423"/>
  <c r="K6" i="423"/>
  <c r="L6" i="423" s="1"/>
  <c r="F6" i="423"/>
  <c r="BD20" i="422"/>
  <c r="BB14" i="426" s="1"/>
  <c r="BC20" i="422"/>
  <c r="BA14" i="426" s="1"/>
  <c r="BB20" i="422"/>
  <c r="AZ14" i="426" s="1"/>
  <c r="BA20" i="422"/>
  <c r="AY14" i="426" s="1"/>
  <c r="AY20" i="422"/>
  <c r="AW14" i="426" s="1"/>
  <c r="AW20" i="422"/>
  <c r="AU14" i="426" s="1"/>
  <c r="AT20" i="422"/>
  <c r="AR14" i="426" s="1"/>
  <c r="AS20" i="422"/>
  <c r="AQ14" i="426" s="1"/>
  <c r="AR20" i="422"/>
  <c r="AP14" i="426" s="1"/>
  <c r="AQ20" i="422"/>
  <c r="AO14" i="426" s="1"/>
  <c r="AO20" i="422"/>
  <c r="AM14" i="426" s="1"/>
  <c r="AM20" i="422"/>
  <c r="AK14" i="426" s="1"/>
  <c r="AL20" i="422"/>
  <c r="AI20" i="422"/>
  <c r="AG14" i="426" s="1"/>
  <c r="AH20" i="422"/>
  <c r="AF14" i="426" s="1"/>
  <c r="AG20" i="422"/>
  <c r="AE14" i="426" s="1"/>
  <c r="AF20" i="422"/>
  <c r="AD14" i="426" s="1"/>
  <c r="AE20" i="422"/>
  <c r="AC14" i="426" s="1"/>
  <c r="AD20" i="422"/>
  <c r="AB14" i="426" s="1"/>
  <c r="AC20" i="422"/>
  <c r="AB20" i="422"/>
  <c r="AA20" i="422"/>
  <c r="Y14" i="426" s="1"/>
  <c r="Z20" i="422"/>
  <c r="X14" i="426" s="1"/>
  <c r="Y20" i="422"/>
  <c r="W14" i="426" s="1"/>
  <c r="X20" i="422"/>
  <c r="V14" i="426" s="1"/>
  <c r="R20" i="422"/>
  <c r="P14" i="426" s="1"/>
  <c r="Q20" i="422"/>
  <c r="O14" i="426" s="1"/>
  <c r="J20" i="422"/>
  <c r="H14" i="426" s="1"/>
  <c r="I20" i="422"/>
  <c r="G14" i="426" s="1"/>
  <c r="H20" i="422"/>
  <c r="F14" i="426" s="1"/>
  <c r="G20" i="422"/>
  <c r="E14" i="426" s="1"/>
  <c r="E20" i="422"/>
  <c r="C14" i="426" s="1"/>
  <c r="AJ19" i="422"/>
  <c r="S19" i="422"/>
  <c r="K19" i="422"/>
  <c r="L19" i="422" s="1"/>
  <c r="F19" i="422"/>
  <c r="AJ18" i="422"/>
  <c r="S18" i="422"/>
  <c r="N18" i="422"/>
  <c r="K18" i="422"/>
  <c r="L18" i="422" s="1"/>
  <c r="D18" i="422"/>
  <c r="F18" i="422" s="1"/>
  <c r="AJ17" i="422"/>
  <c r="S17" i="422"/>
  <c r="N17" i="422"/>
  <c r="K17" i="422"/>
  <c r="L17" i="422" s="1"/>
  <c r="P17" i="422" s="1"/>
  <c r="D17" i="422"/>
  <c r="AJ16" i="422"/>
  <c r="S16" i="422"/>
  <c r="N16" i="422"/>
  <c r="K16" i="422"/>
  <c r="L16" i="422" s="1"/>
  <c r="D16" i="422"/>
  <c r="F16" i="422" s="1"/>
  <c r="AJ15" i="422"/>
  <c r="S15" i="422"/>
  <c r="K15" i="422"/>
  <c r="L15" i="422" s="1"/>
  <c r="F15" i="422"/>
  <c r="AJ14" i="422"/>
  <c r="S14" i="422"/>
  <c r="N14" i="422"/>
  <c r="K14" i="422"/>
  <c r="L14" i="422" s="1"/>
  <c r="P14" i="422" s="1"/>
  <c r="D14" i="422"/>
  <c r="F14" i="422" s="1"/>
  <c r="AJ13" i="422"/>
  <c r="S13" i="422"/>
  <c r="N13" i="422"/>
  <c r="K13" i="422"/>
  <c r="L13" i="422" s="1"/>
  <c r="D13" i="422"/>
  <c r="F13" i="422" s="1"/>
  <c r="AJ12" i="422"/>
  <c r="S12" i="422"/>
  <c r="K12" i="422"/>
  <c r="L12" i="422" s="1"/>
  <c r="F12" i="422"/>
  <c r="AJ11" i="422"/>
  <c r="S11" i="422"/>
  <c r="N11" i="422"/>
  <c r="K11" i="422"/>
  <c r="L11" i="422" s="1"/>
  <c r="F11" i="422"/>
  <c r="AJ10" i="422"/>
  <c r="S10" i="422"/>
  <c r="N10" i="422"/>
  <c r="K10" i="422"/>
  <c r="L10" i="422" s="1"/>
  <c r="P10" i="422" s="1"/>
  <c r="D10" i="422"/>
  <c r="AJ9" i="422"/>
  <c r="S9" i="422"/>
  <c r="N9" i="422"/>
  <c r="K9" i="422"/>
  <c r="L9" i="422" s="1"/>
  <c r="P9" i="422" s="1"/>
  <c r="D9" i="422"/>
  <c r="F9" i="422" s="1"/>
  <c r="AJ8" i="422"/>
  <c r="S8" i="422"/>
  <c r="K8" i="422"/>
  <c r="L8" i="422" s="1"/>
  <c r="F8" i="422"/>
  <c r="AJ7" i="422"/>
  <c r="S7" i="422"/>
  <c r="N7" i="422"/>
  <c r="K7" i="422"/>
  <c r="L7" i="422" s="1"/>
  <c r="F7" i="422"/>
  <c r="A7" i="422"/>
  <c r="A8" i="422" s="1"/>
  <c r="A9" i="422" s="1"/>
  <c r="AJ6" i="422"/>
  <c r="S6" i="422"/>
  <c r="N6" i="422"/>
  <c r="K6" i="422"/>
  <c r="L6" i="422" s="1"/>
  <c r="F6" i="422"/>
  <c r="AW16" i="421"/>
  <c r="AU13" i="426" s="1"/>
  <c r="AU16" i="421"/>
  <c r="AS13" i="426" s="1"/>
  <c r="AT16" i="421"/>
  <c r="AR13" i="426" s="1"/>
  <c r="AS16" i="421"/>
  <c r="AQ13" i="426" s="1"/>
  <c r="AR16" i="421"/>
  <c r="AP13" i="426" s="1"/>
  <c r="AQ16" i="421"/>
  <c r="AO13" i="426" s="1"/>
  <c r="AP16" i="421"/>
  <c r="AN13" i="426" s="1"/>
  <c r="AM16" i="421"/>
  <c r="AK13" i="426" s="1"/>
  <c r="AL16" i="421"/>
  <c r="AI16" i="421"/>
  <c r="AG13" i="426" s="1"/>
  <c r="AH16" i="421"/>
  <c r="AF13" i="426" s="1"/>
  <c r="AG16" i="421"/>
  <c r="AE13" i="426" s="1"/>
  <c r="AF16" i="421"/>
  <c r="AD13" i="426" s="1"/>
  <c r="AE16" i="421"/>
  <c r="AC13" i="426" s="1"/>
  <c r="AD16" i="421"/>
  <c r="AB13" i="426" s="1"/>
  <c r="AC16" i="421"/>
  <c r="AB16" i="421"/>
  <c r="AA16" i="421"/>
  <c r="Y13" i="426" s="1"/>
  <c r="Z16" i="421"/>
  <c r="X13" i="426" s="1"/>
  <c r="Y16" i="421"/>
  <c r="W13" i="426" s="1"/>
  <c r="X16" i="421"/>
  <c r="V13" i="426" s="1"/>
  <c r="W16" i="421"/>
  <c r="U13" i="426" s="1"/>
  <c r="R16" i="421"/>
  <c r="P13" i="426" s="1"/>
  <c r="Q16" i="421"/>
  <c r="O13" i="426" s="1"/>
  <c r="J16" i="421"/>
  <c r="H13" i="426" s="1"/>
  <c r="I16" i="421"/>
  <c r="G13" i="426" s="1"/>
  <c r="H16" i="421"/>
  <c r="F13" i="426" s="1"/>
  <c r="G16" i="421"/>
  <c r="E13" i="426" s="1"/>
  <c r="E16" i="421"/>
  <c r="C13" i="426" s="1"/>
  <c r="AJ15" i="421"/>
  <c r="N15" i="421"/>
  <c r="O15" i="421" s="1"/>
  <c r="F15" i="421"/>
  <c r="AJ14" i="421"/>
  <c r="N14" i="421"/>
  <c r="U14" i="421" s="1"/>
  <c r="F14" i="421"/>
  <c r="AJ13" i="421"/>
  <c r="N13" i="421"/>
  <c r="U13" i="421" s="1"/>
  <c r="F13" i="421"/>
  <c r="AJ12" i="421"/>
  <c r="S12" i="421"/>
  <c r="K12" i="421"/>
  <c r="L12" i="421" s="1"/>
  <c r="P12" i="421" s="1"/>
  <c r="F12" i="421"/>
  <c r="AJ11" i="421"/>
  <c r="S11" i="421"/>
  <c r="K11" i="421"/>
  <c r="L11" i="421" s="1"/>
  <c r="P11" i="421" s="1"/>
  <c r="F11" i="421"/>
  <c r="AJ10" i="421"/>
  <c r="S10" i="421"/>
  <c r="N10" i="421"/>
  <c r="K10" i="421"/>
  <c r="L10" i="421" s="1"/>
  <c r="F10" i="421"/>
  <c r="AJ9" i="421"/>
  <c r="S9" i="421"/>
  <c r="N9" i="421"/>
  <c r="K9" i="421"/>
  <c r="L9" i="421" s="1"/>
  <c r="P9" i="421" s="1"/>
  <c r="F9" i="421"/>
  <c r="AJ8" i="421"/>
  <c r="S8" i="421"/>
  <c r="N8" i="421"/>
  <c r="K8" i="421"/>
  <c r="L8" i="421" s="1"/>
  <c r="P8" i="421" s="1"/>
  <c r="F8" i="421"/>
  <c r="AJ7" i="421"/>
  <c r="S7" i="421"/>
  <c r="K7" i="421"/>
  <c r="L7" i="421" s="1"/>
  <c r="D7" i="421"/>
  <c r="F7" i="421" s="1"/>
  <c r="A7" i="421"/>
  <c r="AJ6" i="421"/>
  <c r="S6" i="421"/>
  <c r="N6" i="421"/>
  <c r="K6" i="421"/>
  <c r="F6" i="421"/>
  <c r="AY9" i="420"/>
  <c r="AW12" i="426" s="1"/>
  <c r="AW9" i="420"/>
  <c r="AU12" i="426" s="1"/>
  <c r="AT9" i="420"/>
  <c r="AR12" i="426" s="1"/>
  <c r="AS9" i="420"/>
  <c r="AQ12" i="426" s="1"/>
  <c r="AR9" i="420"/>
  <c r="AP12" i="426" s="1"/>
  <c r="AQ9" i="420"/>
  <c r="AO12" i="426" s="1"/>
  <c r="AO9" i="420"/>
  <c r="AM12" i="426" s="1"/>
  <c r="AM9" i="420"/>
  <c r="AK12" i="426" s="1"/>
  <c r="AL9" i="420"/>
  <c r="AJ12" i="426" s="1"/>
  <c r="AI9" i="420"/>
  <c r="AG12" i="426" s="1"/>
  <c r="AH9" i="420"/>
  <c r="AF12" i="426" s="1"/>
  <c r="AG9" i="420"/>
  <c r="AE12" i="426" s="1"/>
  <c r="AF9" i="420"/>
  <c r="AD12" i="426" s="1"/>
  <c r="AE9" i="420"/>
  <c r="AC12" i="426" s="1"/>
  <c r="AD9" i="420"/>
  <c r="AB12" i="426" s="1"/>
  <c r="AC9" i="420"/>
  <c r="AB9" i="420"/>
  <c r="AA9" i="420"/>
  <c r="Y12" i="426" s="1"/>
  <c r="Z9" i="420"/>
  <c r="X12" i="426" s="1"/>
  <c r="Y9" i="420"/>
  <c r="W12" i="426" s="1"/>
  <c r="X9" i="420"/>
  <c r="V12" i="426" s="1"/>
  <c r="V9" i="420"/>
  <c r="T12" i="426" s="1"/>
  <c r="R9" i="420"/>
  <c r="P12" i="426" s="1"/>
  <c r="Q9" i="420"/>
  <c r="O12" i="426" s="1"/>
  <c r="J9" i="420"/>
  <c r="H12" i="426" s="1"/>
  <c r="I9" i="420"/>
  <c r="G12" i="426" s="1"/>
  <c r="H9" i="420"/>
  <c r="F12" i="426" s="1"/>
  <c r="G9" i="420"/>
  <c r="E12" i="426" s="1"/>
  <c r="E9" i="420"/>
  <c r="C12" i="426" s="1"/>
  <c r="A9" i="420"/>
  <c r="A131" i="420" s="1"/>
  <c r="A134" i="420" s="1"/>
  <c r="AJ8" i="420"/>
  <c r="S8" i="420"/>
  <c r="N8" i="420"/>
  <c r="K8" i="420"/>
  <c r="L8" i="420" s="1"/>
  <c r="P8" i="420" s="1"/>
  <c r="D8" i="420"/>
  <c r="F8" i="420" s="1"/>
  <c r="AJ7" i="420"/>
  <c r="S7" i="420"/>
  <c r="K7" i="420"/>
  <c r="L7" i="420" s="1"/>
  <c r="AJ6" i="420"/>
  <c r="S6" i="420"/>
  <c r="N6" i="420"/>
  <c r="K6" i="420"/>
  <c r="D6" i="420"/>
  <c r="D9" i="420" s="1"/>
  <c r="AY17" i="419"/>
  <c r="AW11" i="426" s="1"/>
  <c r="AW17" i="419"/>
  <c r="AU11" i="426" s="1"/>
  <c r="AV17" i="419"/>
  <c r="AT11" i="426" s="1"/>
  <c r="AU17" i="419"/>
  <c r="AS11" i="426" s="1"/>
  <c r="AT17" i="419"/>
  <c r="AR11" i="426" s="1"/>
  <c r="AS17" i="419"/>
  <c r="AQ11" i="426" s="1"/>
  <c r="AR17" i="419"/>
  <c r="AP11" i="426" s="1"/>
  <c r="AQ17" i="419"/>
  <c r="AO11" i="426" s="1"/>
  <c r="AO17" i="419"/>
  <c r="AM11" i="426" s="1"/>
  <c r="AM17" i="419"/>
  <c r="AK11" i="426" s="1"/>
  <c r="AL17" i="419"/>
  <c r="AI17" i="419"/>
  <c r="AG11" i="426" s="1"/>
  <c r="AH17" i="419"/>
  <c r="AF11" i="426" s="1"/>
  <c r="AG17" i="419"/>
  <c r="AE11" i="426" s="1"/>
  <c r="AF17" i="419"/>
  <c r="AD11" i="426" s="1"/>
  <c r="AE17" i="419"/>
  <c r="AC11" i="426" s="1"/>
  <c r="AD17" i="419"/>
  <c r="AB11" i="426" s="1"/>
  <c r="AC17" i="419"/>
  <c r="AB17" i="419"/>
  <c r="Z17" i="419"/>
  <c r="X11" i="426" s="1"/>
  <c r="Y17" i="419"/>
  <c r="W11" i="426" s="1"/>
  <c r="X17" i="419"/>
  <c r="V11" i="426" s="1"/>
  <c r="R17" i="419"/>
  <c r="P11" i="426" s="1"/>
  <c r="Q17" i="419"/>
  <c r="O11" i="426" s="1"/>
  <c r="J17" i="419"/>
  <c r="H11" i="426" s="1"/>
  <c r="I17" i="419"/>
  <c r="G11" i="426" s="1"/>
  <c r="H17" i="419"/>
  <c r="F11" i="426" s="1"/>
  <c r="G17" i="419"/>
  <c r="E11" i="426" s="1"/>
  <c r="E17" i="419"/>
  <c r="C11" i="426" s="1"/>
  <c r="AJ16" i="419"/>
  <c r="S16" i="419"/>
  <c r="N16" i="419"/>
  <c r="K16" i="419"/>
  <c r="L16" i="419" s="1"/>
  <c r="P16" i="419" s="1"/>
  <c r="M16" i="419" s="1"/>
  <c r="D16" i="419"/>
  <c r="AJ15" i="419"/>
  <c r="S15" i="419"/>
  <c r="K15" i="419"/>
  <c r="L15" i="419" s="1"/>
  <c r="P15" i="419" s="1"/>
  <c r="F15" i="419"/>
  <c r="AJ14" i="419"/>
  <c r="S14" i="419"/>
  <c r="N14" i="419"/>
  <c r="K14" i="419"/>
  <c r="L14" i="419" s="1"/>
  <c r="P14" i="419" s="1"/>
  <c r="D14" i="419"/>
  <c r="F14" i="419" s="1"/>
  <c r="AJ13" i="419"/>
  <c r="AA13" i="419"/>
  <c r="AA17" i="419" s="1"/>
  <c r="Y11" i="426" s="1"/>
  <c r="S13" i="419"/>
  <c r="N13" i="419"/>
  <c r="K13" i="419"/>
  <c r="L13" i="419" s="1"/>
  <c r="P13" i="419" s="1"/>
  <c r="D13" i="419"/>
  <c r="AJ12" i="419"/>
  <c r="S12" i="419"/>
  <c r="K12" i="419"/>
  <c r="L12" i="419" s="1"/>
  <c r="P12" i="419" s="1"/>
  <c r="AJ11" i="419"/>
  <c r="S11" i="419"/>
  <c r="N11" i="419"/>
  <c r="K11" i="419"/>
  <c r="L11" i="419" s="1"/>
  <c r="P11" i="419" s="1"/>
  <c r="D11" i="419"/>
  <c r="AJ10" i="419"/>
  <c r="S10" i="419"/>
  <c r="N10" i="419"/>
  <c r="K10" i="419"/>
  <c r="L10" i="419" s="1"/>
  <c r="P10" i="419" s="1"/>
  <c r="D10" i="419"/>
  <c r="F10" i="419" s="1"/>
  <c r="AJ9" i="419"/>
  <c r="S9" i="419"/>
  <c r="N9" i="419"/>
  <c r="K9" i="419"/>
  <c r="L9" i="419" s="1"/>
  <c r="P9" i="419" s="1"/>
  <c r="D9" i="419"/>
  <c r="F9" i="419" s="1"/>
  <c r="AJ8" i="419"/>
  <c r="S8" i="419"/>
  <c r="N8" i="419"/>
  <c r="K8" i="419"/>
  <c r="L8" i="419" s="1"/>
  <c r="P8" i="419" s="1"/>
  <c r="D8" i="419"/>
  <c r="F8" i="419" s="1"/>
  <c r="AJ7" i="419"/>
  <c r="S7" i="419"/>
  <c r="K7" i="419"/>
  <c r="L7" i="419" s="1"/>
  <c r="P7" i="419" s="1"/>
  <c r="D7" i="419"/>
  <c r="F7" i="419" s="1"/>
  <c r="A7" i="419"/>
  <c r="AJ6" i="419"/>
  <c r="S6" i="419"/>
  <c r="N6" i="419"/>
  <c r="K6" i="419"/>
  <c r="D6" i="419"/>
  <c r="AW18" i="418"/>
  <c r="AU10" i="426" s="1"/>
  <c r="AU18" i="418"/>
  <c r="AS10" i="426" s="1"/>
  <c r="AT18" i="418"/>
  <c r="AR10" i="426" s="1"/>
  <c r="AS18" i="418"/>
  <c r="AQ10" i="426" s="1"/>
  <c r="AR18" i="418"/>
  <c r="AP10" i="426" s="1"/>
  <c r="AQ18" i="418"/>
  <c r="AO10" i="426" s="1"/>
  <c r="AO18" i="418"/>
  <c r="AM10" i="426" s="1"/>
  <c r="AM18" i="418"/>
  <c r="AK10" i="426" s="1"/>
  <c r="AL18" i="418"/>
  <c r="AI18" i="418"/>
  <c r="AG10" i="426" s="1"/>
  <c r="AH18" i="418"/>
  <c r="AF10" i="426" s="1"/>
  <c r="AG18" i="418"/>
  <c r="AE10" i="426" s="1"/>
  <c r="AF18" i="418"/>
  <c r="AD10" i="426" s="1"/>
  <c r="AE18" i="418"/>
  <c r="AC10" i="426" s="1"/>
  <c r="AD18" i="418"/>
  <c r="AB10" i="426" s="1"/>
  <c r="AC18" i="418"/>
  <c r="AB18" i="418"/>
  <c r="AA18" i="418"/>
  <c r="Y10" i="426" s="1"/>
  <c r="Z18" i="418"/>
  <c r="X10" i="426" s="1"/>
  <c r="Y18" i="418"/>
  <c r="W10" i="426" s="1"/>
  <c r="X18" i="418"/>
  <c r="V10" i="426" s="1"/>
  <c r="V18" i="418"/>
  <c r="T10" i="426" s="1"/>
  <c r="R18" i="418"/>
  <c r="P10" i="426" s="1"/>
  <c r="Q18" i="418"/>
  <c r="O10" i="426" s="1"/>
  <c r="I18" i="418"/>
  <c r="G10" i="426" s="1"/>
  <c r="H18" i="418"/>
  <c r="F10" i="426" s="1"/>
  <c r="G18" i="418"/>
  <c r="E10" i="426" s="1"/>
  <c r="E18" i="418"/>
  <c r="C10" i="426" s="1"/>
  <c r="AJ17" i="418"/>
  <c r="S17" i="418"/>
  <c r="N17" i="418"/>
  <c r="K17" i="418"/>
  <c r="L17" i="418" s="1"/>
  <c r="P17" i="418" s="1"/>
  <c r="D17" i="418"/>
  <c r="F17" i="418" s="1"/>
  <c r="AJ16" i="418"/>
  <c r="S16" i="418"/>
  <c r="N16" i="418"/>
  <c r="K16" i="418"/>
  <c r="L16" i="418" s="1"/>
  <c r="P16" i="418" s="1"/>
  <c r="F16" i="418"/>
  <c r="AJ15" i="418"/>
  <c r="S15" i="418"/>
  <c r="N15" i="418"/>
  <c r="J15" i="418"/>
  <c r="F15" i="418"/>
  <c r="BD14" i="418"/>
  <c r="AJ14" i="418"/>
  <c r="S14" i="418"/>
  <c r="K14" i="418"/>
  <c r="L14" i="418" s="1"/>
  <c r="P14" i="418" s="1"/>
  <c r="F14" i="418"/>
  <c r="AJ13" i="418"/>
  <c r="S13" i="418"/>
  <c r="N13" i="418"/>
  <c r="K13" i="418"/>
  <c r="L13" i="418" s="1"/>
  <c r="P13" i="418" s="1"/>
  <c r="F13" i="418"/>
  <c r="AJ12" i="418"/>
  <c r="S12" i="418"/>
  <c r="K12" i="418"/>
  <c r="L12" i="418" s="1"/>
  <c r="P12" i="418" s="1"/>
  <c r="D12" i="418"/>
  <c r="F12" i="418" s="1"/>
  <c r="AJ11" i="418"/>
  <c r="S11" i="418"/>
  <c r="K11" i="418"/>
  <c r="L11" i="418" s="1"/>
  <c r="P11" i="418" s="1"/>
  <c r="M11" i="418" s="1"/>
  <c r="D11" i="418"/>
  <c r="F11" i="418" s="1"/>
  <c r="AJ10" i="418"/>
  <c r="S10" i="418"/>
  <c r="N10" i="418"/>
  <c r="K10" i="418"/>
  <c r="L10" i="418" s="1"/>
  <c r="P10" i="418" s="1"/>
  <c r="D10" i="418"/>
  <c r="F10" i="418" s="1"/>
  <c r="AJ9" i="418"/>
  <c r="S9" i="418"/>
  <c r="K9" i="418"/>
  <c r="L9" i="418" s="1"/>
  <c r="P9" i="418" s="1"/>
  <c r="D9" i="418"/>
  <c r="F9" i="418" s="1"/>
  <c r="AJ8" i="418"/>
  <c r="S8" i="418"/>
  <c r="K8" i="418"/>
  <c r="L8" i="418" s="1"/>
  <c r="P8" i="418" s="1"/>
  <c r="D8" i="418"/>
  <c r="F8" i="418" s="1"/>
  <c r="AJ7" i="418"/>
  <c r="S7" i="418"/>
  <c r="L7" i="418"/>
  <c r="P7" i="418" s="1"/>
  <c r="K7" i="418"/>
  <c r="F7" i="418"/>
  <c r="A7" i="418"/>
  <c r="A8" i="418" s="1"/>
  <c r="AJ6" i="418"/>
  <c r="S6" i="418"/>
  <c r="N6" i="418"/>
  <c r="J6" i="418"/>
  <c r="K6" i="418" s="1"/>
  <c r="F6" i="418"/>
  <c r="D6" i="418"/>
  <c r="AU119" i="417"/>
  <c r="BB116" i="417"/>
  <c r="AZ9" i="426" s="1"/>
  <c r="BA116" i="417"/>
  <c r="AY9" i="426" s="1"/>
  <c r="AY116" i="417"/>
  <c r="AW9" i="426" s="1"/>
  <c r="AW116" i="417"/>
  <c r="AU9" i="426" s="1"/>
  <c r="AV116" i="417"/>
  <c r="AS116" i="417"/>
  <c r="AQ9" i="426" s="1"/>
  <c r="AR116" i="417"/>
  <c r="AP9" i="426" s="1"/>
  <c r="AO116" i="417"/>
  <c r="AM9" i="426" s="1"/>
  <c r="AL116" i="417"/>
  <c r="AI116" i="417"/>
  <c r="AG9" i="426" s="1"/>
  <c r="AH116" i="417"/>
  <c r="AF9" i="426" s="1"/>
  <c r="AG116" i="417"/>
  <c r="AE9" i="426" s="1"/>
  <c r="AE116" i="417"/>
  <c r="AC9" i="426" s="1"/>
  <c r="AD116" i="417"/>
  <c r="AB9" i="426" s="1"/>
  <c r="AC116" i="417"/>
  <c r="AB116" i="417"/>
  <c r="Z116" i="417"/>
  <c r="X9" i="426" s="1"/>
  <c r="X116" i="417"/>
  <c r="V9" i="426" s="1"/>
  <c r="V116" i="417"/>
  <c r="T9" i="426" s="1"/>
  <c r="R116" i="417"/>
  <c r="P9" i="426" s="1"/>
  <c r="Q116" i="417"/>
  <c r="O9" i="426" s="1"/>
  <c r="G116" i="417"/>
  <c r="E9" i="426" s="1"/>
  <c r="AF115" i="417"/>
  <c r="AF116" i="417" s="1"/>
  <c r="AD9" i="426" s="1"/>
  <c r="S115" i="417"/>
  <c r="N115" i="417"/>
  <c r="K115" i="417"/>
  <c r="L115" i="417" s="1"/>
  <c r="P115" i="417" s="1"/>
  <c r="D115" i="417"/>
  <c r="F115" i="417" s="1"/>
  <c r="AJ114" i="417"/>
  <c r="S114" i="417"/>
  <c r="N114" i="417"/>
  <c r="K114" i="417"/>
  <c r="L114" i="417" s="1"/>
  <c r="P114" i="417" s="1"/>
  <c r="D114" i="417"/>
  <c r="F114" i="417" s="1"/>
  <c r="AJ113" i="417"/>
  <c r="S113" i="417"/>
  <c r="N113" i="417"/>
  <c r="K113" i="417"/>
  <c r="L113" i="417" s="1"/>
  <c r="P113" i="417" s="1"/>
  <c r="D113" i="417"/>
  <c r="F113" i="417" s="1"/>
  <c r="AJ112" i="417"/>
  <c r="S112" i="417"/>
  <c r="K112" i="417"/>
  <c r="L112" i="417" s="1"/>
  <c r="P112" i="417" s="1"/>
  <c r="F112" i="417"/>
  <c r="AJ111" i="417"/>
  <c r="S111" i="417"/>
  <c r="K111" i="417"/>
  <c r="L111" i="417" s="1"/>
  <c r="F111" i="417"/>
  <c r="AJ110" i="417"/>
  <c r="S110" i="417"/>
  <c r="K110" i="417"/>
  <c r="L110" i="417" s="1"/>
  <c r="F110" i="417"/>
  <c r="AM109" i="417"/>
  <c r="AM116" i="417" s="1"/>
  <c r="AK9" i="426" s="1"/>
  <c r="AJ109" i="417"/>
  <c r="S109" i="417"/>
  <c r="N109" i="417"/>
  <c r="K109" i="417"/>
  <c r="L109" i="417" s="1"/>
  <c r="P109" i="417" s="1"/>
  <c r="F109" i="417"/>
  <c r="AJ108" i="417"/>
  <c r="S108" i="417"/>
  <c r="N108" i="417"/>
  <c r="K108" i="417"/>
  <c r="L108" i="417" s="1"/>
  <c r="P108" i="417" s="1"/>
  <c r="D108" i="417"/>
  <c r="F108" i="417" s="1"/>
  <c r="AJ107" i="417"/>
  <c r="S107" i="417"/>
  <c r="K107" i="417"/>
  <c r="L107" i="417" s="1"/>
  <c r="P107" i="417" s="1"/>
  <c r="D107" i="417"/>
  <c r="F107" i="417" s="1"/>
  <c r="AJ106" i="417"/>
  <c r="Y106" i="417"/>
  <c r="Y116" i="417" s="1"/>
  <c r="W9" i="426" s="1"/>
  <c r="S106" i="417"/>
  <c r="N106" i="417"/>
  <c r="K106" i="417"/>
  <c r="L106" i="417" s="1"/>
  <c r="E106" i="417"/>
  <c r="D106" i="417"/>
  <c r="AJ105" i="417"/>
  <c r="S105" i="417"/>
  <c r="N105" i="417"/>
  <c r="K105" i="417"/>
  <c r="L105" i="417" s="1"/>
  <c r="P105" i="417" s="1"/>
  <c r="D105" i="417"/>
  <c r="AJ104" i="417"/>
  <c r="S104" i="417"/>
  <c r="N104" i="417"/>
  <c r="J104" i="417"/>
  <c r="K104" i="417" s="1"/>
  <c r="L104" i="417" s="1"/>
  <c r="F104" i="417"/>
  <c r="AJ103" i="417"/>
  <c r="S103" i="417"/>
  <c r="K103" i="417"/>
  <c r="L103" i="417" s="1"/>
  <c r="F103" i="417"/>
  <c r="AJ102" i="417"/>
  <c r="S102" i="417"/>
  <c r="K102" i="417"/>
  <c r="L102" i="417" s="1"/>
  <c r="P102" i="417" s="1"/>
  <c r="F102" i="417"/>
  <c r="AJ101" i="417"/>
  <c r="S101" i="417"/>
  <c r="K101" i="417"/>
  <c r="L101" i="417" s="1"/>
  <c r="F101" i="417"/>
  <c r="AJ100" i="417"/>
  <c r="S100" i="417"/>
  <c r="N100" i="417"/>
  <c r="K100" i="417"/>
  <c r="L100" i="417" s="1"/>
  <c r="P100" i="417" s="1"/>
  <c r="F100" i="417"/>
  <c r="D100" i="417"/>
  <c r="AJ99" i="417"/>
  <c r="S99" i="417"/>
  <c r="N99" i="417"/>
  <c r="K99" i="417"/>
  <c r="L99" i="417" s="1"/>
  <c r="F99" i="417"/>
  <c r="AJ98" i="417"/>
  <c r="S98" i="417"/>
  <c r="K98" i="417"/>
  <c r="L98" i="417" s="1"/>
  <c r="F98" i="417"/>
  <c r="AJ97" i="417"/>
  <c r="S97" i="417"/>
  <c r="K97" i="417"/>
  <c r="L97" i="417" s="1"/>
  <c r="F97" i="417"/>
  <c r="AJ96" i="417"/>
  <c r="S96" i="417"/>
  <c r="K96" i="417"/>
  <c r="L96" i="417" s="1"/>
  <c r="P96" i="417" s="1"/>
  <c r="F96" i="417"/>
  <c r="AJ95" i="417"/>
  <c r="S95" i="417"/>
  <c r="K95" i="417"/>
  <c r="L95" i="417" s="1"/>
  <c r="F95" i="417"/>
  <c r="AJ94" i="417"/>
  <c r="S94" i="417"/>
  <c r="K94" i="417"/>
  <c r="L94" i="417" s="1"/>
  <c r="P94" i="417" s="1"/>
  <c r="M94" i="417" s="1"/>
  <c r="D94" i="417"/>
  <c r="F94" i="417" s="1"/>
  <c r="AJ93" i="417"/>
  <c r="S93" i="417"/>
  <c r="N93" i="417"/>
  <c r="K93" i="417"/>
  <c r="L93" i="417" s="1"/>
  <c r="P93" i="417" s="1"/>
  <c r="D93" i="417"/>
  <c r="F93" i="417" s="1"/>
  <c r="AJ92" i="417"/>
  <c r="S92" i="417"/>
  <c r="K92" i="417"/>
  <c r="L92" i="417" s="1"/>
  <c r="F92" i="417"/>
  <c r="AJ91" i="417"/>
  <c r="S91" i="417"/>
  <c r="K91" i="417"/>
  <c r="L91" i="417" s="1"/>
  <c r="F91" i="417"/>
  <c r="AJ90" i="417"/>
  <c r="S90" i="417"/>
  <c r="N90" i="417"/>
  <c r="J90" i="417"/>
  <c r="K90" i="417" s="1"/>
  <c r="L90" i="417" s="1"/>
  <c r="P90" i="417" s="1"/>
  <c r="D90" i="417"/>
  <c r="F90" i="417" s="1"/>
  <c r="AJ89" i="417"/>
  <c r="S89" i="417"/>
  <c r="N89" i="417"/>
  <c r="J89" i="417"/>
  <c r="K89" i="417" s="1"/>
  <c r="L89" i="417" s="1"/>
  <c r="P89" i="417" s="1"/>
  <c r="D89" i="417"/>
  <c r="F89" i="417" s="1"/>
  <c r="AJ88" i="417"/>
  <c r="S88" i="417"/>
  <c r="K88" i="417"/>
  <c r="L88" i="417" s="1"/>
  <c r="P88" i="417" s="1"/>
  <c r="D88" i="417"/>
  <c r="F88" i="417" s="1"/>
  <c r="AJ87" i="417"/>
  <c r="S87" i="417"/>
  <c r="K87" i="417"/>
  <c r="L87" i="417" s="1"/>
  <c r="P87" i="417" s="1"/>
  <c r="D87" i="417"/>
  <c r="F87" i="417" s="1"/>
  <c r="AJ86" i="417"/>
  <c r="S86" i="417"/>
  <c r="N86" i="417"/>
  <c r="K86" i="417"/>
  <c r="L86" i="417" s="1"/>
  <c r="P86" i="417" s="1"/>
  <c r="D86" i="417"/>
  <c r="F86" i="417" s="1"/>
  <c r="AJ85" i="417"/>
  <c r="S85" i="417"/>
  <c r="K85" i="417"/>
  <c r="L85" i="417" s="1"/>
  <c r="P85" i="417" s="1"/>
  <c r="F85" i="417"/>
  <c r="AJ84" i="417"/>
  <c r="S84" i="417"/>
  <c r="K84" i="417"/>
  <c r="L84" i="417" s="1"/>
  <c r="P84" i="417" s="1"/>
  <c r="D84" i="417"/>
  <c r="AJ83" i="417"/>
  <c r="S83" i="417"/>
  <c r="K83" i="417"/>
  <c r="L83" i="417" s="1"/>
  <c r="P83" i="417" s="1"/>
  <c r="F83" i="417"/>
  <c r="AJ82" i="417"/>
  <c r="S82" i="417"/>
  <c r="K82" i="417"/>
  <c r="L82" i="417" s="1"/>
  <c r="P82" i="417" s="1"/>
  <c r="D82" i="417"/>
  <c r="F82" i="417" s="1"/>
  <c r="AJ81" i="417"/>
  <c r="AA81" i="417"/>
  <c r="S81" i="417"/>
  <c r="N81" i="417"/>
  <c r="J81" i="417"/>
  <c r="K81" i="417" s="1"/>
  <c r="L81" i="417" s="1"/>
  <c r="P81" i="417" s="1"/>
  <c r="E81" i="417"/>
  <c r="D81" i="417"/>
  <c r="AJ80" i="417"/>
  <c r="S80" i="417"/>
  <c r="N80" i="417"/>
  <c r="K80" i="417"/>
  <c r="L80" i="417" s="1"/>
  <c r="P80" i="417" s="1"/>
  <c r="D80" i="417"/>
  <c r="AJ79" i="417"/>
  <c r="S79" i="417"/>
  <c r="K79" i="417"/>
  <c r="L79" i="417" s="1"/>
  <c r="P79" i="417" s="1"/>
  <c r="F79" i="417"/>
  <c r="AJ78" i="417"/>
  <c r="S78" i="417"/>
  <c r="K78" i="417"/>
  <c r="L78" i="417" s="1"/>
  <c r="P78" i="417" s="1"/>
  <c r="F78" i="417"/>
  <c r="AJ77" i="417"/>
  <c r="S77" i="417"/>
  <c r="N77" i="417"/>
  <c r="K77" i="417"/>
  <c r="L77" i="417" s="1"/>
  <c r="P77" i="417" s="1"/>
  <c r="D77" i="417"/>
  <c r="AJ76" i="417"/>
  <c r="S76" i="417"/>
  <c r="N76" i="417"/>
  <c r="J76" i="417"/>
  <c r="K76" i="417" s="1"/>
  <c r="L76" i="417" s="1"/>
  <c r="P76" i="417" s="1"/>
  <c r="D76" i="417"/>
  <c r="F76" i="417" s="1"/>
  <c r="AJ75" i="417"/>
  <c r="S75" i="417"/>
  <c r="N75" i="417"/>
  <c r="J75" i="417"/>
  <c r="K75" i="417" s="1"/>
  <c r="L75" i="417" s="1"/>
  <c r="P75" i="417" s="1"/>
  <c r="E75" i="417"/>
  <c r="D75" i="417"/>
  <c r="F75" i="417" s="1"/>
  <c r="AJ74" i="417"/>
  <c r="S74" i="417"/>
  <c r="K74" i="417"/>
  <c r="L74" i="417" s="1"/>
  <c r="P74" i="417" s="1"/>
  <c r="F74" i="417"/>
  <c r="AJ73" i="417"/>
  <c r="S73" i="417"/>
  <c r="N73" i="417"/>
  <c r="J73" i="417"/>
  <c r="K73" i="417" s="1"/>
  <c r="L73" i="417" s="1"/>
  <c r="F73" i="417"/>
  <c r="AJ72" i="417"/>
  <c r="S72" i="417"/>
  <c r="N72" i="417"/>
  <c r="K72" i="417"/>
  <c r="L72" i="417" s="1"/>
  <c r="F72" i="417"/>
  <c r="AJ71" i="417"/>
  <c r="S71" i="417"/>
  <c r="N71" i="417"/>
  <c r="K71" i="417"/>
  <c r="L71" i="417" s="1"/>
  <c r="D71" i="417"/>
  <c r="F71" i="417" s="1"/>
  <c r="AJ70" i="417"/>
  <c r="S70" i="417"/>
  <c r="N70" i="417"/>
  <c r="J70" i="417"/>
  <c r="K70" i="417" s="1"/>
  <c r="L70" i="417" s="1"/>
  <c r="P70" i="417" s="1"/>
  <c r="M70" i="417" s="1"/>
  <c r="F70" i="417"/>
  <c r="AJ69" i="417"/>
  <c r="S69" i="417"/>
  <c r="K69" i="417"/>
  <c r="L69" i="417" s="1"/>
  <c r="F69" i="417"/>
  <c r="AQ68" i="417"/>
  <c r="AQ116" i="417" s="1"/>
  <c r="AO9" i="426" s="1"/>
  <c r="AJ68" i="417"/>
  <c r="S68" i="417"/>
  <c r="N68" i="417"/>
  <c r="K68" i="417"/>
  <c r="L68" i="417" s="1"/>
  <c r="P68" i="417" s="1"/>
  <c r="D68" i="417"/>
  <c r="F68" i="417" s="1"/>
  <c r="AJ67" i="417"/>
  <c r="S67" i="417"/>
  <c r="K67" i="417"/>
  <c r="L67" i="417" s="1"/>
  <c r="F67" i="417"/>
  <c r="AJ66" i="417"/>
  <c r="S66" i="417"/>
  <c r="K66" i="417"/>
  <c r="L66" i="417" s="1"/>
  <c r="P66" i="417" s="1"/>
  <c r="M66" i="417" s="1"/>
  <c r="O66" i="417" s="1"/>
  <c r="F66" i="417"/>
  <c r="AJ65" i="417"/>
  <c r="S65" i="417"/>
  <c r="K65" i="417"/>
  <c r="L65" i="417" s="1"/>
  <c r="P65" i="417" s="1"/>
  <c r="F65" i="417"/>
  <c r="AJ64" i="417"/>
  <c r="S64" i="417"/>
  <c r="K64" i="417"/>
  <c r="L64" i="417" s="1"/>
  <c r="P64" i="417" s="1"/>
  <c r="F64" i="417"/>
  <c r="AJ63" i="417"/>
  <c r="S63" i="417"/>
  <c r="N63" i="417"/>
  <c r="J63" i="417"/>
  <c r="I63" i="417"/>
  <c r="I116" i="417" s="1"/>
  <c r="G9" i="426" s="1"/>
  <c r="F63" i="417"/>
  <c r="AJ62" i="417"/>
  <c r="S62" i="417"/>
  <c r="K62" i="417"/>
  <c r="L62" i="417" s="1"/>
  <c r="F62" i="417"/>
  <c r="AJ61" i="417"/>
  <c r="S61" i="417"/>
  <c r="K61" i="417"/>
  <c r="L61" i="417" s="1"/>
  <c r="P61" i="417" s="1"/>
  <c r="M61" i="417" s="1"/>
  <c r="D61" i="417"/>
  <c r="AJ60" i="417"/>
  <c r="S60" i="417"/>
  <c r="K60" i="417"/>
  <c r="L60" i="417" s="1"/>
  <c r="P60" i="417" s="1"/>
  <c r="D60" i="417"/>
  <c r="F60" i="417" s="1"/>
  <c r="AJ59" i="417"/>
  <c r="S59" i="417"/>
  <c r="N59" i="417"/>
  <c r="K59" i="417"/>
  <c r="L59" i="417" s="1"/>
  <c r="P59" i="417" s="1"/>
  <c r="D59" i="417"/>
  <c r="AJ58" i="417"/>
  <c r="S58" i="417"/>
  <c r="K58" i="417"/>
  <c r="L58" i="417" s="1"/>
  <c r="F58" i="417"/>
  <c r="AJ57" i="417"/>
  <c r="S57" i="417"/>
  <c r="K57" i="417"/>
  <c r="L57" i="417" s="1"/>
  <c r="F57" i="417"/>
  <c r="AJ56" i="417"/>
  <c r="S56" i="417"/>
  <c r="K56" i="417"/>
  <c r="L56" i="417" s="1"/>
  <c r="F56" i="417"/>
  <c r="AJ55" i="417"/>
  <c r="S55" i="417"/>
  <c r="N55" i="417"/>
  <c r="K55" i="417"/>
  <c r="L55" i="417" s="1"/>
  <c r="F55" i="417"/>
  <c r="AJ54" i="417"/>
  <c r="S54" i="417"/>
  <c r="N54" i="417"/>
  <c r="K54" i="417"/>
  <c r="L54" i="417" s="1"/>
  <c r="D54" i="417"/>
  <c r="F54" i="417" s="1"/>
  <c r="AJ53" i="417"/>
  <c r="S53" i="417"/>
  <c r="K53" i="417"/>
  <c r="L53" i="417" s="1"/>
  <c r="P53" i="417" s="1"/>
  <c r="F53" i="417"/>
  <c r="AJ52" i="417"/>
  <c r="S52" i="417"/>
  <c r="K52" i="417"/>
  <c r="L52" i="417" s="1"/>
  <c r="P52" i="417" s="1"/>
  <c r="F52" i="417"/>
  <c r="AJ51" i="417"/>
  <c r="S51" i="417"/>
  <c r="K51" i="417"/>
  <c r="L51" i="417" s="1"/>
  <c r="P51" i="417" s="1"/>
  <c r="F51" i="417"/>
  <c r="AJ50" i="417"/>
  <c r="S50" i="417"/>
  <c r="N50" i="417"/>
  <c r="K50" i="417"/>
  <c r="L50" i="417" s="1"/>
  <c r="P50" i="417" s="1"/>
  <c r="F50" i="417"/>
  <c r="AJ49" i="417"/>
  <c r="S49" i="417"/>
  <c r="K49" i="417"/>
  <c r="L49" i="417" s="1"/>
  <c r="P49" i="417" s="1"/>
  <c r="F49" i="417"/>
  <c r="AJ48" i="417"/>
  <c r="S48" i="417"/>
  <c r="L48" i="417"/>
  <c r="K48" i="417"/>
  <c r="F48" i="417"/>
  <c r="AJ47" i="417"/>
  <c r="S47" i="417"/>
  <c r="K47" i="417"/>
  <c r="L47" i="417" s="1"/>
  <c r="P47" i="417" s="1"/>
  <c r="F47" i="417"/>
  <c r="AJ46" i="417"/>
  <c r="S46" i="417"/>
  <c r="N46" i="417"/>
  <c r="K46" i="417"/>
  <c r="L46" i="417" s="1"/>
  <c r="P46" i="417" s="1"/>
  <c r="F46" i="417"/>
  <c r="AJ45" i="417"/>
  <c r="S45" i="417"/>
  <c r="K45" i="417"/>
  <c r="L45" i="417" s="1"/>
  <c r="F45" i="417"/>
  <c r="AJ44" i="417"/>
  <c r="S44" i="417"/>
  <c r="K44" i="417"/>
  <c r="L44" i="417" s="1"/>
  <c r="F44" i="417"/>
  <c r="AJ43" i="417"/>
  <c r="S43" i="417"/>
  <c r="K43" i="417"/>
  <c r="H43" i="417"/>
  <c r="H116" i="417" s="1"/>
  <c r="F9" i="426" s="1"/>
  <c r="F43" i="417"/>
  <c r="AJ42" i="417"/>
  <c r="S42" i="417"/>
  <c r="K42" i="417"/>
  <c r="L42" i="417" s="1"/>
  <c r="P42" i="417" s="1"/>
  <c r="D42" i="417"/>
  <c r="F42" i="417" s="1"/>
  <c r="AJ41" i="417"/>
  <c r="S41" i="417"/>
  <c r="N41" i="417"/>
  <c r="K41" i="417"/>
  <c r="L41" i="417" s="1"/>
  <c r="P41" i="417" s="1"/>
  <c r="D41" i="417"/>
  <c r="F41" i="417" s="1"/>
  <c r="AJ40" i="417"/>
  <c r="S40" i="417"/>
  <c r="K40" i="417"/>
  <c r="L40" i="417" s="1"/>
  <c r="F40" i="417"/>
  <c r="AJ39" i="417"/>
  <c r="S39" i="417"/>
  <c r="K39" i="417"/>
  <c r="L39" i="417" s="1"/>
  <c r="F39" i="417"/>
  <c r="AJ38" i="417"/>
  <c r="S38" i="417"/>
  <c r="N38" i="417"/>
  <c r="J38" i="417"/>
  <c r="K38" i="417" s="1"/>
  <c r="L38" i="417" s="1"/>
  <c r="P38" i="417" s="1"/>
  <c r="E38" i="417"/>
  <c r="D38" i="417"/>
  <c r="AJ37" i="417"/>
  <c r="S37" i="417"/>
  <c r="N37" i="417"/>
  <c r="K37" i="417"/>
  <c r="L37" i="417" s="1"/>
  <c r="F37" i="417"/>
  <c r="AJ36" i="417"/>
  <c r="S36" i="417"/>
  <c r="N36" i="417"/>
  <c r="K36" i="417"/>
  <c r="L36" i="417" s="1"/>
  <c r="P36" i="417" s="1"/>
  <c r="M36" i="417" s="1"/>
  <c r="O36" i="417" s="1"/>
  <c r="F36" i="417"/>
  <c r="AJ35" i="417"/>
  <c r="S35" i="417"/>
  <c r="N35" i="417"/>
  <c r="K35" i="417"/>
  <c r="L35" i="417" s="1"/>
  <c r="P35" i="417" s="1"/>
  <c r="D35" i="417"/>
  <c r="F35" i="417" s="1"/>
  <c r="AJ34" i="417"/>
  <c r="S34" i="417"/>
  <c r="N34" i="417"/>
  <c r="K34" i="417"/>
  <c r="L34" i="417" s="1"/>
  <c r="P34" i="417" s="1"/>
  <c r="F34" i="417"/>
  <c r="AJ33" i="417"/>
  <c r="AA33" i="417"/>
  <c r="J33" i="417"/>
  <c r="K33" i="417" s="1"/>
  <c r="L33" i="417" s="1"/>
  <c r="P33" i="417" s="1"/>
  <c r="M33" i="417" s="1"/>
  <c r="T33" i="417" s="1"/>
  <c r="U33" i="417" s="1"/>
  <c r="D33" i="417"/>
  <c r="AJ32" i="417"/>
  <c r="S32" i="417"/>
  <c r="K32" i="417"/>
  <c r="L32" i="417" s="1"/>
  <c r="P32" i="417" s="1"/>
  <c r="D32" i="417"/>
  <c r="F32" i="417" s="1"/>
  <c r="AJ31" i="417"/>
  <c r="S31" i="417"/>
  <c r="N31" i="417"/>
  <c r="K31" i="417"/>
  <c r="L31" i="417" s="1"/>
  <c r="P31" i="417" s="1"/>
  <c r="D31" i="417"/>
  <c r="AJ30" i="417"/>
  <c r="S30" i="417"/>
  <c r="K30" i="417"/>
  <c r="L30" i="417" s="1"/>
  <c r="F30" i="417"/>
  <c r="AJ29" i="417"/>
  <c r="S29" i="417"/>
  <c r="K29" i="417"/>
  <c r="L29" i="417" s="1"/>
  <c r="P29" i="417" s="1"/>
  <c r="D29" i="417"/>
  <c r="F29" i="417" s="1"/>
  <c r="AJ28" i="417"/>
  <c r="S28" i="417"/>
  <c r="N28" i="417"/>
  <c r="J28" i="417"/>
  <c r="K28" i="417" s="1"/>
  <c r="L28" i="417" s="1"/>
  <c r="P28" i="417" s="1"/>
  <c r="D28" i="417"/>
  <c r="F28" i="417" s="1"/>
  <c r="AJ27" i="417"/>
  <c r="S27" i="417"/>
  <c r="N27" i="417"/>
  <c r="K27" i="417"/>
  <c r="L27" i="417" s="1"/>
  <c r="P27" i="417" s="1"/>
  <c r="M27" i="417" s="1"/>
  <c r="F27" i="417"/>
  <c r="AJ26" i="417"/>
  <c r="S26" i="417"/>
  <c r="K26" i="417"/>
  <c r="L26" i="417" s="1"/>
  <c r="P26" i="417" s="1"/>
  <c r="F26" i="417"/>
  <c r="AJ25" i="417"/>
  <c r="S25" i="417"/>
  <c r="K25" i="417"/>
  <c r="L25" i="417" s="1"/>
  <c r="F25" i="417"/>
  <c r="AJ24" i="417"/>
  <c r="S24" i="417"/>
  <c r="K24" i="417"/>
  <c r="L24" i="417" s="1"/>
  <c r="P24" i="417" s="1"/>
  <c r="D24" i="417"/>
  <c r="F24" i="417" s="1"/>
  <c r="AJ23" i="417"/>
  <c r="S23" i="417"/>
  <c r="K23" i="417"/>
  <c r="L23" i="417" s="1"/>
  <c r="P23" i="417" s="1"/>
  <c r="F23" i="417"/>
  <c r="AJ22" i="417"/>
  <c r="S22" i="417"/>
  <c r="K22" i="417"/>
  <c r="L22" i="417" s="1"/>
  <c r="P22" i="417" s="1"/>
  <c r="D22" i="417"/>
  <c r="F22" i="417" s="1"/>
  <c r="AJ21" i="417"/>
  <c r="S21" i="417"/>
  <c r="N21" i="417"/>
  <c r="K21" i="417"/>
  <c r="L21" i="417" s="1"/>
  <c r="P21" i="417" s="1"/>
  <c r="F21" i="417"/>
  <c r="AJ20" i="417"/>
  <c r="S20" i="417"/>
  <c r="N20" i="417"/>
  <c r="K20" i="417"/>
  <c r="L20" i="417" s="1"/>
  <c r="P20" i="417" s="1"/>
  <c r="D20" i="417"/>
  <c r="F20" i="417" s="1"/>
  <c r="AJ19" i="417"/>
  <c r="S19" i="417"/>
  <c r="N19" i="417"/>
  <c r="K19" i="417"/>
  <c r="L19" i="417" s="1"/>
  <c r="P19" i="417" s="1"/>
  <c r="D19" i="417"/>
  <c r="AJ18" i="417"/>
  <c r="S18" i="417"/>
  <c r="N18" i="417"/>
  <c r="J18" i="417"/>
  <c r="K18" i="417" s="1"/>
  <c r="L18" i="417" s="1"/>
  <c r="P18" i="417" s="1"/>
  <c r="D18" i="417"/>
  <c r="F18" i="417" s="1"/>
  <c r="AJ17" i="417"/>
  <c r="S17" i="417"/>
  <c r="N17" i="417"/>
  <c r="K17" i="417"/>
  <c r="L17" i="417" s="1"/>
  <c r="P17" i="417" s="1"/>
  <c r="D17" i="417"/>
  <c r="F17" i="417" s="1"/>
  <c r="AJ16" i="417"/>
  <c r="S16" i="417"/>
  <c r="N16" i="417"/>
  <c r="K16" i="417"/>
  <c r="L16" i="417" s="1"/>
  <c r="P16" i="417" s="1"/>
  <c r="F16" i="417"/>
  <c r="AJ15" i="417"/>
  <c r="S15" i="417"/>
  <c r="N15" i="417"/>
  <c r="J15" i="417"/>
  <c r="K15" i="417" s="1"/>
  <c r="L15" i="417" s="1"/>
  <c r="P15" i="417" s="1"/>
  <c r="D15" i="417"/>
  <c r="F15" i="417" s="1"/>
  <c r="AJ14" i="417"/>
  <c r="S14" i="417"/>
  <c r="K14" i="417"/>
  <c r="L14" i="417" s="1"/>
  <c r="F14" i="417"/>
  <c r="AJ13" i="417"/>
  <c r="S13" i="417"/>
  <c r="N13" i="417"/>
  <c r="J13" i="417"/>
  <c r="K13" i="417" s="1"/>
  <c r="L13" i="417" s="1"/>
  <c r="P13" i="417" s="1"/>
  <c r="D13" i="417"/>
  <c r="AU12" i="417"/>
  <c r="AU116" i="417" s="1"/>
  <c r="AS9" i="426" s="1"/>
  <c r="AJ12" i="417"/>
  <c r="S12" i="417"/>
  <c r="N12" i="417"/>
  <c r="K12" i="417"/>
  <c r="L12" i="417" s="1"/>
  <c r="P12" i="417" s="1"/>
  <c r="E12" i="417"/>
  <c r="D12" i="417"/>
  <c r="AJ11" i="417"/>
  <c r="S11" i="417"/>
  <c r="N11" i="417"/>
  <c r="J11" i="417"/>
  <c r="K11" i="417" s="1"/>
  <c r="L11" i="417" s="1"/>
  <c r="P11" i="417" s="1"/>
  <c r="D11" i="417"/>
  <c r="F11" i="417" s="1"/>
  <c r="AZ10" i="417"/>
  <c r="AJ10" i="417"/>
  <c r="BE10" i="417" s="1"/>
  <c r="BH10" i="417" s="1"/>
  <c r="S10" i="417"/>
  <c r="N10" i="417"/>
  <c r="K10" i="417"/>
  <c r="L10" i="417" s="1"/>
  <c r="P10" i="417" s="1"/>
  <c r="D10" i="417"/>
  <c r="F10" i="417" s="1"/>
  <c r="AJ9" i="417"/>
  <c r="S9" i="417"/>
  <c r="N9" i="417"/>
  <c r="J9" i="417"/>
  <c r="K9" i="417" s="1"/>
  <c r="L9" i="417" s="1"/>
  <c r="D9" i="417"/>
  <c r="F9" i="417" s="1"/>
  <c r="AJ8" i="417"/>
  <c r="S8" i="417"/>
  <c r="N8" i="417"/>
  <c r="K8" i="417"/>
  <c r="L8" i="417" s="1"/>
  <c r="P8" i="417" s="1"/>
  <c r="D8" i="417"/>
  <c r="AJ7" i="417"/>
  <c r="S7" i="417"/>
  <c r="J7" i="417"/>
  <c r="K7" i="417" s="1"/>
  <c r="L7" i="417" s="1"/>
  <c r="D7" i="417"/>
  <c r="F7" i="417" s="1"/>
  <c r="A7" i="417"/>
  <c r="A8" i="417" s="1"/>
  <c r="A9" i="417" s="1"/>
  <c r="A10" i="417" s="1"/>
  <c r="A11" i="417" s="1"/>
  <c r="A12" i="417" s="1"/>
  <c r="A13" i="417" s="1"/>
  <c r="A14" i="417" s="1"/>
  <c r="A15" i="417" s="1"/>
  <c r="A16" i="417" s="1"/>
  <c r="A17" i="417" s="1"/>
  <c r="A18" i="417" s="1"/>
  <c r="A19" i="417" s="1"/>
  <c r="A20" i="417" s="1"/>
  <c r="A21" i="417" s="1"/>
  <c r="A22" i="417" s="1"/>
  <c r="A23" i="417" s="1"/>
  <c r="A24" i="417" s="1"/>
  <c r="A25" i="417" s="1"/>
  <c r="A26" i="417" s="1"/>
  <c r="A27" i="417" s="1"/>
  <c r="A28" i="417" s="1"/>
  <c r="A29" i="417" s="1"/>
  <c r="A30" i="417" s="1"/>
  <c r="A31" i="417" s="1"/>
  <c r="A32" i="417" s="1"/>
  <c r="A33" i="417" s="1"/>
  <c r="A34" i="417" s="1"/>
  <c r="A35" i="417" s="1"/>
  <c r="A36" i="417" s="1"/>
  <c r="A37" i="417" s="1"/>
  <c r="A38" i="417" s="1"/>
  <c r="A39" i="417" s="1"/>
  <c r="A40" i="417" s="1"/>
  <c r="A41" i="417" s="1"/>
  <c r="A42" i="417" s="1"/>
  <c r="A43" i="417" s="1"/>
  <c r="A44" i="417" s="1"/>
  <c r="A45" i="417" s="1"/>
  <c r="A46" i="417" s="1"/>
  <c r="A47" i="417" s="1"/>
  <c r="A48" i="417" s="1"/>
  <c r="A49" i="417" s="1"/>
  <c r="A50" i="417" s="1"/>
  <c r="A51" i="417" s="1"/>
  <c r="A52" i="417" s="1"/>
  <c r="A53" i="417" s="1"/>
  <c r="A54" i="417" s="1"/>
  <c r="A55" i="417" s="1"/>
  <c r="A56" i="417" s="1"/>
  <c r="A57" i="417" s="1"/>
  <c r="A58" i="417" s="1"/>
  <c r="A59" i="417" s="1"/>
  <c r="A60" i="417" s="1"/>
  <c r="A61" i="417" s="1"/>
  <c r="A62" i="417" s="1"/>
  <c r="A63" i="417" s="1"/>
  <c r="A64" i="417" s="1"/>
  <c r="A65" i="417" s="1"/>
  <c r="A66" i="417" s="1"/>
  <c r="A67" i="417" s="1"/>
  <c r="A68" i="417" s="1"/>
  <c r="A69" i="417" s="1"/>
  <c r="A70" i="417" s="1"/>
  <c r="A71" i="417" s="1"/>
  <c r="A72" i="417" s="1"/>
  <c r="A73" i="417" s="1"/>
  <c r="A74" i="417" s="1"/>
  <c r="A75" i="417" s="1"/>
  <c r="A76" i="417" s="1"/>
  <c r="A77" i="417" s="1"/>
  <c r="A78" i="417" s="1"/>
  <c r="A79" i="417" s="1"/>
  <c r="A80" i="417" s="1"/>
  <c r="A81" i="417" s="1"/>
  <c r="A82" i="417" s="1"/>
  <c r="A83" i="417" s="1"/>
  <c r="A84" i="417" s="1"/>
  <c r="A85" i="417" s="1"/>
  <c r="A86" i="417" s="1"/>
  <c r="A87" i="417" s="1"/>
  <c r="A88" i="417" s="1"/>
  <c r="A89" i="417" s="1"/>
  <c r="A90" i="417" s="1"/>
  <c r="A91" i="417" s="1"/>
  <c r="A92" i="417" s="1"/>
  <c r="A93" i="417" s="1"/>
  <c r="A94" i="417" s="1"/>
  <c r="A95" i="417" s="1"/>
  <c r="A96" i="417" s="1"/>
  <c r="A97" i="417" s="1"/>
  <c r="A98" i="417" s="1"/>
  <c r="A99" i="417" s="1"/>
  <c r="A100" i="417" s="1"/>
  <c r="A101" i="417" s="1"/>
  <c r="A102" i="417" s="1"/>
  <c r="A103" i="417" s="1"/>
  <c r="A104" i="417" s="1"/>
  <c r="A105" i="417" s="1"/>
  <c r="A106" i="417" s="1"/>
  <c r="A107" i="417" s="1"/>
  <c r="A108" i="417" s="1"/>
  <c r="A109" i="417" s="1"/>
  <c r="A110" i="417" s="1"/>
  <c r="A111" i="417" s="1"/>
  <c r="A112" i="417" s="1"/>
  <c r="A113" i="417" s="1"/>
  <c r="A114" i="417" s="1"/>
  <c r="A115" i="417" s="1"/>
  <c r="AJ6" i="417"/>
  <c r="S6" i="417"/>
  <c r="N6" i="417"/>
  <c r="K6" i="417"/>
  <c r="D6" i="417"/>
  <c r="AT140" i="416"/>
  <c r="AM139" i="416"/>
  <c r="BC133" i="416"/>
  <c r="BB133" i="416"/>
  <c r="BA133" i="416"/>
  <c r="AZ133" i="416"/>
  <c r="AV133" i="416"/>
  <c r="AU133" i="416"/>
  <c r="AS133" i="416"/>
  <c r="AR133" i="416"/>
  <c r="AQ133" i="416"/>
  <c r="AP133" i="416"/>
  <c r="AM133" i="416"/>
  <c r="AL133" i="416"/>
  <c r="AI133" i="416"/>
  <c r="AE133" i="416"/>
  <c r="AD133" i="416"/>
  <c r="AC133" i="416"/>
  <c r="AB133" i="416"/>
  <c r="Z133" i="416"/>
  <c r="Y133" i="416"/>
  <c r="X133" i="416"/>
  <c r="W133" i="416"/>
  <c r="R133" i="416"/>
  <c r="Q133" i="416"/>
  <c r="J133" i="416"/>
  <c r="I133" i="416"/>
  <c r="H133" i="416"/>
  <c r="E133" i="416"/>
  <c r="AT132" i="416"/>
  <c r="AF132" i="416"/>
  <c r="AJ132" i="416" s="1"/>
  <c r="AA132" i="416"/>
  <c r="S132" i="416"/>
  <c r="N132" i="416"/>
  <c r="K132" i="416"/>
  <c r="L132" i="416" s="1"/>
  <c r="P132" i="416" s="1"/>
  <c r="D132" i="416"/>
  <c r="F132" i="416" s="1"/>
  <c r="AJ131" i="416"/>
  <c r="S131" i="416"/>
  <c r="K131" i="416"/>
  <c r="L131" i="416" s="1"/>
  <c r="F131" i="416"/>
  <c r="AJ130" i="416"/>
  <c r="AA130" i="416"/>
  <c r="S130" i="416"/>
  <c r="K130" i="416"/>
  <c r="L130" i="416" s="1"/>
  <c r="D130" i="416"/>
  <c r="F130" i="416" s="1"/>
  <c r="AJ129" i="416"/>
  <c r="S129" i="416"/>
  <c r="N129" i="416"/>
  <c r="K129" i="416"/>
  <c r="L129" i="416" s="1"/>
  <c r="AJ128" i="416"/>
  <c r="S128" i="416"/>
  <c r="K128" i="416"/>
  <c r="L128" i="416" s="1"/>
  <c r="F128" i="416"/>
  <c r="BD133" i="416"/>
  <c r="AT127" i="416"/>
  <c r="AH127" i="416"/>
  <c r="AF127" i="416"/>
  <c r="AA127" i="416"/>
  <c r="S127" i="416"/>
  <c r="N127" i="416"/>
  <c r="K127" i="416"/>
  <c r="L127" i="416" s="1"/>
  <c r="G127" i="416"/>
  <c r="F127" i="416"/>
  <c r="AJ126" i="416"/>
  <c r="S126" i="416"/>
  <c r="K126" i="416"/>
  <c r="L126" i="416" s="1"/>
  <c r="P126" i="416" s="1"/>
  <c r="D126" i="416"/>
  <c r="F126" i="416" s="1"/>
  <c r="AG125" i="416"/>
  <c r="AG133" i="416" s="1"/>
  <c r="AA125" i="416"/>
  <c r="S125" i="416"/>
  <c r="N125" i="416"/>
  <c r="K125" i="416"/>
  <c r="L125" i="416" s="1"/>
  <c r="F125" i="416"/>
  <c r="AJ124" i="416"/>
  <c r="S124" i="416"/>
  <c r="K124" i="416"/>
  <c r="L124" i="416" s="1"/>
  <c r="P124" i="416" s="1"/>
  <c r="D124" i="416"/>
  <c r="F124" i="416" s="1"/>
  <c r="AJ123" i="416"/>
  <c r="S123" i="416"/>
  <c r="K123" i="416"/>
  <c r="L123" i="416" s="1"/>
  <c r="P123" i="416" s="1"/>
  <c r="F123" i="416"/>
  <c r="AJ122" i="416"/>
  <c r="S122" i="416"/>
  <c r="K122" i="416"/>
  <c r="L122" i="416" s="1"/>
  <c r="F122" i="416"/>
  <c r="AT121" i="416"/>
  <c r="AH121" i="416"/>
  <c r="AJ121" i="416" s="1"/>
  <c r="S121" i="416"/>
  <c r="N121" i="416"/>
  <c r="N133" i="416" s="1"/>
  <c r="K121" i="416"/>
  <c r="L121" i="416" s="1"/>
  <c r="F121" i="416"/>
  <c r="P120" i="416"/>
  <c r="P119" i="416"/>
  <c r="BC118" i="416"/>
  <c r="BB118" i="416"/>
  <c r="BA118" i="416"/>
  <c r="AZ118" i="416"/>
  <c r="AV118" i="416"/>
  <c r="AU118" i="416"/>
  <c r="AS118" i="416"/>
  <c r="AR118" i="416"/>
  <c r="AQ118" i="416"/>
  <c r="AP118" i="416"/>
  <c r="AP134" i="416" s="1"/>
  <c r="AN8" i="426" s="1"/>
  <c r="AM118" i="416"/>
  <c r="AL118" i="416"/>
  <c r="AI118" i="416"/>
  <c r="AD118" i="416"/>
  <c r="AC118" i="416"/>
  <c r="AB118" i="416"/>
  <c r="Z118" i="416"/>
  <c r="Y118" i="416"/>
  <c r="X118" i="416"/>
  <c r="X134" i="416" s="1"/>
  <c r="V8" i="426" s="1"/>
  <c r="H118" i="416"/>
  <c r="H134" i="416" s="1"/>
  <c r="F8" i="426" s="1"/>
  <c r="AJ117" i="416"/>
  <c r="AA117" i="416"/>
  <c r="O117" i="416"/>
  <c r="N117" i="416"/>
  <c r="U117" i="416" s="1"/>
  <c r="F117" i="416"/>
  <c r="AJ116" i="416"/>
  <c r="N116" i="416"/>
  <c r="U116" i="416" s="1"/>
  <c r="F116" i="416"/>
  <c r="AJ115" i="416"/>
  <c r="N115" i="416"/>
  <c r="U115" i="416" s="1"/>
  <c r="D115" i="416"/>
  <c r="AJ114" i="416"/>
  <c r="N114" i="416"/>
  <c r="U114" i="416" s="1"/>
  <c r="F114" i="416"/>
  <c r="AJ113" i="416"/>
  <c r="S113" i="416"/>
  <c r="N113" i="416"/>
  <c r="K113" i="416"/>
  <c r="L113" i="416" s="1"/>
  <c r="P113" i="416" s="1"/>
  <c r="F113" i="416"/>
  <c r="AJ112" i="416"/>
  <c r="S112" i="416"/>
  <c r="K112" i="416"/>
  <c r="L112" i="416" s="1"/>
  <c r="P112" i="416" s="1"/>
  <c r="F112" i="416"/>
  <c r="AJ111" i="416"/>
  <c r="S111" i="416"/>
  <c r="N111" i="416"/>
  <c r="K111" i="416"/>
  <c r="L111" i="416" s="1"/>
  <c r="D111" i="416"/>
  <c r="F111" i="416" s="1"/>
  <c r="AJ110" i="416"/>
  <c r="S110" i="416"/>
  <c r="K110" i="416"/>
  <c r="L110" i="416" s="1"/>
  <c r="P110" i="416" s="1"/>
  <c r="F110" i="416"/>
  <c r="AJ109" i="416"/>
  <c r="S109" i="416"/>
  <c r="N109" i="416"/>
  <c r="K109" i="416"/>
  <c r="L109" i="416" s="1"/>
  <c r="P109" i="416" s="1"/>
  <c r="F109" i="416"/>
  <c r="AJ108" i="416"/>
  <c r="S108" i="416"/>
  <c r="N108" i="416"/>
  <c r="K108" i="416"/>
  <c r="L108" i="416" s="1"/>
  <c r="D108" i="416"/>
  <c r="F108" i="416" s="1"/>
  <c r="AJ107" i="416"/>
  <c r="AA107" i="416"/>
  <c r="S107" i="416"/>
  <c r="N107" i="416"/>
  <c r="K107" i="416"/>
  <c r="L107" i="416" s="1"/>
  <c r="P107" i="416" s="1"/>
  <c r="D107" i="416"/>
  <c r="AJ106" i="416"/>
  <c r="S106" i="416"/>
  <c r="K106" i="416"/>
  <c r="L106" i="416" s="1"/>
  <c r="F106" i="416"/>
  <c r="AJ105" i="416"/>
  <c r="S105" i="416"/>
  <c r="K105" i="416"/>
  <c r="L105" i="416" s="1"/>
  <c r="P105" i="416" s="1"/>
  <c r="F105" i="416"/>
  <c r="AG104" i="416"/>
  <c r="AF104" i="416"/>
  <c r="AJ104" i="416" s="1"/>
  <c r="R104" i="416"/>
  <c r="R118" i="416" s="1"/>
  <c r="N104" i="416"/>
  <c r="K104" i="416"/>
  <c r="L104" i="416" s="1"/>
  <c r="G104" i="416"/>
  <c r="D104" i="416"/>
  <c r="F104" i="416" s="1"/>
  <c r="AJ103" i="416"/>
  <c r="S103" i="416"/>
  <c r="N103" i="416"/>
  <c r="L103" i="416"/>
  <c r="P103" i="416" s="1"/>
  <c r="K103" i="416"/>
  <c r="F103" i="416"/>
  <c r="AJ102" i="416"/>
  <c r="S102" i="416"/>
  <c r="N102" i="416"/>
  <c r="K102" i="416"/>
  <c r="L102" i="416" s="1"/>
  <c r="D102" i="416"/>
  <c r="F102" i="416" s="1"/>
  <c r="AJ101" i="416"/>
  <c r="S101" i="416"/>
  <c r="K101" i="416"/>
  <c r="L101" i="416" s="1"/>
  <c r="P101" i="416" s="1"/>
  <c r="D101" i="416"/>
  <c r="F101" i="416" s="1"/>
  <c r="AJ100" i="416"/>
  <c r="S100" i="416"/>
  <c r="K100" i="416"/>
  <c r="L100" i="416" s="1"/>
  <c r="D100" i="416"/>
  <c r="F100" i="416" s="1"/>
  <c r="AT99" i="416"/>
  <c r="AE99" i="416"/>
  <c r="AJ99" i="416" s="1"/>
  <c r="AA99" i="416"/>
  <c r="S99" i="416"/>
  <c r="N99" i="416"/>
  <c r="K99" i="416"/>
  <c r="L99" i="416" s="1"/>
  <c r="P99" i="416" s="1"/>
  <c r="F99" i="416"/>
  <c r="AJ98" i="416"/>
  <c r="S98" i="416"/>
  <c r="N98" i="416"/>
  <c r="K98" i="416"/>
  <c r="L98" i="416" s="1"/>
  <c r="F98" i="416"/>
  <c r="AJ97" i="416"/>
  <c r="Q97" i="416"/>
  <c r="S97" i="416" s="1"/>
  <c r="N97" i="416"/>
  <c r="K97" i="416"/>
  <c r="L97" i="416" s="1"/>
  <c r="G97" i="416"/>
  <c r="D97" i="416"/>
  <c r="F97" i="416" s="1"/>
  <c r="AJ96" i="416"/>
  <c r="Q96" i="416"/>
  <c r="S96" i="416" s="1"/>
  <c r="K96" i="416"/>
  <c r="L96" i="416" s="1"/>
  <c r="G96" i="416"/>
  <c r="D96" i="416"/>
  <c r="F96" i="416" s="1"/>
  <c r="AJ95" i="416"/>
  <c r="S95" i="416"/>
  <c r="N95" i="416"/>
  <c r="K95" i="416"/>
  <c r="L95" i="416" s="1"/>
  <c r="P95" i="416" s="1"/>
  <c r="F95" i="416"/>
  <c r="AJ94" i="416"/>
  <c r="S94" i="416"/>
  <c r="K94" i="416"/>
  <c r="L94" i="416" s="1"/>
  <c r="P94" i="416" s="1"/>
  <c r="D94" i="416"/>
  <c r="F94" i="416" s="1"/>
  <c r="AT93" i="416"/>
  <c r="AJ93" i="416"/>
  <c r="AA93" i="416"/>
  <c r="S93" i="416"/>
  <c r="N93" i="416"/>
  <c r="K93" i="416"/>
  <c r="L93" i="416" s="1"/>
  <c r="P93" i="416" s="1"/>
  <c r="D93" i="416"/>
  <c r="F93" i="416" s="1"/>
  <c r="AJ92" i="416"/>
  <c r="S92" i="416"/>
  <c r="K92" i="416"/>
  <c r="L92" i="416" s="1"/>
  <c r="P92" i="416" s="1"/>
  <c r="F92" i="416"/>
  <c r="AJ91" i="416"/>
  <c r="S91" i="416"/>
  <c r="N91" i="416"/>
  <c r="K91" i="416"/>
  <c r="L91" i="416" s="1"/>
  <c r="G91" i="416"/>
  <c r="F91" i="416"/>
  <c r="BD118" i="416"/>
  <c r="AT90" i="416"/>
  <c r="AH90" i="416"/>
  <c r="AJ90" i="416" s="1"/>
  <c r="S90" i="416"/>
  <c r="N90" i="416"/>
  <c r="K90" i="416"/>
  <c r="L90" i="416" s="1"/>
  <c r="F90" i="416"/>
  <c r="AJ89" i="416"/>
  <c r="S89" i="416"/>
  <c r="N89" i="416"/>
  <c r="K89" i="416"/>
  <c r="L89" i="416" s="1"/>
  <c r="P89" i="416" s="1"/>
  <c r="F89" i="416"/>
  <c r="AJ88" i="416"/>
  <c r="S88" i="416"/>
  <c r="N88" i="416"/>
  <c r="K88" i="416"/>
  <c r="L88" i="416" s="1"/>
  <c r="P88" i="416" s="1"/>
  <c r="F88" i="416"/>
  <c r="AJ87" i="416"/>
  <c r="S87" i="416"/>
  <c r="N87" i="416"/>
  <c r="K87" i="416"/>
  <c r="L87" i="416" s="1"/>
  <c r="P87" i="416" s="1"/>
  <c r="D87" i="416"/>
  <c r="F87" i="416" s="1"/>
  <c r="AJ86" i="416"/>
  <c r="S86" i="416"/>
  <c r="K86" i="416"/>
  <c r="L86" i="416" s="1"/>
  <c r="P86" i="416" s="1"/>
  <c r="F86" i="416"/>
  <c r="AJ85" i="416"/>
  <c r="S85" i="416"/>
  <c r="N85" i="416"/>
  <c r="K85" i="416"/>
  <c r="L85" i="416" s="1"/>
  <c r="P85" i="416" s="1"/>
  <c r="F85" i="416"/>
  <c r="AJ84" i="416"/>
  <c r="S84" i="416"/>
  <c r="N84" i="416"/>
  <c r="K84" i="416"/>
  <c r="L84" i="416" s="1"/>
  <c r="D84" i="416"/>
  <c r="F84" i="416" s="1"/>
  <c r="AJ83" i="416"/>
  <c r="S83" i="416"/>
  <c r="N83" i="416"/>
  <c r="K83" i="416"/>
  <c r="L83" i="416" s="1"/>
  <c r="F83" i="416"/>
  <c r="AJ82" i="416"/>
  <c r="Q82" i="416"/>
  <c r="S82" i="416" s="1"/>
  <c r="N82" i="416"/>
  <c r="K82" i="416"/>
  <c r="L82" i="416" s="1"/>
  <c r="G82" i="416"/>
  <c r="D82" i="416"/>
  <c r="F82" i="416" s="1"/>
  <c r="AJ81" i="416"/>
  <c r="S81" i="416"/>
  <c r="N81" i="416"/>
  <c r="K81" i="416"/>
  <c r="L81" i="416" s="1"/>
  <c r="F81" i="416"/>
  <c r="AJ80" i="416"/>
  <c r="S80" i="416"/>
  <c r="N80" i="416"/>
  <c r="K80" i="416"/>
  <c r="L80" i="416" s="1"/>
  <c r="F80" i="416"/>
  <c r="AG79" i="416"/>
  <c r="AJ79" i="416" s="1"/>
  <c r="S79" i="416"/>
  <c r="N79" i="416"/>
  <c r="K79" i="416"/>
  <c r="L79" i="416" s="1"/>
  <c r="G79" i="416"/>
  <c r="D79" i="416"/>
  <c r="AJ78" i="416"/>
  <c r="S78" i="416"/>
  <c r="K78" i="416"/>
  <c r="L78" i="416" s="1"/>
  <c r="F78" i="416"/>
  <c r="AJ77" i="416"/>
  <c r="S77" i="416"/>
  <c r="N77" i="416"/>
  <c r="K77" i="416"/>
  <c r="L77" i="416" s="1"/>
  <c r="P77" i="416" s="1"/>
  <c r="F77" i="416"/>
  <c r="AJ76" i="416"/>
  <c r="Q76" i="416"/>
  <c r="S76" i="416" s="1"/>
  <c r="K76" i="416"/>
  <c r="L76" i="416" s="1"/>
  <c r="P76" i="416" s="1"/>
  <c r="F76" i="416"/>
  <c r="AJ75" i="416"/>
  <c r="S75" i="416"/>
  <c r="N75" i="416"/>
  <c r="K75" i="416"/>
  <c r="L75" i="416" s="1"/>
  <c r="P75" i="416" s="1"/>
  <c r="F75" i="416"/>
  <c r="AJ74" i="416"/>
  <c r="S74" i="416"/>
  <c r="N74" i="416"/>
  <c r="K74" i="416"/>
  <c r="L74" i="416" s="1"/>
  <c r="F74" i="416"/>
  <c r="AJ73" i="416"/>
  <c r="S73" i="416"/>
  <c r="K73" i="416"/>
  <c r="L73" i="416" s="1"/>
  <c r="F73" i="416"/>
  <c r="AJ72" i="416"/>
  <c r="Q72" i="416"/>
  <c r="S72" i="416" s="1"/>
  <c r="N72" i="416"/>
  <c r="K72" i="416"/>
  <c r="L72" i="416" s="1"/>
  <c r="F72" i="416"/>
  <c r="AJ71" i="416"/>
  <c r="S71" i="416"/>
  <c r="N71" i="416"/>
  <c r="K71" i="416"/>
  <c r="L71" i="416" s="1"/>
  <c r="F71" i="416"/>
  <c r="AJ70" i="416"/>
  <c r="S70" i="416"/>
  <c r="N70" i="416"/>
  <c r="K70" i="416"/>
  <c r="L70" i="416" s="1"/>
  <c r="P70" i="416" s="1"/>
  <c r="D70" i="416"/>
  <c r="F70" i="416" s="1"/>
  <c r="AW69" i="416"/>
  <c r="AW118" i="416" s="1"/>
  <c r="AW134" i="416" s="1"/>
  <c r="AU8" i="426" s="1"/>
  <c r="AJ69" i="416"/>
  <c r="Q69" i="416"/>
  <c r="S69" i="416" s="1"/>
  <c r="N69" i="416"/>
  <c r="K69" i="416"/>
  <c r="L69" i="416" s="1"/>
  <c r="G69" i="416"/>
  <c r="F69" i="416"/>
  <c r="AJ68" i="416"/>
  <c r="S68" i="416"/>
  <c r="N68" i="416"/>
  <c r="K68" i="416"/>
  <c r="L68" i="416" s="1"/>
  <c r="F68" i="416"/>
  <c r="AJ67" i="416"/>
  <c r="S67" i="416"/>
  <c r="N67" i="416"/>
  <c r="K67" i="416"/>
  <c r="L67" i="416" s="1"/>
  <c r="F67" i="416"/>
  <c r="AJ66" i="416"/>
  <c r="S66" i="416"/>
  <c r="N66" i="416"/>
  <c r="K66" i="416"/>
  <c r="L66" i="416" s="1"/>
  <c r="P66" i="416" s="1"/>
  <c r="D66" i="416"/>
  <c r="F66" i="416" s="1"/>
  <c r="AJ65" i="416"/>
  <c r="S65" i="416"/>
  <c r="N65" i="416"/>
  <c r="K65" i="416"/>
  <c r="L65" i="416" s="1"/>
  <c r="P65" i="416" s="1"/>
  <c r="F65" i="416"/>
  <c r="AJ64" i="416"/>
  <c r="S64" i="416"/>
  <c r="N64" i="416"/>
  <c r="K64" i="416"/>
  <c r="L64" i="416" s="1"/>
  <c r="F64" i="416"/>
  <c r="AJ63" i="416"/>
  <c r="S63" i="416"/>
  <c r="N63" i="416"/>
  <c r="K63" i="416"/>
  <c r="L63" i="416" s="1"/>
  <c r="P63" i="416" s="1"/>
  <c r="D63" i="416"/>
  <c r="F63" i="416" s="1"/>
  <c r="AJ62" i="416"/>
  <c r="S62" i="416"/>
  <c r="K62" i="416"/>
  <c r="L62" i="416" s="1"/>
  <c r="P62" i="416" s="1"/>
  <c r="F62" i="416"/>
  <c r="AJ61" i="416"/>
  <c r="S61" i="416"/>
  <c r="N61" i="416"/>
  <c r="K61" i="416"/>
  <c r="L61" i="416" s="1"/>
  <c r="F61" i="416"/>
  <c r="AJ60" i="416"/>
  <c r="S60" i="416"/>
  <c r="K60" i="416"/>
  <c r="L60" i="416" s="1"/>
  <c r="P60" i="416" s="1"/>
  <c r="M60" i="416" s="1"/>
  <c r="F60" i="416"/>
  <c r="AJ59" i="416"/>
  <c r="S59" i="416"/>
  <c r="K59" i="416"/>
  <c r="L59" i="416" s="1"/>
  <c r="P59" i="416" s="1"/>
  <c r="F59" i="416"/>
  <c r="AJ58" i="416"/>
  <c r="S58" i="416"/>
  <c r="K58" i="416"/>
  <c r="L58" i="416" s="1"/>
  <c r="F58" i="416"/>
  <c r="AJ57" i="416"/>
  <c r="S57" i="416"/>
  <c r="N57" i="416"/>
  <c r="K57" i="416"/>
  <c r="L57" i="416" s="1"/>
  <c r="D57" i="416"/>
  <c r="F57" i="416" s="1"/>
  <c r="AJ56" i="416"/>
  <c r="S56" i="416"/>
  <c r="N56" i="416"/>
  <c r="K56" i="416"/>
  <c r="L56" i="416" s="1"/>
  <c r="P56" i="416" s="1"/>
  <c r="F56" i="416"/>
  <c r="AJ55" i="416"/>
  <c r="S55" i="416"/>
  <c r="K55" i="416"/>
  <c r="L55" i="416" s="1"/>
  <c r="P55" i="416" s="1"/>
  <c r="F55" i="416"/>
  <c r="AJ54" i="416"/>
  <c r="S54" i="416"/>
  <c r="K54" i="416"/>
  <c r="L54" i="416" s="1"/>
  <c r="D54" i="416"/>
  <c r="F54" i="416" s="1"/>
  <c r="AJ53" i="416"/>
  <c r="S53" i="416"/>
  <c r="N53" i="416"/>
  <c r="K53" i="416"/>
  <c r="L53" i="416" s="1"/>
  <c r="F53" i="416"/>
  <c r="AJ52" i="416"/>
  <c r="S52" i="416"/>
  <c r="K52" i="416"/>
  <c r="L52" i="416" s="1"/>
  <c r="P52" i="416" s="1"/>
  <c r="F52" i="416"/>
  <c r="AJ51" i="416"/>
  <c r="W51" i="416"/>
  <c r="W118" i="416" s="1"/>
  <c r="W134" i="416" s="1"/>
  <c r="U8" i="426" s="1"/>
  <c r="Q51" i="416"/>
  <c r="S51" i="416" s="1"/>
  <c r="N51" i="416"/>
  <c r="K51" i="416"/>
  <c r="L51" i="416" s="1"/>
  <c r="G51" i="416"/>
  <c r="F51" i="416"/>
  <c r="AJ50" i="416"/>
  <c r="Q50" i="416"/>
  <c r="S50" i="416" s="1"/>
  <c r="N50" i="416"/>
  <c r="K50" i="416"/>
  <c r="L50" i="416" s="1"/>
  <c r="G50" i="416"/>
  <c r="D50" i="416"/>
  <c r="AG49" i="416"/>
  <c r="AJ49" i="416" s="1"/>
  <c r="AA49" i="416"/>
  <c r="Q49" i="416"/>
  <c r="S49" i="416" s="1"/>
  <c r="N49" i="416"/>
  <c r="K49" i="416"/>
  <c r="L49" i="416" s="1"/>
  <c r="G49" i="416"/>
  <c r="F49" i="416"/>
  <c r="AJ48" i="416"/>
  <c r="S48" i="416"/>
  <c r="N48" i="416"/>
  <c r="K48" i="416"/>
  <c r="L48" i="416" s="1"/>
  <c r="F48" i="416"/>
  <c r="AJ47" i="416"/>
  <c r="S47" i="416"/>
  <c r="N47" i="416"/>
  <c r="K47" i="416"/>
  <c r="L47" i="416" s="1"/>
  <c r="F47" i="416"/>
  <c r="AJ46" i="416"/>
  <c r="S46" i="416"/>
  <c r="N46" i="416"/>
  <c r="K46" i="416"/>
  <c r="L46" i="416" s="1"/>
  <c r="P46" i="416" s="1"/>
  <c r="D46" i="416"/>
  <c r="F46" i="416" s="1"/>
  <c r="AJ45" i="416"/>
  <c r="S45" i="416"/>
  <c r="K45" i="416"/>
  <c r="L45" i="416" s="1"/>
  <c r="P45" i="416" s="1"/>
  <c r="D45" i="416"/>
  <c r="F45" i="416" s="1"/>
  <c r="AG44" i="416"/>
  <c r="AJ44" i="416" s="1"/>
  <c r="AA44" i="416"/>
  <c r="S44" i="416"/>
  <c r="N44" i="416"/>
  <c r="K44" i="416"/>
  <c r="L44" i="416" s="1"/>
  <c r="D44" i="416"/>
  <c r="F44" i="416" s="1"/>
  <c r="AJ43" i="416"/>
  <c r="S43" i="416"/>
  <c r="K43" i="416"/>
  <c r="L43" i="416" s="1"/>
  <c r="P43" i="416" s="1"/>
  <c r="F43" i="416"/>
  <c r="AJ42" i="416"/>
  <c r="S42" i="416"/>
  <c r="K42" i="416"/>
  <c r="L42" i="416" s="1"/>
  <c r="P42" i="416" s="1"/>
  <c r="D42" i="416"/>
  <c r="AJ41" i="416"/>
  <c r="S41" i="416"/>
  <c r="N41" i="416"/>
  <c r="K41" i="416"/>
  <c r="L41" i="416" s="1"/>
  <c r="D41" i="416"/>
  <c r="F41" i="416" s="1"/>
  <c r="AJ40" i="416"/>
  <c r="AA40" i="416"/>
  <c r="Q40" i="416"/>
  <c r="S40" i="416" s="1"/>
  <c r="N40" i="416"/>
  <c r="K40" i="416"/>
  <c r="L40" i="416" s="1"/>
  <c r="G40" i="416"/>
  <c r="D40" i="416"/>
  <c r="F40" i="416" s="1"/>
  <c r="AH39" i="416"/>
  <c r="AJ39" i="416" s="1"/>
  <c r="Q39" i="416"/>
  <c r="S39" i="416" s="1"/>
  <c r="N39" i="416"/>
  <c r="K39" i="416"/>
  <c r="L39" i="416" s="1"/>
  <c r="G39" i="416"/>
  <c r="F39" i="416"/>
  <c r="AF38" i="416"/>
  <c r="Q38" i="416"/>
  <c r="S38" i="416" s="1"/>
  <c r="N38" i="416"/>
  <c r="K38" i="416"/>
  <c r="L38" i="416" s="1"/>
  <c r="G38" i="416"/>
  <c r="F38" i="416"/>
  <c r="AH37" i="416"/>
  <c r="AJ37" i="416" s="1"/>
  <c r="S37" i="416"/>
  <c r="N37" i="416"/>
  <c r="K37" i="416"/>
  <c r="L37" i="416" s="1"/>
  <c r="F37" i="416"/>
  <c r="AJ36" i="416"/>
  <c r="S36" i="416"/>
  <c r="N36" i="416"/>
  <c r="K36" i="416"/>
  <c r="L36" i="416" s="1"/>
  <c r="P36" i="416" s="1"/>
  <c r="F36" i="416"/>
  <c r="AJ35" i="416"/>
  <c r="S35" i="416"/>
  <c r="K35" i="416"/>
  <c r="L35" i="416" s="1"/>
  <c r="P35" i="416" s="1"/>
  <c r="D35" i="416"/>
  <c r="AJ34" i="416"/>
  <c r="S34" i="416"/>
  <c r="N34" i="416"/>
  <c r="K34" i="416"/>
  <c r="L34" i="416" s="1"/>
  <c r="P34" i="416" s="1"/>
  <c r="D34" i="416"/>
  <c r="F34" i="416" s="1"/>
  <c r="AJ33" i="416"/>
  <c r="S33" i="416"/>
  <c r="K33" i="416"/>
  <c r="L33" i="416" s="1"/>
  <c r="P33" i="416" s="1"/>
  <c r="D33" i="416"/>
  <c r="AT32" i="416"/>
  <c r="AT118" i="416" s="1"/>
  <c r="AH32" i="416"/>
  <c r="AG32" i="416"/>
  <c r="AA32" i="416"/>
  <c r="Q32" i="416"/>
  <c r="S32" i="416" s="1"/>
  <c r="N32" i="416"/>
  <c r="K32" i="416"/>
  <c r="L32" i="416" s="1"/>
  <c r="P32" i="416" s="1"/>
  <c r="G32" i="416"/>
  <c r="D32" i="416"/>
  <c r="F32" i="416" s="1"/>
  <c r="AJ31" i="416"/>
  <c r="Q31" i="416"/>
  <c r="S31" i="416" s="1"/>
  <c r="N31" i="416"/>
  <c r="K31" i="416"/>
  <c r="L31" i="416" s="1"/>
  <c r="G31" i="416"/>
  <c r="D31" i="416"/>
  <c r="F31" i="416" s="1"/>
  <c r="AG30" i="416"/>
  <c r="S30" i="416"/>
  <c r="N30" i="416"/>
  <c r="K30" i="416"/>
  <c r="L30" i="416" s="1"/>
  <c r="P30" i="416" s="1"/>
  <c r="D30" i="416"/>
  <c r="F30" i="416" s="1"/>
  <c r="AJ29" i="416"/>
  <c r="S29" i="416"/>
  <c r="N29" i="416"/>
  <c r="K29" i="416"/>
  <c r="L29" i="416" s="1"/>
  <c r="P29" i="416" s="1"/>
  <c r="D29" i="416"/>
  <c r="AJ28" i="416"/>
  <c r="AA28" i="416"/>
  <c r="S28" i="416"/>
  <c r="N28" i="416"/>
  <c r="K28" i="416"/>
  <c r="L28" i="416" s="1"/>
  <c r="F28" i="416"/>
  <c r="AJ27" i="416"/>
  <c r="S27" i="416"/>
  <c r="N27" i="416"/>
  <c r="K27" i="416"/>
  <c r="L27" i="416" s="1"/>
  <c r="G27" i="416"/>
  <c r="E27" i="416"/>
  <c r="F27" i="416" s="1"/>
  <c r="D27" i="416"/>
  <c r="AJ26" i="416"/>
  <c r="S26" i="416"/>
  <c r="K26" i="416"/>
  <c r="L26" i="416" s="1"/>
  <c r="P26" i="416" s="1"/>
  <c r="F26" i="416"/>
  <c r="AJ25" i="416"/>
  <c r="S25" i="416"/>
  <c r="K25" i="416"/>
  <c r="L25" i="416" s="1"/>
  <c r="P25" i="416" s="1"/>
  <c r="F25" i="416"/>
  <c r="AJ24" i="416"/>
  <c r="S24" i="416"/>
  <c r="K24" i="416"/>
  <c r="L24" i="416" s="1"/>
  <c r="G24" i="416"/>
  <c r="E24" i="416"/>
  <c r="D24" i="416"/>
  <c r="AJ23" i="416"/>
  <c r="S23" i="416"/>
  <c r="J23" i="416"/>
  <c r="K23" i="416" s="1"/>
  <c r="L23" i="416" s="1"/>
  <c r="P23" i="416" s="1"/>
  <c r="F23" i="416"/>
  <c r="AJ22" i="416"/>
  <c r="S22" i="416"/>
  <c r="N22" i="416"/>
  <c r="I22" i="416"/>
  <c r="I118" i="416" s="1"/>
  <c r="F22" i="416"/>
  <c r="AH21" i="416"/>
  <c r="S21" i="416"/>
  <c r="N21" i="416"/>
  <c r="K21" i="416"/>
  <c r="L21" i="416" s="1"/>
  <c r="P21" i="416" s="1"/>
  <c r="D21" i="416"/>
  <c r="F21" i="416" s="1"/>
  <c r="AJ20" i="416"/>
  <c r="S20" i="416"/>
  <c r="J20" i="416"/>
  <c r="K20" i="416" s="1"/>
  <c r="L20" i="416" s="1"/>
  <c r="D20" i="416"/>
  <c r="F20" i="416" s="1"/>
  <c r="AJ19" i="416"/>
  <c r="S19" i="416"/>
  <c r="N19" i="416"/>
  <c r="K19" i="416"/>
  <c r="L19" i="416" s="1"/>
  <c r="P19" i="416" s="1"/>
  <c r="F19" i="416"/>
  <c r="AJ18" i="416"/>
  <c r="S18" i="416"/>
  <c r="N18" i="416"/>
  <c r="J18" i="416"/>
  <c r="K18" i="416" s="1"/>
  <c r="L18" i="416" s="1"/>
  <c r="F18" i="416"/>
  <c r="AJ17" i="416"/>
  <c r="S17" i="416"/>
  <c r="N17" i="416"/>
  <c r="J17" i="416"/>
  <c r="K17" i="416" s="1"/>
  <c r="L17" i="416" s="1"/>
  <c r="F17" i="416"/>
  <c r="D17" i="416"/>
  <c r="AJ16" i="416"/>
  <c r="S16" i="416"/>
  <c r="N16" i="416"/>
  <c r="J16" i="416"/>
  <c r="K16" i="416" s="1"/>
  <c r="L16" i="416" s="1"/>
  <c r="P16" i="416" s="1"/>
  <c r="D16" i="416"/>
  <c r="AJ15" i="416"/>
  <c r="S15" i="416"/>
  <c r="J15" i="416"/>
  <c r="K15" i="416" s="1"/>
  <c r="L15" i="416" s="1"/>
  <c r="F15" i="416"/>
  <c r="AJ14" i="416"/>
  <c r="S14" i="416"/>
  <c r="N14" i="416"/>
  <c r="K14" i="416"/>
  <c r="L14" i="416" s="1"/>
  <c r="F14" i="416"/>
  <c r="AJ13" i="416"/>
  <c r="S13" i="416"/>
  <c r="J13" i="416"/>
  <c r="K13" i="416" s="1"/>
  <c r="L13" i="416" s="1"/>
  <c r="F13" i="416"/>
  <c r="AJ12" i="416"/>
  <c r="Q12" i="416"/>
  <c r="S12" i="416" s="1"/>
  <c r="N12" i="416"/>
  <c r="J12" i="416"/>
  <c r="K12" i="416" s="1"/>
  <c r="L12" i="416" s="1"/>
  <c r="D12" i="416"/>
  <c r="F12" i="416" s="1"/>
  <c r="AJ11" i="416"/>
  <c r="S11" i="416"/>
  <c r="Q11" i="416"/>
  <c r="N11" i="416"/>
  <c r="J11" i="416"/>
  <c r="K11" i="416" s="1"/>
  <c r="L11" i="416" s="1"/>
  <c r="F11" i="416"/>
  <c r="AJ10" i="416"/>
  <c r="S10" i="416"/>
  <c r="K10" i="416"/>
  <c r="L10" i="416" s="1"/>
  <c r="F10" i="416"/>
  <c r="AJ9" i="416"/>
  <c r="S9" i="416"/>
  <c r="N9" i="416"/>
  <c r="J9" i="416"/>
  <c r="K9" i="416" s="1"/>
  <c r="L9" i="416" s="1"/>
  <c r="P9" i="416" s="1"/>
  <c r="D9" i="416"/>
  <c r="F9" i="416" s="1"/>
  <c r="AJ8" i="416"/>
  <c r="AA8" i="416"/>
  <c r="S8" i="416"/>
  <c r="N8" i="416"/>
  <c r="J8" i="416"/>
  <c r="K8" i="416" s="1"/>
  <c r="L8" i="416" s="1"/>
  <c r="P8" i="416" s="1"/>
  <c r="D8" i="416"/>
  <c r="F8" i="416" s="1"/>
  <c r="AJ7" i="416"/>
  <c r="S7" i="416"/>
  <c r="J7" i="416"/>
  <c r="F7" i="416"/>
  <c r="A7" i="416"/>
  <c r="AJ6" i="416"/>
  <c r="S6" i="416"/>
  <c r="N6" i="416"/>
  <c r="K6" i="416"/>
  <c r="L6" i="416" s="1"/>
  <c r="F6" i="416"/>
  <c r="X2" i="416"/>
  <c r="AW66" i="415"/>
  <c r="AU7" i="426" s="1"/>
  <c r="AV66" i="415"/>
  <c r="AT7" i="426" s="1"/>
  <c r="AU66" i="415"/>
  <c r="AS7" i="426" s="1"/>
  <c r="AT66" i="415"/>
  <c r="AR7" i="426" s="1"/>
  <c r="AS66" i="415"/>
  <c r="AQ7" i="426" s="1"/>
  <c r="AR66" i="415"/>
  <c r="AP7" i="426" s="1"/>
  <c r="AQ66" i="415"/>
  <c r="AO7" i="426" s="1"/>
  <c r="AP66" i="415"/>
  <c r="AN7" i="426" s="1"/>
  <c r="AM66" i="415"/>
  <c r="AK7" i="426" s="1"/>
  <c r="AL66" i="415"/>
  <c r="AI66" i="415"/>
  <c r="AG7" i="426" s="1"/>
  <c r="AH66" i="415"/>
  <c r="AF7" i="426" s="1"/>
  <c r="AG66" i="415"/>
  <c r="AE7" i="426" s="1"/>
  <c r="AF66" i="415"/>
  <c r="AD7" i="426" s="1"/>
  <c r="AE66" i="415"/>
  <c r="AC7" i="426" s="1"/>
  <c r="AD66" i="415"/>
  <c r="AB7" i="426" s="1"/>
  <c r="AC66" i="415"/>
  <c r="AB66" i="415"/>
  <c r="AA66" i="415"/>
  <c r="Y7" i="426" s="1"/>
  <c r="Z66" i="415"/>
  <c r="X7" i="426" s="1"/>
  <c r="Y66" i="415"/>
  <c r="W7" i="426" s="1"/>
  <c r="X66" i="415"/>
  <c r="V7" i="426" s="1"/>
  <c r="W66" i="415"/>
  <c r="U7" i="426" s="1"/>
  <c r="R66" i="415"/>
  <c r="P7" i="426" s="1"/>
  <c r="Q66" i="415"/>
  <c r="O7" i="426" s="1"/>
  <c r="H66" i="415"/>
  <c r="F7" i="426" s="1"/>
  <c r="E66" i="415"/>
  <c r="C7" i="426" s="1"/>
  <c r="AJ65" i="415"/>
  <c r="S65" i="415"/>
  <c r="N65" i="415"/>
  <c r="K65" i="415"/>
  <c r="L65" i="415" s="1"/>
  <c r="P65" i="415" s="1"/>
  <c r="D65" i="415"/>
  <c r="F65" i="415" s="1"/>
  <c r="AJ64" i="415"/>
  <c r="S64" i="415"/>
  <c r="N64" i="415"/>
  <c r="K64" i="415"/>
  <c r="L64" i="415" s="1"/>
  <c r="P64" i="415" s="1"/>
  <c r="D64" i="415"/>
  <c r="F64" i="415" s="1"/>
  <c r="AJ63" i="415"/>
  <c r="S63" i="415"/>
  <c r="N63" i="415"/>
  <c r="K63" i="415"/>
  <c r="L63" i="415" s="1"/>
  <c r="P63" i="415" s="1"/>
  <c r="D63" i="415"/>
  <c r="F63" i="415" s="1"/>
  <c r="AJ62" i="415"/>
  <c r="S62" i="415"/>
  <c r="N62" i="415"/>
  <c r="K62" i="415"/>
  <c r="L62" i="415" s="1"/>
  <c r="P62" i="415" s="1"/>
  <c r="D62" i="415"/>
  <c r="F62" i="415" s="1"/>
  <c r="AJ61" i="415"/>
  <c r="S61" i="415"/>
  <c r="K61" i="415"/>
  <c r="L61" i="415" s="1"/>
  <c r="F61" i="415"/>
  <c r="AJ60" i="415"/>
  <c r="S60" i="415"/>
  <c r="N60" i="415"/>
  <c r="K60" i="415"/>
  <c r="L60" i="415" s="1"/>
  <c r="D60" i="415"/>
  <c r="F60" i="415" s="1"/>
  <c r="AJ59" i="415"/>
  <c r="S59" i="415"/>
  <c r="N59" i="415"/>
  <c r="K59" i="415"/>
  <c r="L59" i="415" s="1"/>
  <c r="F59" i="415"/>
  <c r="AJ58" i="415"/>
  <c r="S58" i="415"/>
  <c r="N58" i="415"/>
  <c r="K58" i="415"/>
  <c r="L58" i="415" s="1"/>
  <c r="F58" i="415"/>
  <c r="AJ57" i="415"/>
  <c r="S57" i="415"/>
  <c r="K57" i="415"/>
  <c r="L57" i="415" s="1"/>
  <c r="P57" i="415" s="1"/>
  <c r="F57" i="415"/>
  <c r="AJ56" i="415"/>
  <c r="S56" i="415"/>
  <c r="N56" i="415"/>
  <c r="K56" i="415"/>
  <c r="L56" i="415" s="1"/>
  <c r="F56" i="415"/>
  <c r="AJ55" i="415"/>
  <c r="S55" i="415"/>
  <c r="N55" i="415"/>
  <c r="K55" i="415"/>
  <c r="L55" i="415" s="1"/>
  <c r="F55" i="415"/>
  <c r="AJ54" i="415"/>
  <c r="S54" i="415"/>
  <c r="N54" i="415"/>
  <c r="K54" i="415"/>
  <c r="L54" i="415" s="1"/>
  <c r="P54" i="415" s="1"/>
  <c r="F54" i="415"/>
  <c r="AJ53" i="415"/>
  <c r="S53" i="415"/>
  <c r="K53" i="415"/>
  <c r="L53" i="415" s="1"/>
  <c r="F53" i="415"/>
  <c r="AJ52" i="415"/>
  <c r="S52" i="415"/>
  <c r="K52" i="415"/>
  <c r="L52" i="415" s="1"/>
  <c r="F52" i="415"/>
  <c r="AJ51" i="415"/>
  <c r="S51" i="415"/>
  <c r="K51" i="415"/>
  <c r="L51" i="415" s="1"/>
  <c r="P51" i="415" s="1"/>
  <c r="F51" i="415"/>
  <c r="AJ50" i="415"/>
  <c r="S50" i="415"/>
  <c r="N50" i="415"/>
  <c r="J50" i="415"/>
  <c r="K50" i="415" s="1"/>
  <c r="L50" i="415" s="1"/>
  <c r="G50" i="415"/>
  <c r="G66" i="415" s="1"/>
  <c r="E7" i="426" s="1"/>
  <c r="F50" i="415"/>
  <c r="AJ49" i="415"/>
  <c r="S49" i="415"/>
  <c r="N49" i="415"/>
  <c r="K49" i="415"/>
  <c r="L49" i="415" s="1"/>
  <c r="P49" i="415" s="1"/>
  <c r="F49" i="415"/>
  <c r="AJ48" i="415"/>
  <c r="S48" i="415"/>
  <c r="N48" i="415"/>
  <c r="K48" i="415"/>
  <c r="L48" i="415" s="1"/>
  <c r="F48" i="415"/>
  <c r="AJ47" i="415"/>
  <c r="S47" i="415"/>
  <c r="N47" i="415"/>
  <c r="K47" i="415"/>
  <c r="L47" i="415" s="1"/>
  <c r="F47" i="415"/>
  <c r="AJ46" i="415"/>
  <c r="S46" i="415"/>
  <c r="N46" i="415"/>
  <c r="K46" i="415"/>
  <c r="L46" i="415" s="1"/>
  <c r="P46" i="415" s="1"/>
  <c r="F46" i="415"/>
  <c r="AJ45" i="415"/>
  <c r="S45" i="415"/>
  <c r="N45" i="415"/>
  <c r="K45" i="415"/>
  <c r="L45" i="415" s="1"/>
  <c r="F45" i="415"/>
  <c r="AJ44" i="415"/>
  <c r="S44" i="415"/>
  <c r="N44" i="415"/>
  <c r="K44" i="415"/>
  <c r="L44" i="415" s="1"/>
  <c r="F44" i="415"/>
  <c r="AJ43" i="415"/>
  <c r="S43" i="415"/>
  <c r="K43" i="415"/>
  <c r="L43" i="415" s="1"/>
  <c r="P43" i="415" s="1"/>
  <c r="D43" i="415"/>
  <c r="F43" i="415" s="1"/>
  <c r="AJ42" i="415"/>
  <c r="S42" i="415"/>
  <c r="K42" i="415"/>
  <c r="L42" i="415" s="1"/>
  <c r="F42" i="415"/>
  <c r="AJ41" i="415"/>
  <c r="S41" i="415"/>
  <c r="K41" i="415"/>
  <c r="L41" i="415" s="1"/>
  <c r="D41" i="415"/>
  <c r="F41" i="415" s="1"/>
  <c r="AJ40" i="415"/>
  <c r="S40" i="415"/>
  <c r="N40" i="415"/>
  <c r="K40" i="415"/>
  <c r="L40" i="415" s="1"/>
  <c r="P40" i="415" s="1"/>
  <c r="F40" i="415"/>
  <c r="AJ39" i="415"/>
  <c r="S39" i="415"/>
  <c r="N39" i="415"/>
  <c r="K39" i="415"/>
  <c r="L39" i="415" s="1"/>
  <c r="F39" i="415"/>
  <c r="AJ38" i="415"/>
  <c r="S38" i="415"/>
  <c r="K38" i="415"/>
  <c r="L38" i="415" s="1"/>
  <c r="D38" i="415"/>
  <c r="F38" i="415" s="1"/>
  <c r="AJ37" i="415"/>
  <c r="S37" i="415"/>
  <c r="N37" i="415"/>
  <c r="K37" i="415"/>
  <c r="L37" i="415" s="1"/>
  <c r="P37" i="415" s="1"/>
  <c r="F37" i="415"/>
  <c r="AJ36" i="415"/>
  <c r="S36" i="415"/>
  <c r="K36" i="415"/>
  <c r="L36" i="415" s="1"/>
  <c r="F36" i="415"/>
  <c r="AJ35" i="415"/>
  <c r="S35" i="415"/>
  <c r="N35" i="415"/>
  <c r="K35" i="415"/>
  <c r="L35" i="415" s="1"/>
  <c r="P35" i="415" s="1"/>
  <c r="F35" i="415"/>
  <c r="AJ34" i="415"/>
  <c r="S34" i="415"/>
  <c r="N34" i="415"/>
  <c r="I34" i="415"/>
  <c r="K34" i="415" s="1"/>
  <c r="L34" i="415" s="1"/>
  <c r="P34" i="415" s="1"/>
  <c r="D34" i="415"/>
  <c r="F34" i="415" s="1"/>
  <c r="AJ33" i="415"/>
  <c r="S33" i="415"/>
  <c r="K33" i="415"/>
  <c r="L33" i="415" s="1"/>
  <c r="F33" i="415"/>
  <c r="AJ32" i="415"/>
  <c r="S32" i="415"/>
  <c r="N32" i="415"/>
  <c r="K32" i="415"/>
  <c r="L32" i="415" s="1"/>
  <c r="P32" i="415" s="1"/>
  <c r="F32" i="415"/>
  <c r="AJ31" i="415"/>
  <c r="S31" i="415"/>
  <c r="N31" i="415"/>
  <c r="K31" i="415"/>
  <c r="L31" i="415" s="1"/>
  <c r="F31" i="415"/>
  <c r="AJ30" i="415"/>
  <c r="S30" i="415"/>
  <c r="N30" i="415"/>
  <c r="I30" i="415"/>
  <c r="K30" i="415" s="1"/>
  <c r="L30" i="415" s="1"/>
  <c r="D30" i="415"/>
  <c r="F30" i="415" s="1"/>
  <c r="AJ29" i="415"/>
  <c r="S29" i="415"/>
  <c r="N29" i="415"/>
  <c r="K29" i="415"/>
  <c r="L29" i="415" s="1"/>
  <c r="F29" i="415"/>
  <c r="AJ28" i="415"/>
  <c r="S28" i="415"/>
  <c r="K28" i="415"/>
  <c r="L28" i="415" s="1"/>
  <c r="F28" i="415"/>
  <c r="AJ27" i="415"/>
  <c r="S27" i="415"/>
  <c r="N27" i="415"/>
  <c r="I27" i="415"/>
  <c r="F27" i="415"/>
  <c r="AJ26" i="415"/>
  <c r="S26" i="415"/>
  <c r="K26" i="415"/>
  <c r="L26" i="415" s="1"/>
  <c r="F26" i="415"/>
  <c r="AJ25" i="415"/>
  <c r="S25" i="415"/>
  <c r="N25" i="415"/>
  <c r="K25" i="415"/>
  <c r="L25" i="415" s="1"/>
  <c r="P25" i="415" s="1"/>
  <c r="F25" i="415"/>
  <c r="AJ24" i="415"/>
  <c r="S24" i="415"/>
  <c r="N24" i="415"/>
  <c r="K24" i="415"/>
  <c r="L24" i="415" s="1"/>
  <c r="P24" i="415" s="1"/>
  <c r="M24" i="415" s="1"/>
  <c r="F24" i="415"/>
  <c r="AJ23" i="415"/>
  <c r="S23" i="415"/>
  <c r="N23" i="415"/>
  <c r="K23" i="415"/>
  <c r="L23" i="415" s="1"/>
  <c r="F23" i="415"/>
  <c r="AJ22" i="415"/>
  <c r="S22" i="415"/>
  <c r="N22" i="415"/>
  <c r="K22" i="415"/>
  <c r="L22" i="415" s="1"/>
  <c r="P22" i="415" s="1"/>
  <c r="F22" i="415"/>
  <c r="AJ21" i="415"/>
  <c r="S21" i="415"/>
  <c r="N21" i="415"/>
  <c r="K21" i="415"/>
  <c r="L21" i="415" s="1"/>
  <c r="F21" i="415"/>
  <c r="AJ20" i="415"/>
  <c r="S20" i="415"/>
  <c r="N20" i="415"/>
  <c r="J20" i="415"/>
  <c r="K20" i="415" s="1"/>
  <c r="L20" i="415" s="1"/>
  <c r="F20" i="415"/>
  <c r="AJ19" i="415"/>
  <c r="S19" i="415"/>
  <c r="N19" i="415"/>
  <c r="K19" i="415"/>
  <c r="L19" i="415" s="1"/>
  <c r="F19" i="415"/>
  <c r="AJ18" i="415"/>
  <c r="S18" i="415"/>
  <c r="N18" i="415"/>
  <c r="J18" i="415"/>
  <c r="K18" i="415" s="1"/>
  <c r="L18" i="415" s="1"/>
  <c r="P18" i="415" s="1"/>
  <c r="D18" i="415"/>
  <c r="F18" i="415" s="1"/>
  <c r="AJ17" i="415"/>
  <c r="S17" i="415"/>
  <c r="K17" i="415"/>
  <c r="L17" i="415" s="1"/>
  <c r="F17" i="415"/>
  <c r="AJ16" i="415"/>
  <c r="S16" i="415"/>
  <c r="N16" i="415"/>
  <c r="K16" i="415"/>
  <c r="L16" i="415" s="1"/>
  <c r="D16" i="415"/>
  <c r="F16" i="415" s="1"/>
  <c r="AJ15" i="415"/>
  <c r="S15" i="415"/>
  <c r="N15" i="415"/>
  <c r="J15" i="415"/>
  <c r="K15" i="415" s="1"/>
  <c r="L15" i="415" s="1"/>
  <c r="P15" i="415" s="1"/>
  <c r="D15" i="415"/>
  <c r="F15" i="415" s="1"/>
  <c r="AJ14" i="415"/>
  <c r="S14" i="415"/>
  <c r="N14" i="415"/>
  <c r="J14" i="415"/>
  <c r="K14" i="415" s="1"/>
  <c r="L14" i="415" s="1"/>
  <c r="P14" i="415" s="1"/>
  <c r="D14" i="415"/>
  <c r="AJ13" i="415"/>
  <c r="S13" i="415"/>
  <c r="K13" i="415"/>
  <c r="L13" i="415" s="1"/>
  <c r="F13" i="415"/>
  <c r="AJ12" i="415"/>
  <c r="S12" i="415"/>
  <c r="K12" i="415"/>
  <c r="L12" i="415" s="1"/>
  <c r="F12" i="415"/>
  <c r="AJ11" i="415"/>
  <c r="S11" i="415"/>
  <c r="K11" i="415"/>
  <c r="L11" i="415" s="1"/>
  <c r="P11" i="415" s="1"/>
  <c r="F11" i="415"/>
  <c r="AJ10" i="415"/>
  <c r="S10" i="415"/>
  <c r="N10" i="415"/>
  <c r="J10" i="415"/>
  <c r="K10" i="415" s="1"/>
  <c r="L10" i="415" s="1"/>
  <c r="F10" i="415"/>
  <c r="AJ9" i="415"/>
  <c r="S9" i="415"/>
  <c r="N9" i="415"/>
  <c r="J9" i="415"/>
  <c r="K9" i="415" s="1"/>
  <c r="L9" i="415" s="1"/>
  <c r="D9" i="415"/>
  <c r="F9" i="415" s="1"/>
  <c r="AJ8" i="415"/>
  <c r="S8" i="415"/>
  <c r="N8" i="415"/>
  <c r="J8" i="415"/>
  <c r="F8" i="415"/>
  <c r="AJ7" i="415"/>
  <c r="S7" i="415"/>
  <c r="N7" i="415"/>
  <c r="K7" i="415"/>
  <c r="L7" i="415" s="1"/>
  <c r="P7" i="415" s="1"/>
  <c r="D7" i="415"/>
  <c r="A7" i="415"/>
  <c r="A8" i="415" s="1"/>
  <c r="A9" i="415" s="1"/>
  <c r="A10" i="415" s="1"/>
  <c r="A11" i="415" s="1"/>
  <c r="A12" i="415" s="1"/>
  <c r="A13" i="415" s="1"/>
  <c r="A14" i="415" s="1"/>
  <c r="A15" i="415" s="1"/>
  <c r="A16" i="415" s="1"/>
  <c r="A17" i="415" s="1"/>
  <c r="A18" i="415" s="1"/>
  <c r="A19" i="415" s="1"/>
  <c r="A20" i="415" s="1"/>
  <c r="A21" i="415" s="1"/>
  <c r="A22" i="415" s="1"/>
  <c r="A23" i="415" s="1"/>
  <c r="A24" i="415" s="1"/>
  <c r="A25" i="415" s="1"/>
  <c r="A26" i="415" s="1"/>
  <c r="A27" i="415" s="1"/>
  <c r="A28" i="415" s="1"/>
  <c r="A29" i="415" s="1"/>
  <c r="A30" i="415" s="1"/>
  <c r="A31" i="415" s="1"/>
  <c r="A32" i="415" s="1"/>
  <c r="A33" i="415" s="1"/>
  <c r="A34" i="415" s="1"/>
  <c r="A35" i="415" s="1"/>
  <c r="A36" i="415" s="1"/>
  <c r="A37" i="415" s="1"/>
  <c r="A38" i="415" s="1"/>
  <c r="A39" i="415" s="1"/>
  <c r="A40" i="415" s="1"/>
  <c r="A41" i="415" s="1"/>
  <c r="A42" i="415" s="1"/>
  <c r="A43" i="415" s="1"/>
  <c r="A44" i="415" s="1"/>
  <c r="A45" i="415" s="1"/>
  <c r="A46" i="415" s="1"/>
  <c r="A47" i="415" s="1"/>
  <c r="A48" i="415" s="1"/>
  <c r="A49" i="415" s="1"/>
  <c r="A50" i="415" s="1"/>
  <c r="A51" i="415" s="1"/>
  <c r="A52" i="415" s="1"/>
  <c r="A53" i="415" s="1"/>
  <c r="A54" i="415" s="1"/>
  <c r="A55" i="415" s="1"/>
  <c r="A56" i="415" s="1"/>
  <c r="A57" i="415" s="1"/>
  <c r="A58" i="415" s="1"/>
  <c r="A59" i="415" s="1"/>
  <c r="A60" i="415" s="1"/>
  <c r="A61" i="415" s="1"/>
  <c r="A62" i="415" s="1"/>
  <c r="A63" i="415" s="1"/>
  <c r="A64" i="415" s="1"/>
  <c r="A65" i="415" s="1"/>
  <c r="AJ6" i="415"/>
  <c r="S6" i="415"/>
  <c r="K6" i="415"/>
  <c r="F6" i="415"/>
  <c r="D7" i="409"/>
  <c r="N15" i="409"/>
  <c r="D15" i="409"/>
  <c r="AF118" i="416" l="1"/>
  <c r="M49" i="417"/>
  <c r="M60" i="417"/>
  <c r="E116" i="417"/>
  <c r="C9" i="426" s="1"/>
  <c r="AJ115" i="417"/>
  <c r="N17" i="419"/>
  <c r="L11" i="426" s="1"/>
  <c r="U16" i="426"/>
  <c r="AD16" i="426"/>
  <c r="AP16" i="426"/>
  <c r="V16" i="426"/>
  <c r="K17" i="419"/>
  <c r="I11" i="426" s="1"/>
  <c r="M8" i="417"/>
  <c r="M11" i="417"/>
  <c r="O11" i="417" s="1"/>
  <c r="M17" i="417"/>
  <c r="O17" i="417" s="1"/>
  <c r="M55" i="416"/>
  <c r="O115" i="416"/>
  <c r="M124" i="416"/>
  <c r="O124" i="416" s="1"/>
  <c r="M9" i="423"/>
  <c r="G16" i="426"/>
  <c r="M20" i="423"/>
  <c r="O20" i="423" s="1"/>
  <c r="M8" i="418"/>
  <c r="O8" i="418" s="1"/>
  <c r="M20" i="417"/>
  <c r="T20" i="417" s="1"/>
  <c r="U20" i="417" s="1"/>
  <c r="M26" i="417"/>
  <c r="T26" i="417" s="1"/>
  <c r="U26" i="417" s="1"/>
  <c r="V116" i="416"/>
  <c r="P27" i="416"/>
  <c r="AJ38" i="416"/>
  <c r="M14" i="425"/>
  <c r="O14" i="425" s="1"/>
  <c r="O16" i="426"/>
  <c r="AJ16" i="426"/>
  <c r="AA16" i="426"/>
  <c r="L15" i="424"/>
  <c r="F16" i="426"/>
  <c r="F17" i="426" s="1"/>
  <c r="Q15" i="440"/>
  <c r="Q15" i="408"/>
  <c r="AJ15" i="426"/>
  <c r="AA15" i="426"/>
  <c r="AJ14" i="426"/>
  <c r="AA14" i="426"/>
  <c r="AA13" i="426"/>
  <c r="AJ13" i="426"/>
  <c r="AJ11" i="426"/>
  <c r="AA11" i="426"/>
  <c r="S17" i="419"/>
  <c r="Q11" i="426" s="1"/>
  <c r="F106" i="417"/>
  <c r="AV121" i="417"/>
  <c r="AT9" i="426"/>
  <c r="AJ9" i="426"/>
  <c r="AA9" i="426"/>
  <c r="M34" i="417"/>
  <c r="O34" i="417" s="1"/>
  <c r="M94" i="416"/>
  <c r="M89" i="416"/>
  <c r="O89" i="416" s="1"/>
  <c r="P50" i="416"/>
  <c r="P97" i="416"/>
  <c r="F24" i="416"/>
  <c r="M85" i="416"/>
  <c r="M95" i="416"/>
  <c r="T95" i="416" s="1"/>
  <c r="U95" i="416" s="1"/>
  <c r="AC134" i="416"/>
  <c r="P104" i="416"/>
  <c r="O114" i="416"/>
  <c r="AA133" i="416"/>
  <c r="AJ32" i="416"/>
  <c r="M34" i="416"/>
  <c r="T34" i="416" s="1"/>
  <c r="U34" i="416" s="1"/>
  <c r="AE118" i="416"/>
  <c r="AE134" i="416" s="1"/>
  <c r="AC8" i="426" s="1"/>
  <c r="AC17" i="426" s="1"/>
  <c r="M26" i="416"/>
  <c r="T26" i="416" s="1"/>
  <c r="U26" i="416" s="1"/>
  <c r="M59" i="416"/>
  <c r="AQ134" i="416"/>
  <c r="AO8" i="426" s="1"/>
  <c r="AO17" i="426" s="1"/>
  <c r="BC134" i="416"/>
  <c r="BA8" i="426" s="1"/>
  <c r="BA17" i="426" s="1"/>
  <c r="BJ134" i="416"/>
  <c r="BH8" i="426" s="1"/>
  <c r="BH17" i="426" s="1"/>
  <c r="G23" i="40" s="1"/>
  <c r="M46" i="416"/>
  <c r="T46" i="416" s="1"/>
  <c r="U46" i="416" s="1"/>
  <c r="V46" i="416" s="1"/>
  <c r="P49" i="416"/>
  <c r="M49" i="416" s="1"/>
  <c r="O49" i="416" s="1"/>
  <c r="M63" i="416"/>
  <c r="O63" i="416" s="1"/>
  <c r="P39" i="416"/>
  <c r="M39" i="416" s="1"/>
  <c r="O39" i="416" s="1"/>
  <c r="P79" i="416"/>
  <c r="V17" i="426"/>
  <c r="AJ7" i="426"/>
  <c r="AA7" i="426"/>
  <c r="M22" i="415"/>
  <c r="O22" i="415" s="1"/>
  <c r="D17" i="425"/>
  <c r="F18" i="425" s="1"/>
  <c r="J17" i="425"/>
  <c r="H16" i="426" s="1"/>
  <c r="AJ17" i="425"/>
  <c r="L14" i="424"/>
  <c r="BE14" i="424"/>
  <c r="BH6" i="424"/>
  <c r="BH14" i="424" s="1"/>
  <c r="BF16" i="426" s="1"/>
  <c r="N14" i="424"/>
  <c r="O9" i="423"/>
  <c r="AJ21" i="423"/>
  <c r="AH15" i="426" s="1"/>
  <c r="N16" i="421"/>
  <c r="L13" i="426" s="1"/>
  <c r="S16" i="421"/>
  <c r="Q13" i="426" s="1"/>
  <c r="M8" i="420"/>
  <c r="O8" i="420" s="1"/>
  <c r="N9" i="420"/>
  <c r="L12" i="426" s="1"/>
  <c r="AA12" i="426"/>
  <c r="F10" i="420"/>
  <c r="B12" i="426"/>
  <c r="AJ18" i="418"/>
  <c r="AH10" i="426" s="1"/>
  <c r="AJ10" i="426"/>
  <c r="AA10" i="426"/>
  <c r="BD18" i="418"/>
  <c r="BB10" i="426" s="1"/>
  <c r="D18" i="418"/>
  <c r="B10" i="426" s="1"/>
  <c r="F7" i="425"/>
  <c r="F17" i="425" s="1"/>
  <c r="K7" i="425"/>
  <c r="L7" i="425" s="1"/>
  <c r="P7" i="425" s="1"/>
  <c r="S14" i="424"/>
  <c r="AY14" i="424"/>
  <c r="P15" i="424"/>
  <c r="D14" i="424"/>
  <c r="K14" i="424"/>
  <c r="N21" i="423"/>
  <c r="L15" i="426" s="1"/>
  <c r="F21" i="423"/>
  <c r="D15" i="426" s="1"/>
  <c r="S21" i="423"/>
  <c r="Q15" i="426" s="1"/>
  <c r="AJ20" i="422"/>
  <c r="AH14" i="426" s="1"/>
  <c r="S20" i="422"/>
  <c r="Q14" i="426" s="1"/>
  <c r="AJ16" i="421"/>
  <c r="AH13" i="426" s="1"/>
  <c r="U15" i="421"/>
  <c r="F16" i="421"/>
  <c r="D13" i="426" s="1"/>
  <c r="K16" i="421"/>
  <c r="I13" i="426" s="1"/>
  <c r="S9" i="420"/>
  <c r="Q12" i="426" s="1"/>
  <c r="AJ9" i="420"/>
  <c r="AH12" i="426" s="1"/>
  <c r="K9" i="420"/>
  <c r="L6" i="419"/>
  <c r="P6" i="419" s="1"/>
  <c r="M6" i="419" s="1"/>
  <c r="L18" i="419"/>
  <c r="AJ17" i="419"/>
  <c r="AH11" i="426" s="1"/>
  <c r="S18" i="418"/>
  <c r="Q10" i="426" s="1"/>
  <c r="O11" i="418"/>
  <c r="J18" i="418"/>
  <c r="H10" i="426" s="1"/>
  <c r="F18" i="418"/>
  <c r="D10" i="426" s="1"/>
  <c r="M96" i="417"/>
  <c r="O96" i="417" s="1"/>
  <c r="M53" i="417"/>
  <c r="O53" i="417" s="1"/>
  <c r="M75" i="417"/>
  <c r="T75" i="417" s="1"/>
  <c r="U75" i="417" s="1"/>
  <c r="M112" i="417"/>
  <c r="O112" i="417" s="1"/>
  <c r="M114" i="417"/>
  <c r="O114" i="417" s="1"/>
  <c r="P9" i="417"/>
  <c r="M9" i="417" s="1"/>
  <c r="O9" i="417" s="1"/>
  <c r="S116" i="417"/>
  <c r="Q9" i="426" s="1"/>
  <c r="T61" i="417"/>
  <c r="U61" i="417" s="1"/>
  <c r="O27" i="417"/>
  <c r="L43" i="417"/>
  <c r="P43" i="417" s="1"/>
  <c r="M43" i="417" s="1"/>
  <c r="K63" i="417"/>
  <c r="L63" i="417" s="1"/>
  <c r="P63" i="417" s="1"/>
  <c r="D116" i="417"/>
  <c r="B9" i="426" s="1"/>
  <c r="F12" i="417"/>
  <c r="BL133" i="416"/>
  <c r="BL134" i="416" s="1"/>
  <c r="BJ8" i="426" s="1"/>
  <c r="BJ17" i="426" s="1"/>
  <c r="I23" i="40" s="1"/>
  <c r="BK134" i="416"/>
  <c r="BI8" i="426" s="1"/>
  <c r="BI17" i="426" s="1"/>
  <c r="H23" i="40" s="1"/>
  <c r="P58" i="416"/>
  <c r="M76" i="416"/>
  <c r="T76" i="416" s="1"/>
  <c r="U76" i="416" s="1"/>
  <c r="P73" i="416"/>
  <c r="M73" i="416" s="1"/>
  <c r="T73" i="416" s="1"/>
  <c r="U73" i="416" s="1"/>
  <c r="AK73" i="416" s="1"/>
  <c r="AN73" i="416" s="1"/>
  <c r="AK115" i="416"/>
  <c r="AN115" i="416" s="1"/>
  <c r="V115" i="416"/>
  <c r="P47" i="416"/>
  <c r="M47" i="416" s="1"/>
  <c r="T47" i="416" s="1"/>
  <c r="U47" i="416" s="1"/>
  <c r="M107" i="416"/>
  <c r="T107" i="416" s="1"/>
  <c r="U107" i="416" s="1"/>
  <c r="P69" i="416"/>
  <c r="O116" i="416"/>
  <c r="AD134" i="416"/>
  <c r="AB8" i="426" s="1"/>
  <c r="AR134" i="416"/>
  <c r="AP8" i="426" s="1"/>
  <c r="AP17" i="426" s="1"/>
  <c r="O60" i="416"/>
  <c r="P82" i="416"/>
  <c r="M82" i="416" s="1"/>
  <c r="T82" i="416" s="1"/>
  <c r="U82" i="416" s="1"/>
  <c r="S104" i="416"/>
  <c r="M104" i="416" s="1"/>
  <c r="T104" i="416" s="1"/>
  <c r="U104" i="416" s="1"/>
  <c r="F107" i="416"/>
  <c r="AS134" i="416"/>
  <c r="AQ8" i="426" s="1"/>
  <c r="AQ17" i="426" s="1"/>
  <c r="P40" i="416"/>
  <c r="M40" i="416" s="1"/>
  <c r="O40" i="416" s="1"/>
  <c r="AK116" i="416"/>
  <c r="AN116" i="416" s="1"/>
  <c r="AX116" i="416" s="1"/>
  <c r="AY116" i="416" s="1"/>
  <c r="AJ125" i="416"/>
  <c r="AH133" i="416"/>
  <c r="AU134" i="416"/>
  <c r="AS8" i="426" s="1"/>
  <c r="P91" i="416"/>
  <c r="M91" i="416" s="1"/>
  <c r="Y134" i="416"/>
  <c r="W8" i="426" s="1"/>
  <c r="W17" i="426" s="1"/>
  <c r="AI134" i="416"/>
  <c r="AG8" i="426" s="1"/>
  <c r="AG17" i="426" s="1"/>
  <c r="AV134" i="416"/>
  <c r="K22" i="416"/>
  <c r="L22" i="416" s="1"/>
  <c r="P81" i="416"/>
  <c r="M81" i="416" s="1"/>
  <c r="O81" i="416" s="1"/>
  <c r="AT133" i="416"/>
  <c r="S133" i="416"/>
  <c r="Z134" i="416"/>
  <c r="X8" i="426" s="1"/>
  <c r="X17" i="426" s="1"/>
  <c r="AL134" i="416"/>
  <c r="AZ134" i="416"/>
  <c r="AX8" i="426" s="1"/>
  <c r="AF133" i="416"/>
  <c r="AM134" i="416"/>
  <c r="BA134" i="416"/>
  <c r="AY8" i="426" s="1"/>
  <c r="AY17" i="426" s="1"/>
  <c r="O94" i="416"/>
  <c r="AB134" i="416"/>
  <c r="BB134" i="416"/>
  <c r="AZ8" i="426" s="1"/>
  <c r="AZ17" i="426" s="1"/>
  <c r="M51" i="415"/>
  <c r="O51" i="415" s="1"/>
  <c r="I66" i="415"/>
  <c r="G7" i="426" s="1"/>
  <c r="K27" i="415"/>
  <c r="L27" i="415" s="1"/>
  <c r="P27" i="415" s="1"/>
  <c r="M27" i="415" s="1"/>
  <c r="O27" i="415" s="1"/>
  <c r="J66" i="415"/>
  <c r="H7" i="426" s="1"/>
  <c r="D66" i="415"/>
  <c r="P50" i="415"/>
  <c r="M50" i="415" s="1"/>
  <c r="O50" i="415" s="1"/>
  <c r="P10" i="425"/>
  <c r="L17" i="425"/>
  <c r="P6" i="425"/>
  <c r="M12" i="425"/>
  <c r="O12" i="425" s="1"/>
  <c r="M13" i="425"/>
  <c r="O13" i="425" s="1"/>
  <c r="M15" i="425"/>
  <c r="O15" i="425" s="1"/>
  <c r="L18" i="425"/>
  <c r="P18" i="425" s="1"/>
  <c r="P8" i="425"/>
  <c r="M11" i="425"/>
  <c r="O11" i="425" s="1"/>
  <c r="M16" i="425"/>
  <c r="T16" i="425" s="1"/>
  <c r="U16" i="425" s="1"/>
  <c r="S10" i="425"/>
  <c r="S17" i="425" s="1"/>
  <c r="N17" i="425"/>
  <c r="A8" i="425"/>
  <c r="A9" i="425" s="1"/>
  <c r="A10" i="425" s="1"/>
  <c r="A11" i="425" s="1"/>
  <c r="A12" i="425" s="1"/>
  <c r="A13" i="425" s="1"/>
  <c r="A14" i="425" s="1"/>
  <c r="A15" i="425" s="1"/>
  <c r="A16" i="425" s="1"/>
  <c r="M9" i="425"/>
  <c r="T9" i="425" s="1"/>
  <c r="U9" i="425" s="1"/>
  <c r="K17" i="425"/>
  <c r="M7" i="424"/>
  <c r="T7" i="424" s="1"/>
  <c r="U7" i="424" s="1"/>
  <c r="BF7" i="424" s="1"/>
  <c r="M8" i="424"/>
  <c r="O8" i="424" s="1"/>
  <c r="AJ14" i="424"/>
  <c r="AH16" i="426" s="1"/>
  <c r="P13" i="424"/>
  <c r="M10" i="424"/>
  <c r="T10" i="424" s="1"/>
  <c r="U10" i="424" s="1"/>
  <c r="BF10" i="424" s="1"/>
  <c r="P12" i="424"/>
  <c r="M11" i="424"/>
  <c r="O11" i="424" s="1"/>
  <c r="AD14" i="424"/>
  <c r="AB16" i="426" s="1"/>
  <c r="F7" i="424"/>
  <c r="F10" i="424"/>
  <c r="P6" i="424"/>
  <c r="P9" i="424"/>
  <c r="A14" i="424"/>
  <c r="A129" i="424" s="1"/>
  <c r="A132" i="424" s="1"/>
  <c r="M17" i="423"/>
  <c r="T17" i="423" s="1"/>
  <c r="U17" i="423" s="1"/>
  <c r="P12" i="423"/>
  <c r="M10" i="423"/>
  <c r="T10" i="423" s="1"/>
  <c r="U10" i="423" s="1"/>
  <c r="M11" i="423"/>
  <c r="O11" i="423" s="1"/>
  <c r="P8" i="423"/>
  <c r="P16" i="423"/>
  <c r="P7" i="423"/>
  <c r="M15" i="423"/>
  <c r="O15" i="423" s="1"/>
  <c r="L21" i="423"/>
  <c r="J15" i="426" s="1"/>
  <c r="P6" i="423"/>
  <c r="P14" i="423"/>
  <c r="P19" i="423"/>
  <c r="P13" i="423"/>
  <c r="P18" i="423"/>
  <c r="T20" i="423"/>
  <c r="U20" i="423" s="1"/>
  <c r="A21" i="423"/>
  <c r="A129" i="423" s="1"/>
  <c r="A132" i="423" s="1"/>
  <c r="K21" i="423"/>
  <c r="T9" i="423"/>
  <c r="U9" i="423" s="1"/>
  <c r="D21" i="423"/>
  <c r="B15" i="426" s="1"/>
  <c r="L20" i="422"/>
  <c r="J14" i="426" s="1"/>
  <c r="P6" i="422"/>
  <c r="P15" i="422"/>
  <c r="P11" i="422"/>
  <c r="P18" i="422"/>
  <c r="M10" i="422"/>
  <c r="O10" i="422" s="1"/>
  <c r="M17" i="422"/>
  <c r="T17" i="422" s="1"/>
  <c r="U17" i="422" s="1"/>
  <c r="A10" i="422"/>
  <c r="A11" i="422" s="1"/>
  <c r="A12" i="422" s="1"/>
  <c r="A13" i="422" s="1"/>
  <c r="A14" i="422" s="1"/>
  <c r="A15" i="422" s="1"/>
  <c r="A16" i="422" s="1"/>
  <c r="A17" i="422" s="1"/>
  <c r="A18" i="422" s="1"/>
  <c r="A19" i="422" s="1"/>
  <c r="P13" i="422"/>
  <c r="M9" i="422"/>
  <c r="T9" i="422" s="1"/>
  <c r="U9" i="422" s="1"/>
  <c r="P16" i="422"/>
  <c r="P8" i="422"/>
  <c r="M14" i="422"/>
  <c r="T14" i="422" s="1"/>
  <c r="U14" i="422" s="1"/>
  <c r="P7" i="422"/>
  <c r="P12" i="422"/>
  <c r="P19" i="422"/>
  <c r="T19" i="422" s="1"/>
  <c r="U19" i="422" s="1"/>
  <c r="O19" i="422"/>
  <c r="F10" i="422"/>
  <c r="N20" i="422"/>
  <c r="L14" i="426" s="1"/>
  <c r="K20" i="422"/>
  <c r="F17" i="422"/>
  <c r="D20" i="422"/>
  <c r="B14" i="426" s="1"/>
  <c r="M11" i="421"/>
  <c r="O11" i="421" s="1"/>
  <c r="P10" i="421"/>
  <c r="M9" i="421"/>
  <c r="O9" i="421" s="1"/>
  <c r="T9" i="421"/>
  <c r="U9" i="421" s="1"/>
  <c r="AK13" i="421"/>
  <c r="AN13" i="421" s="1"/>
  <c r="V13" i="421"/>
  <c r="M8" i="421"/>
  <c r="O8" i="421" s="1"/>
  <c r="P7" i="421"/>
  <c r="M12" i="421"/>
  <c r="T12" i="421" s="1"/>
  <c r="U12" i="421" s="1"/>
  <c r="AK14" i="421"/>
  <c r="AN14" i="421" s="1"/>
  <c r="V14" i="421"/>
  <c r="L6" i="421"/>
  <c r="O14" i="421"/>
  <c r="D16" i="421"/>
  <c r="B13" i="426" s="1"/>
  <c r="A8" i="421"/>
  <c r="O13" i="421"/>
  <c r="P7" i="420"/>
  <c r="F6" i="420"/>
  <c r="F9" i="420" s="1"/>
  <c r="D12" i="426" s="1"/>
  <c r="L6" i="420"/>
  <c r="M15" i="419"/>
  <c r="T15" i="419" s="1"/>
  <c r="U15" i="419" s="1"/>
  <c r="M11" i="419"/>
  <c r="O11" i="419" s="1"/>
  <c r="M10" i="419"/>
  <c r="T10" i="419" s="1"/>
  <c r="U10" i="419" s="1"/>
  <c r="M14" i="419"/>
  <c r="T14" i="419" s="1"/>
  <c r="U14" i="419" s="1"/>
  <c r="M8" i="419"/>
  <c r="T8" i="419" s="1"/>
  <c r="U8" i="419" s="1"/>
  <c r="M13" i="419"/>
  <c r="T13" i="419" s="1"/>
  <c r="U13" i="419" s="1"/>
  <c r="M9" i="419"/>
  <c r="T9" i="419" s="1"/>
  <c r="U9" i="419" s="1"/>
  <c r="M7" i="419"/>
  <c r="O7" i="419" s="1"/>
  <c r="O16" i="419"/>
  <c r="M12" i="419"/>
  <c r="O12" i="419" s="1"/>
  <c r="P18" i="419"/>
  <c r="F6" i="419"/>
  <c r="F16" i="419"/>
  <c r="T16" i="419"/>
  <c r="U16" i="419" s="1"/>
  <c r="D17" i="419"/>
  <c r="B11" i="426" s="1"/>
  <c r="A8" i="419"/>
  <c r="A9" i="419" s="1"/>
  <c r="A10" i="419" s="1"/>
  <c r="A11" i="419" s="1"/>
  <c r="A12" i="419" s="1"/>
  <c r="A13" i="419" s="1"/>
  <c r="A14" i="419" s="1"/>
  <c r="A15" i="419" s="1"/>
  <c r="A16" i="419" s="1"/>
  <c r="M10" i="418"/>
  <c r="O10" i="418" s="1"/>
  <c r="M9" i="418"/>
  <c r="O9" i="418" s="1"/>
  <c r="F19" i="418"/>
  <c r="L6" i="418"/>
  <c r="M7" i="418"/>
  <c r="O7" i="418" s="1"/>
  <c r="M14" i="418"/>
  <c r="O14" i="418" s="1"/>
  <c r="M13" i="418"/>
  <c r="O13" i="418" s="1"/>
  <c r="M17" i="418"/>
  <c r="O17" i="418" s="1"/>
  <c r="M12" i="418"/>
  <c r="O12" i="418" s="1"/>
  <c r="T12" i="418"/>
  <c r="U12" i="418" s="1"/>
  <c r="M16" i="418"/>
  <c r="O16" i="418" s="1"/>
  <c r="T8" i="418"/>
  <c r="U8" i="418" s="1"/>
  <c r="T11" i="418"/>
  <c r="U11" i="418" s="1"/>
  <c r="A9" i="418"/>
  <c r="A10" i="418" s="1"/>
  <c r="A11" i="418" s="1"/>
  <c r="A12" i="418" s="1"/>
  <c r="A13" i="418" s="1"/>
  <c r="A14" i="418" s="1"/>
  <c r="A15" i="418" s="1"/>
  <c r="A16" i="418" s="1"/>
  <c r="A17" i="418" s="1"/>
  <c r="K15" i="418"/>
  <c r="L15" i="418" s="1"/>
  <c r="P15" i="418" s="1"/>
  <c r="N18" i="418"/>
  <c r="L10" i="426" s="1"/>
  <c r="M13" i="417"/>
  <c r="T13" i="417" s="1"/>
  <c r="U13" i="417" s="1"/>
  <c r="M12" i="417"/>
  <c r="T12" i="417" s="1"/>
  <c r="U12" i="417" s="1"/>
  <c r="M19" i="417"/>
  <c r="T19" i="417" s="1"/>
  <c r="U19" i="417" s="1"/>
  <c r="M28" i="417"/>
  <c r="T28" i="417" s="1"/>
  <c r="U28" i="417" s="1"/>
  <c r="M29" i="417"/>
  <c r="T29" i="417" s="1"/>
  <c r="U29" i="417" s="1"/>
  <c r="AK33" i="417"/>
  <c r="AN33" i="417" s="1"/>
  <c r="W33" i="417"/>
  <c r="P7" i="417"/>
  <c r="W26" i="417"/>
  <c r="AK26" i="417"/>
  <c r="AN26" i="417" s="1"/>
  <c r="P44" i="417"/>
  <c r="M18" i="417"/>
  <c r="O18" i="417" s="1"/>
  <c r="M16" i="417"/>
  <c r="O16" i="417" s="1"/>
  <c r="M31" i="417"/>
  <c r="O31" i="417" s="1"/>
  <c r="M47" i="417"/>
  <c r="T47" i="417" s="1"/>
  <c r="U47" i="417" s="1"/>
  <c r="M35" i="417"/>
  <c r="T35" i="417" s="1"/>
  <c r="U35" i="417" s="1"/>
  <c r="M38" i="417"/>
  <c r="T38" i="417" s="1"/>
  <c r="U38" i="417" s="1"/>
  <c r="M41" i="417"/>
  <c r="O41" i="417" s="1"/>
  <c r="F6" i="417"/>
  <c r="F19" i="417"/>
  <c r="M21" i="417"/>
  <c r="T21" i="417" s="1"/>
  <c r="U21" i="417" s="1"/>
  <c r="M24" i="417"/>
  <c r="O24" i="417" s="1"/>
  <c r="F31" i="417"/>
  <c r="M32" i="417"/>
  <c r="T32" i="417" s="1"/>
  <c r="U32" i="417" s="1"/>
  <c r="P39" i="417"/>
  <c r="O49" i="417"/>
  <c r="P71" i="417"/>
  <c r="F117" i="417"/>
  <c r="A116" i="417"/>
  <c r="O8" i="417"/>
  <c r="T8" i="417"/>
  <c r="U8" i="417" s="1"/>
  <c r="T9" i="417"/>
  <c r="U9" i="417" s="1"/>
  <c r="P37" i="417"/>
  <c r="M42" i="417"/>
  <c r="T42" i="417" s="1"/>
  <c r="U42" i="417" s="1"/>
  <c r="M59" i="417"/>
  <c r="T59" i="417" s="1"/>
  <c r="U59" i="417" s="1"/>
  <c r="M79" i="417"/>
  <c r="O79" i="417" s="1"/>
  <c r="L6" i="417"/>
  <c r="F8" i="417"/>
  <c r="P14" i="417"/>
  <c r="M15" i="417"/>
  <c r="T15" i="417" s="1"/>
  <c r="U15" i="417" s="1"/>
  <c r="O26" i="417"/>
  <c r="O33" i="417"/>
  <c r="M52" i="417"/>
  <c r="O52" i="417" s="1"/>
  <c r="P57" i="417"/>
  <c r="M68" i="417"/>
  <c r="O68" i="417" s="1"/>
  <c r="P69" i="417"/>
  <c r="AJ116" i="417"/>
  <c r="AH9" i="426" s="1"/>
  <c r="J116" i="417"/>
  <c r="H9" i="426" s="1"/>
  <c r="F33" i="417"/>
  <c r="P40" i="417"/>
  <c r="T49" i="417"/>
  <c r="U49" i="417" s="1"/>
  <c r="M51" i="417"/>
  <c r="O51" i="417" s="1"/>
  <c r="P54" i="417"/>
  <c r="P56" i="417"/>
  <c r="N116" i="417"/>
  <c r="L9" i="426" s="1"/>
  <c r="M10" i="417"/>
  <c r="O10" i="417" s="1"/>
  <c r="T27" i="417"/>
  <c r="U27" i="417" s="1"/>
  <c r="P30" i="417"/>
  <c r="P98" i="417"/>
  <c r="T34" i="417"/>
  <c r="U34" i="417" s="1"/>
  <c r="M22" i="417"/>
  <c r="O22" i="417" s="1"/>
  <c r="M23" i="417"/>
  <c r="P25" i="417"/>
  <c r="M50" i="417"/>
  <c r="O50" i="417" s="1"/>
  <c r="M83" i="417"/>
  <c r="O83" i="417" s="1"/>
  <c r="O12" i="417"/>
  <c r="F13" i="417"/>
  <c r="O42" i="417"/>
  <c r="M46" i="417"/>
  <c r="O46" i="417" s="1"/>
  <c r="T36" i="417"/>
  <c r="U36" i="417" s="1"/>
  <c r="F38" i="417"/>
  <c r="O61" i="417"/>
  <c r="M76" i="417"/>
  <c r="O76" i="417" s="1"/>
  <c r="P48" i="417"/>
  <c r="P55" i="417"/>
  <c r="T60" i="417"/>
  <c r="U60" i="417" s="1"/>
  <c r="F61" i="417"/>
  <c r="P72" i="417"/>
  <c r="P97" i="417"/>
  <c r="P45" i="417"/>
  <c r="P58" i="417"/>
  <c r="O70" i="417"/>
  <c r="P73" i="417"/>
  <c r="P103" i="417"/>
  <c r="F59" i="417"/>
  <c r="O60" i="417"/>
  <c r="M65" i="417"/>
  <c r="O65" i="417" s="1"/>
  <c r="T66" i="417"/>
  <c r="U66" i="417" s="1"/>
  <c r="F80" i="417"/>
  <c r="F84" i="417"/>
  <c r="P67" i="417"/>
  <c r="M74" i="417"/>
  <c r="O74" i="417" s="1"/>
  <c r="M80" i="417"/>
  <c r="O80" i="417" s="1"/>
  <c r="M84" i="417"/>
  <c r="T84" i="417" s="1"/>
  <c r="U84" i="417" s="1"/>
  <c r="M85" i="417"/>
  <c r="O85" i="417" s="1"/>
  <c r="M87" i="417"/>
  <c r="T87" i="417" s="1"/>
  <c r="U87" i="417" s="1"/>
  <c r="M89" i="417"/>
  <c r="T89" i="417" s="1"/>
  <c r="U89" i="417" s="1"/>
  <c r="P91" i="417"/>
  <c r="F77" i="417"/>
  <c r="M78" i="417"/>
  <c r="T78" i="417" s="1"/>
  <c r="U78" i="417" s="1"/>
  <c r="M81" i="417"/>
  <c r="O81" i="417" s="1"/>
  <c r="M82" i="417"/>
  <c r="T82" i="417" s="1"/>
  <c r="U82" i="417" s="1"/>
  <c r="P62" i="417"/>
  <c r="M64" i="417"/>
  <c r="O64" i="417" s="1"/>
  <c r="T70" i="417"/>
  <c r="U70" i="417" s="1"/>
  <c r="M77" i="417"/>
  <c r="T77" i="417" s="1"/>
  <c r="U77" i="417" s="1"/>
  <c r="M86" i="417"/>
  <c r="O86" i="417" s="1"/>
  <c r="P101" i="417"/>
  <c r="O75" i="417"/>
  <c r="P92" i="417"/>
  <c r="P95" i="417"/>
  <c r="M108" i="417"/>
  <c r="O108" i="417" s="1"/>
  <c r="P111" i="417"/>
  <c r="M113" i="417"/>
  <c r="T113" i="417" s="1"/>
  <c r="U113" i="417" s="1"/>
  <c r="M107" i="417"/>
  <c r="O107" i="417" s="1"/>
  <c r="T107" i="417"/>
  <c r="U107" i="417" s="1"/>
  <c r="M109" i="417"/>
  <c r="O109" i="417" s="1"/>
  <c r="P110" i="417"/>
  <c r="P99" i="417"/>
  <c r="F105" i="417"/>
  <c r="M115" i="417"/>
  <c r="T115" i="417" s="1"/>
  <c r="U115" i="417" s="1"/>
  <c r="O94" i="417"/>
  <c r="F81" i="417"/>
  <c r="M100" i="417"/>
  <c r="O100" i="417" s="1"/>
  <c r="P104" i="417"/>
  <c r="M105" i="417"/>
  <c r="O105" i="417" s="1"/>
  <c r="O87" i="417"/>
  <c r="M88" i="417"/>
  <c r="O88" i="417" s="1"/>
  <c r="M90" i="417"/>
  <c r="O90" i="417" s="1"/>
  <c r="M93" i="417"/>
  <c r="O93" i="417" s="1"/>
  <c r="T94" i="417"/>
  <c r="U94" i="417" s="1"/>
  <c r="P106" i="417"/>
  <c r="M102" i="417"/>
  <c r="O102" i="417" s="1"/>
  <c r="M50" i="416"/>
  <c r="T50" i="416" s="1"/>
  <c r="U50" i="416" s="1"/>
  <c r="P13" i="416"/>
  <c r="M19" i="416"/>
  <c r="O19" i="416" s="1"/>
  <c r="M8" i="416"/>
  <c r="O8" i="416" s="1"/>
  <c r="P6" i="416"/>
  <c r="P18" i="416"/>
  <c r="M23" i="416"/>
  <c r="T23" i="416" s="1"/>
  <c r="U23" i="416" s="1"/>
  <c r="P11" i="416"/>
  <c r="M16" i="416"/>
  <c r="T16" i="416" s="1"/>
  <c r="U16" i="416" s="1"/>
  <c r="P12" i="416"/>
  <c r="M30" i="416"/>
  <c r="O30" i="416" s="1"/>
  <c r="P20" i="416"/>
  <c r="M21" i="416"/>
  <c r="O21" i="416" s="1"/>
  <c r="M29" i="416"/>
  <c r="T29" i="416" s="1"/>
  <c r="U29" i="416" s="1"/>
  <c r="M32" i="416"/>
  <c r="O32" i="416" s="1"/>
  <c r="P10" i="416"/>
  <c r="P14" i="416"/>
  <c r="M9" i="416"/>
  <c r="T9" i="416" s="1"/>
  <c r="U9" i="416" s="1"/>
  <c r="M25" i="416"/>
  <c r="O25" i="416" s="1"/>
  <c r="M27" i="416"/>
  <c r="T27" i="416" s="1"/>
  <c r="U27" i="416" s="1"/>
  <c r="F50" i="416"/>
  <c r="M66" i="416"/>
  <c r="T66" i="416" s="1"/>
  <c r="U66" i="416" s="1"/>
  <c r="M88" i="416"/>
  <c r="T88" i="416" s="1"/>
  <c r="U88" i="416" s="1"/>
  <c r="F16" i="416"/>
  <c r="F35" i="416"/>
  <c r="P51" i="416"/>
  <c r="P100" i="416"/>
  <c r="S118" i="416"/>
  <c r="P57" i="416"/>
  <c r="P15" i="416"/>
  <c r="P17" i="416"/>
  <c r="M35" i="416"/>
  <c r="T35" i="416" s="1"/>
  <c r="U35" i="416" s="1"/>
  <c r="M36" i="416"/>
  <c r="O36" i="416" s="1"/>
  <c r="T36" i="416"/>
  <c r="U36" i="416" s="1"/>
  <c r="M43" i="416"/>
  <c r="O43" i="416" s="1"/>
  <c r="O46" i="416"/>
  <c r="T55" i="416"/>
  <c r="U55" i="416" s="1"/>
  <c r="M70" i="416"/>
  <c r="O70" i="416" s="1"/>
  <c r="AG118" i="416"/>
  <c r="AJ30" i="416"/>
  <c r="P44" i="416"/>
  <c r="Q118" i="416"/>
  <c r="Q134" i="416" s="1"/>
  <c r="O8" i="426" s="1"/>
  <c r="O17" i="426" s="1"/>
  <c r="P37" i="416"/>
  <c r="P28" i="416"/>
  <c r="M33" i="416"/>
  <c r="O33" i="416" s="1"/>
  <c r="P41" i="416"/>
  <c r="M42" i="416"/>
  <c r="O42" i="416" s="1"/>
  <c r="P53" i="416"/>
  <c r="P54" i="416"/>
  <c r="L133" i="416"/>
  <c r="P121" i="416"/>
  <c r="M56" i="416"/>
  <c r="T56" i="416" s="1"/>
  <c r="U56" i="416" s="1"/>
  <c r="N118" i="416"/>
  <c r="J118" i="416"/>
  <c r="J134" i="416" s="1"/>
  <c r="H8" i="426" s="1"/>
  <c r="K7" i="416"/>
  <c r="L7" i="416" s="1"/>
  <c r="A8" i="416"/>
  <c r="A9" i="416" s="1"/>
  <c r="A10" i="416" s="1"/>
  <c r="A11" i="416" s="1"/>
  <c r="A12" i="416" s="1"/>
  <c r="A13" i="416" s="1"/>
  <c r="A14" i="416" s="1"/>
  <c r="A15" i="416" s="1"/>
  <c r="A16" i="416" s="1"/>
  <c r="A17" i="416" s="1"/>
  <c r="A18" i="416" s="1"/>
  <c r="A19" i="416" s="1"/>
  <c r="A20" i="416" s="1"/>
  <c r="A21" i="416" s="1"/>
  <c r="A22" i="416" s="1"/>
  <c r="A23" i="416" s="1"/>
  <c r="A24" i="416" s="1"/>
  <c r="A25" i="416" s="1"/>
  <c r="A26" i="416" s="1"/>
  <c r="A27" i="416" s="1"/>
  <c r="A28" i="416" s="1"/>
  <c r="A29" i="416" s="1"/>
  <c r="A30" i="416" s="1"/>
  <c r="A31" i="416" s="1"/>
  <c r="A32" i="416" s="1"/>
  <c r="A33" i="416" s="1"/>
  <c r="A34" i="416" s="1"/>
  <c r="A35" i="416" s="1"/>
  <c r="A36" i="416" s="1"/>
  <c r="A37" i="416" s="1"/>
  <c r="A38" i="416" s="1"/>
  <c r="A39" i="416" s="1"/>
  <c r="A40" i="416" s="1"/>
  <c r="A41" i="416" s="1"/>
  <c r="A42" i="416" s="1"/>
  <c r="A43" i="416" s="1"/>
  <c r="A44" i="416" s="1"/>
  <c r="A45" i="416" s="1"/>
  <c r="A46" i="416" s="1"/>
  <c r="A47" i="416" s="1"/>
  <c r="A48" i="416" s="1"/>
  <c r="A49" i="416" s="1"/>
  <c r="A50" i="416" s="1"/>
  <c r="A51" i="416" s="1"/>
  <c r="A52" i="416" s="1"/>
  <c r="A53" i="416" s="1"/>
  <c r="A54" i="416" s="1"/>
  <c r="A55" i="416" s="1"/>
  <c r="A56" i="416" s="1"/>
  <c r="A57" i="416" s="1"/>
  <c r="A58" i="416" s="1"/>
  <c r="A59" i="416" s="1"/>
  <c r="A60" i="416" s="1"/>
  <c r="A61" i="416" s="1"/>
  <c r="A62" i="416" s="1"/>
  <c r="A63" i="416" s="1"/>
  <c r="A64" i="416" s="1"/>
  <c r="A65" i="416" s="1"/>
  <c r="A66" i="416" s="1"/>
  <c r="A67" i="416" s="1"/>
  <c r="A68" i="416" s="1"/>
  <c r="A69" i="416" s="1"/>
  <c r="A70" i="416" s="1"/>
  <c r="A71" i="416" s="1"/>
  <c r="A72" i="416" s="1"/>
  <c r="A73" i="416" s="1"/>
  <c r="A74" i="416" s="1"/>
  <c r="A75" i="416" s="1"/>
  <c r="A76" i="416" s="1"/>
  <c r="A77" i="416" s="1"/>
  <c r="A78" i="416" s="1"/>
  <c r="A79" i="416" s="1"/>
  <c r="A80" i="416" s="1"/>
  <c r="A81" i="416" s="1"/>
  <c r="A82" i="416" s="1"/>
  <c r="A83" i="416" s="1"/>
  <c r="A84" i="416" s="1"/>
  <c r="A85" i="416" s="1"/>
  <c r="A86" i="416" s="1"/>
  <c r="A87" i="416" s="1"/>
  <c r="A88" i="416" s="1"/>
  <c r="A89" i="416" s="1"/>
  <c r="A90" i="416" s="1"/>
  <c r="A91" i="416" s="1"/>
  <c r="A92" i="416" s="1"/>
  <c r="A93" i="416" s="1"/>
  <c r="A94" i="416" s="1"/>
  <c r="A95" i="416" s="1"/>
  <c r="A96" i="416" s="1"/>
  <c r="A97" i="416" s="1"/>
  <c r="A98" i="416" s="1"/>
  <c r="A99" i="416" s="1"/>
  <c r="A100" i="416" s="1"/>
  <c r="A101" i="416" s="1"/>
  <c r="A102" i="416" s="1"/>
  <c r="A103" i="416" s="1"/>
  <c r="A104" i="416" s="1"/>
  <c r="A105" i="416" s="1"/>
  <c r="A106" i="416" s="1"/>
  <c r="A107" i="416" s="1"/>
  <c r="A108" i="416" s="1"/>
  <c r="A109" i="416" s="1"/>
  <c r="A110" i="416" s="1"/>
  <c r="A111" i="416" s="1"/>
  <c r="A112" i="416" s="1"/>
  <c r="A113" i="416" s="1"/>
  <c r="A114" i="416" s="1"/>
  <c r="A115" i="416" s="1"/>
  <c r="A116" i="416" s="1"/>
  <c r="A117" i="416" s="1"/>
  <c r="G118" i="416"/>
  <c r="P24" i="416"/>
  <c r="F29" i="416"/>
  <c r="P38" i="416"/>
  <c r="M45" i="416"/>
  <c r="T45" i="416" s="1"/>
  <c r="U45" i="416" s="1"/>
  <c r="M52" i="416"/>
  <c r="O52" i="416" s="1"/>
  <c r="P67" i="416"/>
  <c r="D118" i="416"/>
  <c r="P22" i="416"/>
  <c r="P31" i="416"/>
  <c r="P48" i="416"/>
  <c r="M109" i="416"/>
  <c r="O109" i="416" s="1"/>
  <c r="O55" i="416"/>
  <c r="P68" i="416"/>
  <c r="M69" i="416"/>
  <c r="O69" i="416" s="1"/>
  <c r="M93" i="416"/>
  <c r="T93" i="416" s="1"/>
  <c r="U93" i="416" s="1"/>
  <c r="M132" i="416"/>
  <c r="T132" i="416" s="1"/>
  <c r="U132" i="416" s="1"/>
  <c r="F33" i="416"/>
  <c r="F42" i="416"/>
  <c r="M62" i="416"/>
  <c r="O62" i="416" s="1"/>
  <c r="P64" i="416"/>
  <c r="M92" i="416"/>
  <c r="T92" i="416" s="1"/>
  <c r="U92" i="416" s="1"/>
  <c r="F79" i="416"/>
  <c r="AA51" i="416"/>
  <c r="AA118" i="416" s="1"/>
  <c r="AA134" i="416" s="1"/>
  <c r="Y8" i="426" s="1"/>
  <c r="AH118" i="416"/>
  <c r="AH134" i="416" s="1"/>
  <c r="AF8" i="426" s="1"/>
  <c r="AF17" i="426" s="1"/>
  <c r="O59" i="416"/>
  <c r="P72" i="416"/>
  <c r="P83" i="416"/>
  <c r="P84" i="416"/>
  <c r="AT134" i="416"/>
  <c r="AR8" i="426" s="1"/>
  <c r="AF134" i="416"/>
  <c r="AD8" i="426" s="1"/>
  <c r="AD17" i="426" s="1"/>
  <c r="P130" i="416"/>
  <c r="AJ21" i="416"/>
  <c r="E118" i="416"/>
  <c r="E134" i="416" s="1"/>
  <c r="C8" i="426" s="1"/>
  <c r="C17" i="426" s="1"/>
  <c r="T60" i="416"/>
  <c r="U60" i="416" s="1"/>
  <c r="P71" i="416"/>
  <c r="P74" i="416"/>
  <c r="M75" i="416"/>
  <c r="T75" i="416" s="1"/>
  <c r="U75" i="416" s="1"/>
  <c r="P80" i="416"/>
  <c r="O85" i="416"/>
  <c r="M87" i="416"/>
  <c r="T87" i="416" s="1"/>
  <c r="U87" i="416" s="1"/>
  <c r="O88" i="416"/>
  <c r="P90" i="416"/>
  <c r="T59" i="416"/>
  <c r="U59" i="416" s="1"/>
  <c r="P61" i="416"/>
  <c r="M65" i="416"/>
  <c r="O65" i="416" s="1"/>
  <c r="V73" i="416"/>
  <c r="M77" i="416"/>
  <c r="O77" i="416" s="1"/>
  <c r="P78" i="416"/>
  <c r="M79" i="416"/>
  <c r="O79" i="416" s="1"/>
  <c r="M86" i="416"/>
  <c r="O86" i="416" s="1"/>
  <c r="T81" i="416"/>
  <c r="U81" i="416" s="1"/>
  <c r="T85" i="416"/>
  <c r="U85" i="416" s="1"/>
  <c r="P106" i="416"/>
  <c r="N134" i="416"/>
  <c r="L8" i="426" s="1"/>
  <c r="P127" i="416"/>
  <c r="G133" i="416"/>
  <c r="P131" i="416"/>
  <c r="I134" i="416"/>
  <c r="G8" i="426" s="1"/>
  <c r="T94" i="416"/>
  <c r="U94" i="416" s="1"/>
  <c r="P96" i="416"/>
  <c r="P98" i="416"/>
  <c r="M105" i="416"/>
  <c r="O105" i="416" s="1"/>
  <c r="P122" i="416"/>
  <c r="M126" i="416"/>
  <c r="T126" i="416" s="1"/>
  <c r="U126" i="416" s="1"/>
  <c r="O66" i="416"/>
  <c r="M97" i="416"/>
  <c r="O97" i="416" s="1"/>
  <c r="M101" i="416"/>
  <c r="T101" i="416" s="1"/>
  <c r="U101" i="416" s="1"/>
  <c r="P111" i="416"/>
  <c r="AG134" i="416"/>
  <c r="AE8" i="426" s="1"/>
  <c r="AE17" i="426" s="1"/>
  <c r="K133" i="416"/>
  <c r="M99" i="416"/>
  <c r="P102" i="416"/>
  <c r="M110" i="416"/>
  <c r="O110" i="416" s="1"/>
  <c r="AK117" i="416"/>
  <c r="AN117" i="416" s="1"/>
  <c r="V117" i="416"/>
  <c r="M123" i="416"/>
  <c r="T123" i="416" s="1"/>
  <c r="U123" i="416" s="1"/>
  <c r="T124" i="416"/>
  <c r="U124" i="416" s="1"/>
  <c r="P125" i="416"/>
  <c r="BD134" i="416"/>
  <c r="BB8" i="426" s="1"/>
  <c r="R134" i="416"/>
  <c r="P8" i="426" s="1"/>
  <c r="P17" i="426" s="1"/>
  <c r="M103" i="416"/>
  <c r="P108" i="416"/>
  <c r="M112" i="416"/>
  <c r="T112" i="416" s="1"/>
  <c r="U112" i="416" s="1"/>
  <c r="M113" i="416"/>
  <c r="O113" i="416" s="1"/>
  <c r="AK114" i="416"/>
  <c r="AN114" i="416" s="1"/>
  <c r="V114" i="416"/>
  <c r="AX115" i="416"/>
  <c r="AY115" i="416" s="1"/>
  <c r="AO115" i="416"/>
  <c r="F133" i="416"/>
  <c r="P128" i="416"/>
  <c r="P129" i="416"/>
  <c r="D133" i="416"/>
  <c r="F115" i="416"/>
  <c r="AJ127" i="416"/>
  <c r="AJ133" i="416" s="1"/>
  <c r="P16" i="415"/>
  <c r="P20" i="415"/>
  <c r="P26" i="415"/>
  <c r="M11" i="415"/>
  <c r="T11" i="415" s="1"/>
  <c r="U11" i="415" s="1"/>
  <c r="M14" i="415"/>
  <c r="O14" i="415" s="1"/>
  <c r="M15" i="415"/>
  <c r="O15" i="415" s="1"/>
  <c r="P10" i="415"/>
  <c r="P19" i="415"/>
  <c r="P47" i="415"/>
  <c r="P9" i="415"/>
  <c r="P23" i="415"/>
  <c r="M18" i="415"/>
  <c r="T18" i="415" s="1"/>
  <c r="U18" i="415" s="1"/>
  <c r="O24" i="415"/>
  <c r="T24" i="415"/>
  <c r="U24" i="415" s="1"/>
  <c r="M65" i="415"/>
  <c r="T65" i="415" s="1"/>
  <c r="U65" i="415" s="1"/>
  <c r="P52" i="415"/>
  <c r="M7" i="415"/>
  <c r="T7" i="415" s="1"/>
  <c r="U7" i="415" s="1"/>
  <c r="P12" i="415"/>
  <c r="P21" i="415"/>
  <c r="P41" i="415"/>
  <c r="F14" i="415"/>
  <c r="AJ66" i="415"/>
  <c r="P13" i="415"/>
  <c r="P17" i="415"/>
  <c r="P28" i="415"/>
  <c r="M32" i="415"/>
  <c r="O32" i="415" s="1"/>
  <c r="M57" i="415"/>
  <c r="O57" i="415" s="1"/>
  <c r="P59" i="415"/>
  <c r="M34" i="415"/>
  <c r="T34" i="415" s="1"/>
  <c r="U34" i="415" s="1"/>
  <c r="P36" i="415"/>
  <c r="P42" i="415"/>
  <c r="P60" i="415"/>
  <c r="P61" i="415"/>
  <c r="O65" i="415"/>
  <c r="M25" i="415"/>
  <c r="O25" i="415" s="1"/>
  <c r="P30" i="415"/>
  <c r="P31" i="415"/>
  <c r="M35" i="415"/>
  <c r="O35" i="415" s="1"/>
  <c r="M40" i="415"/>
  <c r="O40" i="415" s="1"/>
  <c r="N66" i="415"/>
  <c r="L7" i="426" s="1"/>
  <c r="P48" i="415"/>
  <c r="P55" i="415"/>
  <c r="S66" i="415"/>
  <c r="Q7" i="426" s="1"/>
  <c r="K8" i="415"/>
  <c r="L8" i="415" s="1"/>
  <c r="P39" i="415"/>
  <c r="P44" i="415"/>
  <c r="M49" i="415"/>
  <c r="O49" i="415" s="1"/>
  <c r="M54" i="415"/>
  <c r="O54" i="415" s="1"/>
  <c r="P56" i="415"/>
  <c r="M64" i="415"/>
  <c r="O64" i="415" s="1"/>
  <c r="M37" i="415"/>
  <c r="O37" i="415" s="1"/>
  <c r="P38" i="415"/>
  <c r="M43" i="415"/>
  <c r="O43" i="415" s="1"/>
  <c r="P45" i="415"/>
  <c r="A66" i="415"/>
  <c r="M46" i="415"/>
  <c r="O46" i="415" s="1"/>
  <c r="M62" i="415"/>
  <c r="O62" i="415" s="1"/>
  <c r="M63" i="415"/>
  <c r="T63" i="415" s="1"/>
  <c r="U63" i="415" s="1"/>
  <c r="L6" i="415"/>
  <c r="F7" i="415"/>
  <c r="F66" i="415" s="1"/>
  <c r="D7" i="426" s="1"/>
  <c r="P29" i="415"/>
  <c r="P33" i="415"/>
  <c r="P53" i="415"/>
  <c r="P58" i="415"/>
  <c r="D5" i="408"/>
  <c r="D14" i="408" s="1"/>
  <c r="B16" i="426" l="1"/>
  <c r="O13" i="417"/>
  <c r="P17" i="419"/>
  <c r="T17" i="417"/>
  <c r="U17" i="417" s="1"/>
  <c r="T79" i="416"/>
  <c r="U79" i="416" s="1"/>
  <c r="AK79" i="416" s="1"/>
  <c r="AN79" i="416" s="1"/>
  <c r="T11" i="417"/>
  <c r="U11" i="417" s="1"/>
  <c r="AK11" i="417" s="1"/>
  <c r="AN11" i="417" s="1"/>
  <c r="T16" i="418"/>
  <c r="U16" i="418" s="1"/>
  <c r="O14" i="419"/>
  <c r="O95" i="416"/>
  <c r="O34" i="416"/>
  <c r="T6" i="419"/>
  <c r="U6" i="419" s="1"/>
  <c r="D134" i="416"/>
  <c r="B8" i="426" s="1"/>
  <c r="O26" i="416"/>
  <c r="O20" i="417"/>
  <c r="T100" i="417"/>
  <c r="U100" i="417" s="1"/>
  <c r="L17" i="419"/>
  <c r="J11" i="426" s="1"/>
  <c r="O6" i="419"/>
  <c r="T14" i="425"/>
  <c r="U14" i="425" s="1"/>
  <c r="AK14" i="425" s="1"/>
  <c r="AN14" i="425" s="1"/>
  <c r="O17" i="422"/>
  <c r="T10" i="422"/>
  <c r="U10" i="422" s="1"/>
  <c r="O10" i="419"/>
  <c r="O115" i="417"/>
  <c r="AK61" i="417"/>
  <c r="AN61" i="417" s="1"/>
  <c r="T16" i="417"/>
  <c r="U16" i="417" s="1"/>
  <c r="AK76" i="416"/>
  <c r="AN76" i="416" s="1"/>
  <c r="T89" i="416"/>
  <c r="U89" i="416" s="1"/>
  <c r="V89" i="416" s="1"/>
  <c r="AO116" i="416"/>
  <c r="O75" i="416"/>
  <c r="O27" i="416"/>
  <c r="AK46" i="416"/>
  <c r="AN46" i="416" s="1"/>
  <c r="AX46" i="416" s="1"/>
  <c r="T64" i="415"/>
  <c r="U64" i="415" s="1"/>
  <c r="T15" i="425"/>
  <c r="U15" i="425" s="1"/>
  <c r="Q16" i="426"/>
  <c r="L16" i="426"/>
  <c r="L17" i="426" s="1"/>
  <c r="T11" i="425"/>
  <c r="U11" i="425" s="1"/>
  <c r="I16" i="426"/>
  <c r="J16" i="426"/>
  <c r="AB17" i="426"/>
  <c r="L22" i="423"/>
  <c r="P22" i="423" s="1"/>
  <c r="I15" i="426"/>
  <c r="L21" i="422"/>
  <c r="P21" i="422" s="1"/>
  <c r="I14" i="426"/>
  <c r="L17" i="421"/>
  <c r="P17" i="421" s="1"/>
  <c r="O9" i="419"/>
  <c r="P19" i="419"/>
  <c r="N11" i="426"/>
  <c r="BB17" i="426"/>
  <c r="T88" i="417"/>
  <c r="U88" i="417" s="1"/>
  <c r="O77" i="417"/>
  <c r="T80" i="417"/>
  <c r="U80" i="417" s="1"/>
  <c r="AK80" i="417" s="1"/>
  <c r="AN80" i="417" s="1"/>
  <c r="T46" i="417"/>
  <c r="U46" i="417" s="1"/>
  <c r="T112" i="417"/>
  <c r="U112" i="417" s="1"/>
  <c r="T109" i="417"/>
  <c r="U109" i="417" s="1"/>
  <c r="W109" i="417" s="1"/>
  <c r="T85" i="417"/>
  <c r="U85" i="417" s="1"/>
  <c r="AK85" i="417" s="1"/>
  <c r="AN85" i="417" s="1"/>
  <c r="T96" i="417"/>
  <c r="U96" i="417" s="1"/>
  <c r="V26" i="416"/>
  <c r="AK26" i="416"/>
  <c r="AN26" i="416" s="1"/>
  <c r="AO26" i="416" s="1"/>
  <c r="T43" i="416"/>
  <c r="U43" i="416" s="1"/>
  <c r="V43" i="416" s="1"/>
  <c r="T39" i="416"/>
  <c r="U39" i="416" s="1"/>
  <c r="T19" i="416"/>
  <c r="U19" i="416" s="1"/>
  <c r="V95" i="416"/>
  <c r="AK95" i="416"/>
  <c r="AN95" i="416" s="1"/>
  <c r="AO95" i="416" s="1"/>
  <c r="T63" i="416"/>
  <c r="U63" i="416" s="1"/>
  <c r="T32" i="416"/>
  <c r="U32" i="416" s="1"/>
  <c r="O101" i="416"/>
  <c r="V76" i="416"/>
  <c r="T40" i="416"/>
  <c r="U40" i="416" s="1"/>
  <c r="T30" i="416"/>
  <c r="U30" i="416" s="1"/>
  <c r="O76" i="416"/>
  <c r="T69" i="416"/>
  <c r="U69" i="416" s="1"/>
  <c r="V69" i="416" s="1"/>
  <c r="G17" i="426"/>
  <c r="T52" i="416"/>
  <c r="U52" i="416" s="1"/>
  <c r="AJ8" i="426"/>
  <c r="AA8" i="426"/>
  <c r="AA17" i="426" s="1"/>
  <c r="T70" i="416"/>
  <c r="U70" i="416" s="1"/>
  <c r="S134" i="416"/>
  <c r="Q8" i="426" s="1"/>
  <c r="BE116" i="416"/>
  <c r="T97" i="416"/>
  <c r="U97" i="416" s="1"/>
  <c r="V97" i="416" s="1"/>
  <c r="AJ118" i="416"/>
  <c r="T25" i="416"/>
  <c r="U25" i="416" s="1"/>
  <c r="T21" i="416"/>
  <c r="U21" i="416" s="1"/>
  <c r="V21" i="416" s="1"/>
  <c r="BE115" i="416"/>
  <c r="O16" i="416"/>
  <c r="AM141" i="416"/>
  <c r="AK8" i="426"/>
  <c r="AK17" i="426" s="1"/>
  <c r="O45" i="416"/>
  <c r="AV140" i="416"/>
  <c r="AT8" i="426"/>
  <c r="AJ17" i="426"/>
  <c r="T22" i="415"/>
  <c r="U22" i="415" s="1"/>
  <c r="AK22" i="415" s="1"/>
  <c r="AN22" i="415" s="1"/>
  <c r="H17" i="426"/>
  <c r="AH7" i="426"/>
  <c r="O18" i="415"/>
  <c r="O63" i="415"/>
  <c r="F67" i="415"/>
  <c r="B7" i="426"/>
  <c r="B17" i="426" s="1"/>
  <c r="T43" i="415"/>
  <c r="U43" i="415" s="1"/>
  <c r="T27" i="415"/>
  <c r="U27" i="415" s="1"/>
  <c r="O9" i="425"/>
  <c r="O10" i="424"/>
  <c r="T8" i="424"/>
  <c r="U8" i="424" s="1"/>
  <c r="BF8" i="424" s="1"/>
  <c r="O10" i="423"/>
  <c r="T8" i="420"/>
  <c r="U8" i="420" s="1"/>
  <c r="L10" i="420"/>
  <c r="P10" i="420" s="1"/>
  <c r="I12" i="426"/>
  <c r="T13" i="418"/>
  <c r="U13" i="418" s="1"/>
  <c r="W13" i="418" s="1"/>
  <c r="T13" i="425"/>
  <c r="U13" i="425" s="1"/>
  <c r="V13" i="425" s="1"/>
  <c r="O16" i="425"/>
  <c r="O14" i="422"/>
  <c r="F20" i="422"/>
  <c r="D14" i="426" s="1"/>
  <c r="AK15" i="421"/>
  <c r="AN15" i="421" s="1"/>
  <c r="V15" i="421"/>
  <c r="T7" i="419"/>
  <c r="U7" i="419" s="1"/>
  <c r="O15" i="419"/>
  <c r="F17" i="419"/>
  <c r="D11" i="426" s="1"/>
  <c r="O13" i="419"/>
  <c r="T12" i="419"/>
  <c r="U12" i="419" s="1"/>
  <c r="T11" i="419"/>
  <c r="U11" i="419" s="1"/>
  <c r="AK11" i="419" s="1"/>
  <c r="AN11" i="419" s="1"/>
  <c r="T9" i="418"/>
  <c r="U9" i="418" s="1"/>
  <c r="K18" i="418"/>
  <c r="A18" i="418"/>
  <c r="A130" i="418" s="1"/>
  <c r="A133" i="418" s="1"/>
  <c r="AK75" i="417"/>
  <c r="AN75" i="417" s="1"/>
  <c r="AX75" i="417" s="1"/>
  <c r="W75" i="417"/>
  <c r="O43" i="417"/>
  <c r="T43" i="417"/>
  <c r="U43" i="417" s="1"/>
  <c r="AK43" i="417" s="1"/>
  <c r="AN43" i="417" s="1"/>
  <c r="T50" i="417"/>
  <c r="U50" i="417" s="1"/>
  <c r="W50" i="417" s="1"/>
  <c r="T41" i="417"/>
  <c r="U41" i="417" s="1"/>
  <c r="T51" i="417"/>
  <c r="U51" i="417" s="1"/>
  <c r="T52" i="417"/>
  <c r="U52" i="417" s="1"/>
  <c r="T102" i="417"/>
  <c r="U102" i="417" s="1"/>
  <c r="W102" i="417" s="1"/>
  <c r="AK96" i="417"/>
  <c r="AN96" i="417" s="1"/>
  <c r="O59" i="417"/>
  <c r="O35" i="417"/>
  <c r="O28" i="417"/>
  <c r="O47" i="417"/>
  <c r="T114" i="417"/>
  <c r="U114" i="417" s="1"/>
  <c r="K116" i="417"/>
  <c r="T81" i="417"/>
  <c r="U81" i="417" s="1"/>
  <c r="O38" i="417"/>
  <c r="W61" i="417"/>
  <c r="O32" i="417"/>
  <c r="T53" i="417"/>
  <c r="U53" i="417" s="1"/>
  <c r="O82" i="417"/>
  <c r="O15" i="417"/>
  <c r="O29" i="417"/>
  <c r="T31" i="417"/>
  <c r="U31" i="417" s="1"/>
  <c r="AK31" i="417" s="1"/>
  <c r="AN31" i="417" s="1"/>
  <c r="V107" i="416"/>
  <c r="AK107" i="416"/>
  <c r="AN107" i="416" s="1"/>
  <c r="AO107" i="416" s="1"/>
  <c r="T91" i="416"/>
  <c r="U91" i="416" s="1"/>
  <c r="V91" i="416" s="1"/>
  <c r="O91" i="416"/>
  <c r="O132" i="416"/>
  <c r="T65" i="416"/>
  <c r="U65" i="416" s="1"/>
  <c r="O23" i="416"/>
  <c r="O87" i="416"/>
  <c r="O35" i="416"/>
  <c r="O107" i="416"/>
  <c r="O92" i="416"/>
  <c r="G134" i="416"/>
  <c r="E8" i="426" s="1"/>
  <c r="E17" i="426" s="1"/>
  <c r="O126" i="416"/>
  <c r="F118" i="416"/>
  <c r="F134" i="416" s="1"/>
  <c r="D8" i="426" s="1"/>
  <c r="T8" i="416"/>
  <c r="U8" i="416" s="1"/>
  <c r="O73" i="416"/>
  <c r="T77" i="416"/>
  <c r="U77" i="416" s="1"/>
  <c r="O56" i="416"/>
  <c r="O9" i="416"/>
  <c r="T58" i="416"/>
  <c r="U58" i="416" s="1"/>
  <c r="M58" i="416"/>
  <c r="O58" i="416" s="1"/>
  <c r="T49" i="416"/>
  <c r="U49" i="416" s="1"/>
  <c r="O47" i="416"/>
  <c r="T40" i="415"/>
  <c r="U40" i="415" s="1"/>
  <c r="T57" i="415"/>
  <c r="U57" i="415" s="1"/>
  <c r="O7" i="415"/>
  <c r="T62" i="415"/>
  <c r="U62" i="415" s="1"/>
  <c r="T54" i="415"/>
  <c r="U54" i="415" s="1"/>
  <c r="T32" i="415"/>
  <c r="U32" i="415" s="1"/>
  <c r="K66" i="415"/>
  <c r="T50" i="415"/>
  <c r="U50" i="415" s="1"/>
  <c r="T37" i="415"/>
  <c r="U37" i="415" s="1"/>
  <c r="T25" i="415"/>
  <c r="U25" i="415" s="1"/>
  <c r="T51" i="415"/>
  <c r="U51" i="415" s="1"/>
  <c r="V16" i="425"/>
  <c r="AK16" i="425"/>
  <c r="AN16" i="425" s="1"/>
  <c r="T12" i="425"/>
  <c r="U12" i="425" s="1"/>
  <c r="M8" i="425"/>
  <c r="O8" i="425" s="1"/>
  <c r="A17" i="425"/>
  <c r="A130" i="425" s="1"/>
  <c r="A133" i="425" s="1"/>
  <c r="M7" i="425"/>
  <c r="O7" i="425" s="1"/>
  <c r="M6" i="425"/>
  <c r="T6" i="425" s="1"/>
  <c r="P17" i="425"/>
  <c r="AK15" i="425"/>
  <c r="AN15" i="425" s="1"/>
  <c r="V15" i="425"/>
  <c r="AK9" i="425"/>
  <c r="AN9" i="425" s="1"/>
  <c r="V9" i="425"/>
  <c r="AK13" i="425"/>
  <c r="AN13" i="425" s="1"/>
  <c r="V11" i="425"/>
  <c r="AK11" i="425"/>
  <c r="AN11" i="425" s="1"/>
  <c r="M10" i="425"/>
  <c r="O10" i="425" s="1"/>
  <c r="AK10" i="424"/>
  <c r="AN10" i="424" s="1"/>
  <c r="V10" i="424"/>
  <c r="V7" i="424"/>
  <c r="AK7" i="424"/>
  <c r="AN7" i="424" s="1"/>
  <c r="F14" i="424"/>
  <c r="M12" i="424"/>
  <c r="O12" i="424" s="1"/>
  <c r="P14" i="424"/>
  <c r="N16" i="426" s="1"/>
  <c r="M6" i="424"/>
  <c r="M9" i="424"/>
  <c r="O9" i="424" s="1"/>
  <c r="O7" i="424"/>
  <c r="T11" i="424"/>
  <c r="U11" i="424" s="1"/>
  <c r="BF11" i="424" s="1"/>
  <c r="M13" i="424"/>
  <c r="O13" i="424" s="1"/>
  <c r="V9" i="423"/>
  <c r="AK9" i="423"/>
  <c r="AN9" i="423" s="1"/>
  <c r="V17" i="423"/>
  <c r="AK17" i="423"/>
  <c r="AN17" i="423" s="1"/>
  <c r="M14" i="423"/>
  <c r="O14" i="423" s="1"/>
  <c r="T11" i="423"/>
  <c r="U11" i="423" s="1"/>
  <c r="F22" i="423"/>
  <c r="M7" i="423"/>
  <c r="O7" i="423" s="1"/>
  <c r="V10" i="423"/>
  <c r="AK10" i="423"/>
  <c r="AN10" i="423" s="1"/>
  <c r="O17" i="423"/>
  <c r="M18" i="423"/>
  <c r="O18" i="423" s="1"/>
  <c r="P21" i="423"/>
  <c r="M6" i="423"/>
  <c r="M16" i="423"/>
  <c r="O16" i="423" s="1"/>
  <c r="AK20" i="423"/>
  <c r="AN20" i="423" s="1"/>
  <c r="V20" i="423"/>
  <c r="L23" i="423"/>
  <c r="M13" i="423"/>
  <c r="O13" i="423" s="1"/>
  <c r="M8" i="423"/>
  <c r="O8" i="423" s="1"/>
  <c r="T15" i="423"/>
  <c r="U15" i="423" s="1"/>
  <c r="M12" i="423"/>
  <c r="O12" i="423" s="1"/>
  <c r="M19" i="423"/>
  <c r="O19" i="423" s="1"/>
  <c r="W14" i="422"/>
  <c r="AK14" i="422"/>
  <c r="AN14" i="422" s="1"/>
  <c r="AK10" i="422"/>
  <c r="AN10" i="422" s="1"/>
  <c r="W10" i="422"/>
  <c r="W9" i="422"/>
  <c r="AK9" i="422"/>
  <c r="AN9" i="422" s="1"/>
  <c r="M7" i="422"/>
  <c r="O7" i="422" s="1"/>
  <c r="AK17" i="422"/>
  <c r="AN17" i="422" s="1"/>
  <c r="W17" i="422"/>
  <c r="M11" i="422"/>
  <c r="O11" i="422" s="1"/>
  <c r="O9" i="422"/>
  <c r="M13" i="422"/>
  <c r="O13" i="422" s="1"/>
  <c r="M15" i="422"/>
  <c r="O15" i="422" s="1"/>
  <c r="M12" i="422"/>
  <c r="O12" i="422" s="1"/>
  <c r="M8" i="422"/>
  <c r="O8" i="422" s="1"/>
  <c r="M16" i="422"/>
  <c r="O16" i="422" s="1"/>
  <c r="F21" i="422"/>
  <c r="V19" i="422"/>
  <c r="AK19" i="422"/>
  <c r="AN19" i="422" s="1"/>
  <c r="A20" i="422"/>
  <c r="A131" i="422" s="1"/>
  <c r="A134" i="422" s="1"/>
  <c r="P20" i="422"/>
  <c r="M6" i="422"/>
  <c r="T6" i="422" s="1"/>
  <c r="M18" i="422"/>
  <c r="O18" i="422" s="1"/>
  <c r="AK12" i="421"/>
  <c r="AN12" i="421" s="1"/>
  <c r="V12" i="421"/>
  <c r="T11" i="421"/>
  <c r="U11" i="421" s="1"/>
  <c r="T8" i="421"/>
  <c r="U8" i="421" s="1"/>
  <c r="O12" i="421"/>
  <c r="AO14" i="421"/>
  <c r="AX14" i="421"/>
  <c r="AK9" i="421"/>
  <c r="AN9" i="421" s="1"/>
  <c r="V9" i="421"/>
  <c r="P6" i="421"/>
  <c r="L16" i="421"/>
  <c r="J13" i="426" s="1"/>
  <c r="M10" i="421"/>
  <c r="O10" i="421" s="1"/>
  <c r="A9" i="421"/>
  <c r="A10" i="421" s="1"/>
  <c r="A11" i="421" s="1"/>
  <c r="A12" i="421" s="1"/>
  <c r="A13" i="421" s="1"/>
  <c r="A14" i="421" s="1"/>
  <c r="A15" i="421" s="1"/>
  <c r="M7" i="421"/>
  <c r="O7" i="421" s="1"/>
  <c r="F17" i="421"/>
  <c r="AX13" i="421"/>
  <c r="AO13" i="421"/>
  <c r="AK8" i="420"/>
  <c r="AN8" i="420" s="1"/>
  <c r="L9" i="420"/>
  <c r="J12" i="426" s="1"/>
  <c r="P6" i="420"/>
  <c r="M7" i="420"/>
  <c r="O7" i="420" s="1"/>
  <c r="W9" i="419"/>
  <c r="AK9" i="419"/>
  <c r="AN9" i="419" s="1"/>
  <c r="AK16" i="419"/>
  <c r="AN16" i="419" s="1"/>
  <c r="V16" i="419"/>
  <c r="AK10" i="419"/>
  <c r="AN10" i="419" s="1"/>
  <c r="W10" i="419"/>
  <c r="AK8" i="419"/>
  <c r="AN8" i="419" s="1"/>
  <c r="W8" i="419"/>
  <c r="AK14" i="419"/>
  <c r="AN14" i="419" s="1"/>
  <c r="AX14" i="419" s="1"/>
  <c r="V14" i="419"/>
  <c r="F18" i="419"/>
  <c r="O8" i="419"/>
  <c r="A17" i="419"/>
  <c r="A130" i="419" s="1"/>
  <c r="A133" i="419" s="1"/>
  <c r="AK13" i="419"/>
  <c r="AN13" i="419" s="1"/>
  <c r="W13" i="419"/>
  <c r="V15" i="419"/>
  <c r="AK15" i="419"/>
  <c r="AN15" i="419" s="1"/>
  <c r="AK6" i="419"/>
  <c r="W6" i="419"/>
  <c r="M17" i="419"/>
  <c r="L19" i="419"/>
  <c r="M15" i="418"/>
  <c r="O15" i="418" s="1"/>
  <c r="W16" i="418"/>
  <c r="AK16" i="418"/>
  <c r="AN16" i="418" s="1"/>
  <c r="T17" i="418"/>
  <c r="U17" i="418" s="1"/>
  <c r="T14" i="418"/>
  <c r="U14" i="418" s="1"/>
  <c r="AK8" i="418"/>
  <c r="AN8" i="418" s="1"/>
  <c r="W8" i="418"/>
  <c r="AK9" i="418"/>
  <c r="AN9" i="418" s="1"/>
  <c r="AK12" i="418"/>
  <c r="AN12" i="418" s="1"/>
  <c r="W12" i="418"/>
  <c r="AK11" i="418"/>
  <c r="AN11" i="418" s="1"/>
  <c r="W11" i="418"/>
  <c r="T7" i="418"/>
  <c r="U7" i="418" s="1"/>
  <c r="P6" i="418"/>
  <c r="L18" i="418"/>
  <c r="J10" i="426" s="1"/>
  <c r="T10" i="418"/>
  <c r="U10" i="418" s="1"/>
  <c r="W84" i="417"/>
  <c r="AK84" i="417"/>
  <c r="AN84" i="417" s="1"/>
  <c r="W115" i="417"/>
  <c r="AK115" i="417"/>
  <c r="AN115" i="417" s="1"/>
  <c r="AK59" i="417"/>
  <c r="AN59" i="417" s="1"/>
  <c r="W59" i="417"/>
  <c r="W38" i="417"/>
  <c r="AK38" i="417"/>
  <c r="AN38" i="417" s="1"/>
  <c r="W29" i="417"/>
  <c r="AK29" i="417"/>
  <c r="AN29" i="417" s="1"/>
  <c r="W113" i="417"/>
  <c r="AK113" i="417"/>
  <c r="AN113" i="417" s="1"/>
  <c r="AK82" i="417"/>
  <c r="AN82" i="417" s="1"/>
  <c r="W82" i="417"/>
  <c r="AK32" i="417"/>
  <c r="AN32" i="417" s="1"/>
  <c r="W32" i="417"/>
  <c r="AK100" i="417"/>
  <c r="AN100" i="417" s="1"/>
  <c r="W100" i="417"/>
  <c r="W89" i="417"/>
  <c r="AK89" i="417"/>
  <c r="AN89" i="417" s="1"/>
  <c r="W21" i="417"/>
  <c r="AK21" i="417"/>
  <c r="AN21" i="417" s="1"/>
  <c r="W11" i="417"/>
  <c r="W16" i="417"/>
  <c r="AK16" i="417"/>
  <c r="AN16" i="417" s="1"/>
  <c r="W15" i="417"/>
  <c r="AK15" i="417"/>
  <c r="AN15" i="417" s="1"/>
  <c r="W19" i="417"/>
  <c r="AK19" i="417"/>
  <c r="AN19" i="417" s="1"/>
  <c r="AK78" i="417"/>
  <c r="AN78" i="417" s="1"/>
  <c r="W78" i="417"/>
  <c r="W12" i="417"/>
  <c r="AK12" i="417"/>
  <c r="AN12" i="417" s="1"/>
  <c r="AK109" i="417"/>
  <c r="AN109" i="417" s="1"/>
  <c r="AK70" i="417"/>
  <c r="AN70" i="417" s="1"/>
  <c r="W70" i="417"/>
  <c r="W36" i="417"/>
  <c r="AK36" i="417"/>
  <c r="AN36" i="417" s="1"/>
  <c r="W34" i="417"/>
  <c r="AK34" i="417"/>
  <c r="AN34" i="417" s="1"/>
  <c r="W46" i="417"/>
  <c r="AK46" i="417"/>
  <c r="AN46" i="417" s="1"/>
  <c r="W9" i="417"/>
  <c r="AK9" i="417"/>
  <c r="AN9" i="417" s="1"/>
  <c r="W80" i="417"/>
  <c r="M30" i="417"/>
  <c r="O30" i="417" s="1"/>
  <c r="M56" i="417"/>
  <c r="O56" i="417" s="1"/>
  <c r="M57" i="417"/>
  <c r="O57" i="417" s="1"/>
  <c r="AK47" i="417"/>
  <c r="AN47" i="417" s="1"/>
  <c r="W47" i="417"/>
  <c r="O113" i="417"/>
  <c r="T90" i="417"/>
  <c r="U90" i="417" s="1"/>
  <c r="T105" i="417"/>
  <c r="U105" i="417" s="1"/>
  <c r="W114" i="417"/>
  <c r="O78" i="417"/>
  <c r="T74" i="417"/>
  <c r="U74" i="417" s="1"/>
  <c r="M72" i="417"/>
  <c r="O72" i="417" s="1"/>
  <c r="M48" i="417"/>
  <c r="O48" i="417" s="1"/>
  <c r="M40" i="417"/>
  <c r="O40" i="417" s="1"/>
  <c r="T40" i="417"/>
  <c r="U40" i="417" s="1"/>
  <c r="M69" i="417"/>
  <c r="O69" i="417" s="1"/>
  <c r="L116" i="417"/>
  <c r="J9" i="426" s="1"/>
  <c r="P6" i="417"/>
  <c r="M37" i="417"/>
  <c r="O37" i="417" s="1"/>
  <c r="O19" i="417"/>
  <c r="T23" i="417"/>
  <c r="U23" i="417" s="1"/>
  <c r="O23" i="417"/>
  <c r="T93" i="417"/>
  <c r="U93" i="417" s="1"/>
  <c r="M110" i="417"/>
  <c r="O110" i="417" s="1"/>
  <c r="M111" i="417"/>
  <c r="O111" i="417" s="1"/>
  <c r="M92" i="417"/>
  <c r="O92" i="417" s="1"/>
  <c r="W87" i="417"/>
  <c r="AK87" i="417"/>
  <c r="AN87" i="417" s="1"/>
  <c r="M103" i="417"/>
  <c r="O103" i="417" s="1"/>
  <c r="T76" i="417"/>
  <c r="U76" i="417" s="1"/>
  <c r="W27" i="417"/>
  <c r="AK27" i="417"/>
  <c r="AN27" i="417" s="1"/>
  <c r="T68" i="417"/>
  <c r="U68" i="417" s="1"/>
  <c r="T79" i="417"/>
  <c r="U79" i="417" s="1"/>
  <c r="M44" i="417"/>
  <c r="O44" i="417" s="1"/>
  <c r="AP33" i="417"/>
  <c r="AX33" i="417"/>
  <c r="M63" i="417"/>
  <c r="O63" i="417" s="1"/>
  <c r="AK77" i="417"/>
  <c r="AN77" i="417" s="1"/>
  <c r="W77" i="417"/>
  <c r="W66" i="417"/>
  <c r="AK66" i="417"/>
  <c r="AN66" i="417" s="1"/>
  <c r="M58" i="417"/>
  <c r="O58" i="417" s="1"/>
  <c r="W43" i="417"/>
  <c r="M54" i="417"/>
  <c r="O54" i="417" s="1"/>
  <c r="M39" i="417"/>
  <c r="O39" i="417" s="1"/>
  <c r="AK17" i="417"/>
  <c r="AN17" i="417" s="1"/>
  <c r="W17" i="417"/>
  <c r="T24" i="417"/>
  <c r="U24" i="417" s="1"/>
  <c r="AX26" i="417"/>
  <c r="AP26" i="417"/>
  <c r="M106" i="417"/>
  <c r="O106" i="417" s="1"/>
  <c r="M104" i="417"/>
  <c r="O104" i="417" s="1"/>
  <c r="T108" i="417"/>
  <c r="U108" i="417" s="1"/>
  <c r="AP96" i="417"/>
  <c r="AX96" i="417"/>
  <c r="M67" i="417"/>
  <c r="O67" i="417" s="1"/>
  <c r="T65" i="417"/>
  <c r="U65" i="417" s="1"/>
  <c r="W60" i="417"/>
  <c r="AK60" i="417"/>
  <c r="AN60" i="417" s="1"/>
  <c r="AK20" i="417"/>
  <c r="AN20" i="417" s="1"/>
  <c r="W20" i="417"/>
  <c r="T64" i="417"/>
  <c r="U64" i="417" s="1"/>
  <c r="T10" i="417"/>
  <c r="U10" i="417" s="1"/>
  <c r="BF10" i="417" s="1"/>
  <c r="AK102" i="417"/>
  <c r="AN102" i="417" s="1"/>
  <c r="M99" i="417"/>
  <c r="O99" i="417" s="1"/>
  <c r="AK107" i="417"/>
  <c r="AN107" i="417" s="1"/>
  <c r="W107" i="417"/>
  <c r="M101" i="417"/>
  <c r="O101" i="417" s="1"/>
  <c r="T101" i="417"/>
  <c r="U101" i="417" s="1"/>
  <c r="W81" i="417"/>
  <c r="AK81" i="417"/>
  <c r="AN81" i="417" s="1"/>
  <c r="O84" i="417"/>
  <c r="M73" i="417"/>
  <c r="O73" i="417" s="1"/>
  <c r="M45" i="417"/>
  <c r="O45" i="417" s="1"/>
  <c r="AP61" i="417"/>
  <c r="AX61" i="417"/>
  <c r="O21" i="417"/>
  <c r="F116" i="417"/>
  <c r="D9" i="426" s="1"/>
  <c r="AK35" i="417"/>
  <c r="AN35" i="417" s="1"/>
  <c r="W35" i="417"/>
  <c r="W28" i="417"/>
  <c r="AK28" i="417"/>
  <c r="AN28" i="417" s="1"/>
  <c r="T22" i="417"/>
  <c r="U22" i="417" s="1"/>
  <c r="AK8" i="417"/>
  <c r="AN8" i="417" s="1"/>
  <c r="W8" i="417"/>
  <c r="O89" i="417"/>
  <c r="AK88" i="417"/>
  <c r="AN88" i="417" s="1"/>
  <c r="W88" i="417"/>
  <c r="T86" i="417"/>
  <c r="U86" i="417" s="1"/>
  <c r="M91" i="417"/>
  <c r="O91" i="417" s="1"/>
  <c r="M97" i="417"/>
  <c r="O97" i="417" s="1"/>
  <c r="M55" i="417"/>
  <c r="O55" i="417" s="1"/>
  <c r="T83" i="417"/>
  <c r="U83" i="417" s="1"/>
  <c r="M98" i="417"/>
  <c r="O98" i="417" s="1"/>
  <c r="AK49" i="417"/>
  <c r="AN49" i="417" s="1"/>
  <c r="W49" i="417"/>
  <c r="M95" i="417"/>
  <c r="O95" i="417" s="1"/>
  <c r="M71" i="417"/>
  <c r="O71" i="417" s="1"/>
  <c r="AK94" i="417"/>
  <c r="AN94" i="417" s="1"/>
  <c r="W94" i="417"/>
  <c r="M62" i="417"/>
  <c r="O62" i="417" s="1"/>
  <c r="M25" i="417"/>
  <c r="O25" i="417" s="1"/>
  <c r="M14" i="417"/>
  <c r="O14" i="417" s="1"/>
  <c r="AK42" i="417"/>
  <c r="AN42" i="417" s="1"/>
  <c r="W42" i="417"/>
  <c r="T18" i="417"/>
  <c r="U18" i="417" s="1"/>
  <c r="M7" i="417"/>
  <c r="O7" i="417" s="1"/>
  <c r="AK13" i="417"/>
  <c r="AN13" i="417" s="1"/>
  <c r="W13" i="417"/>
  <c r="AJ134" i="416"/>
  <c r="AH8" i="426" s="1"/>
  <c r="V45" i="416"/>
  <c r="AK45" i="416"/>
  <c r="AN45" i="416" s="1"/>
  <c r="AK104" i="416"/>
  <c r="AN104" i="416" s="1"/>
  <c r="V104" i="416"/>
  <c r="AK77" i="416"/>
  <c r="AN77" i="416" s="1"/>
  <c r="V77" i="416"/>
  <c r="AK34" i="416"/>
  <c r="AN34" i="416" s="1"/>
  <c r="V34" i="416"/>
  <c r="AK81" i="416"/>
  <c r="AN81" i="416" s="1"/>
  <c r="V81" i="416"/>
  <c r="AK29" i="416"/>
  <c r="AN29" i="416" s="1"/>
  <c r="V29" i="416"/>
  <c r="AK97" i="416"/>
  <c r="AN97" i="416" s="1"/>
  <c r="V75" i="416"/>
  <c r="AK75" i="416"/>
  <c r="AN75" i="416" s="1"/>
  <c r="V126" i="416"/>
  <c r="AK126" i="416"/>
  <c r="AN126" i="416" s="1"/>
  <c r="AK87" i="416"/>
  <c r="AN87" i="416" s="1"/>
  <c r="V87" i="416"/>
  <c r="V132" i="416"/>
  <c r="AK132" i="416"/>
  <c r="AN132" i="416" s="1"/>
  <c r="V93" i="416"/>
  <c r="AK93" i="416"/>
  <c r="AN93" i="416" s="1"/>
  <c r="AK56" i="416"/>
  <c r="AN56" i="416" s="1"/>
  <c r="V56" i="416"/>
  <c r="AK82" i="416"/>
  <c r="AN82" i="416" s="1"/>
  <c r="V82" i="416"/>
  <c r="AK101" i="416"/>
  <c r="AN101" i="416" s="1"/>
  <c r="V101" i="416"/>
  <c r="V65" i="416"/>
  <c r="AK66" i="416"/>
  <c r="AN66" i="416" s="1"/>
  <c r="V66" i="416"/>
  <c r="AK9" i="416"/>
  <c r="AN9" i="416" s="1"/>
  <c r="V9" i="416"/>
  <c r="AK50" i="416"/>
  <c r="AN50" i="416" s="1"/>
  <c r="V50" i="416"/>
  <c r="O104" i="416"/>
  <c r="AX117" i="416"/>
  <c r="AO117" i="416"/>
  <c r="M74" i="416"/>
  <c r="O74" i="416" s="1"/>
  <c r="AK39" i="416"/>
  <c r="AN39" i="416" s="1"/>
  <c r="V39" i="416"/>
  <c r="AK47" i="416"/>
  <c r="AN47" i="416" s="1"/>
  <c r="V47" i="416"/>
  <c r="AK30" i="416"/>
  <c r="AN30" i="416" s="1"/>
  <c r="V30" i="416"/>
  <c r="M108" i="416"/>
  <c r="O108" i="416" s="1"/>
  <c r="T110" i="416"/>
  <c r="U110" i="416" s="1"/>
  <c r="M98" i="416"/>
  <c r="O98" i="416" s="1"/>
  <c r="V63" i="416"/>
  <c r="AK63" i="416"/>
  <c r="AN63" i="416" s="1"/>
  <c r="AO76" i="416"/>
  <c r="AX76" i="416"/>
  <c r="M28" i="416"/>
  <c r="O28" i="416" s="1"/>
  <c r="M15" i="416"/>
  <c r="O15" i="416" s="1"/>
  <c r="AK27" i="416"/>
  <c r="AN27" i="416" s="1"/>
  <c r="V27" i="416"/>
  <c r="AK21" i="416"/>
  <c r="AN21" i="416" s="1"/>
  <c r="AK23" i="416"/>
  <c r="AN23" i="416" s="1"/>
  <c r="V23" i="416"/>
  <c r="AK8" i="416"/>
  <c r="AN8" i="416" s="1"/>
  <c r="V8" i="416"/>
  <c r="M111" i="416"/>
  <c r="O111" i="416" s="1"/>
  <c r="M125" i="416"/>
  <c r="O125" i="416" s="1"/>
  <c r="F135" i="416"/>
  <c r="AX107" i="416"/>
  <c r="O103" i="416"/>
  <c r="T103" i="416"/>
  <c r="U103" i="416" s="1"/>
  <c r="M131" i="416"/>
  <c r="O131" i="416" s="1"/>
  <c r="M78" i="416"/>
  <c r="O78" i="416" s="1"/>
  <c r="T62" i="416"/>
  <c r="U62" i="416" s="1"/>
  <c r="O82" i="416"/>
  <c r="M31" i="416"/>
  <c r="O31" i="416" s="1"/>
  <c r="M67" i="416"/>
  <c r="O67" i="416" s="1"/>
  <c r="O29" i="416"/>
  <c r="T42" i="416"/>
  <c r="U42" i="416" s="1"/>
  <c r="M37" i="416"/>
  <c r="O37" i="416" s="1"/>
  <c r="A118" i="416"/>
  <c r="A121" i="416" s="1"/>
  <c r="M100" i="416"/>
  <c r="O100" i="416" s="1"/>
  <c r="M12" i="416"/>
  <c r="O12" i="416" s="1"/>
  <c r="M129" i="416"/>
  <c r="O129" i="416" s="1"/>
  <c r="M122" i="416"/>
  <c r="O122" i="416" s="1"/>
  <c r="M96" i="416"/>
  <c r="O96" i="416" s="1"/>
  <c r="AK70" i="416"/>
  <c r="AN70" i="416" s="1"/>
  <c r="V70" i="416"/>
  <c r="AK19" i="416"/>
  <c r="AN19" i="416" s="1"/>
  <c r="V19" i="416"/>
  <c r="O123" i="416"/>
  <c r="T113" i="416"/>
  <c r="U113" i="416" s="1"/>
  <c r="M102" i="416"/>
  <c r="O102" i="416" s="1"/>
  <c r="T105" i="416"/>
  <c r="U105" i="416" s="1"/>
  <c r="V94" i="416"/>
  <c r="AK94" i="416"/>
  <c r="AN94" i="416" s="1"/>
  <c r="M127" i="416"/>
  <c r="O127" i="416" s="1"/>
  <c r="T86" i="416"/>
  <c r="U86" i="416" s="1"/>
  <c r="AK59" i="416"/>
  <c r="AN59" i="416" s="1"/>
  <c r="V59" i="416"/>
  <c r="V60" i="416"/>
  <c r="AK60" i="416"/>
  <c r="AN60" i="416" s="1"/>
  <c r="M64" i="416"/>
  <c r="O64" i="416" s="1"/>
  <c r="T109" i="416"/>
  <c r="U109" i="416" s="1"/>
  <c r="M24" i="416"/>
  <c r="O24" i="416" s="1"/>
  <c r="M54" i="416"/>
  <c r="O54" i="416" s="1"/>
  <c r="M44" i="416"/>
  <c r="O44" i="416" s="1"/>
  <c r="M57" i="416"/>
  <c r="O57" i="416" s="1"/>
  <c r="O50" i="416"/>
  <c r="V32" i="416"/>
  <c r="AK32" i="416"/>
  <c r="AN32" i="416" s="1"/>
  <c r="M18" i="416"/>
  <c r="O18" i="416" s="1"/>
  <c r="AX114" i="416"/>
  <c r="AO114" i="416"/>
  <c r="M106" i="416"/>
  <c r="O106" i="416" s="1"/>
  <c r="M61" i="416"/>
  <c r="O61" i="416" s="1"/>
  <c r="M71" i="416"/>
  <c r="O71" i="416" s="1"/>
  <c r="M72" i="416"/>
  <c r="O72" i="416" s="1"/>
  <c r="AK91" i="416"/>
  <c r="AN91" i="416" s="1"/>
  <c r="V36" i="416"/>
  <c r="AK36" i="416"/>
  <c r="AN36" i="416" s="1"/>
  <c r="AK25" i="416"/>
  <c r="AN25" i="416" s="1"/>
  <c r="V25" i="416"/>
  <c r="M10" i="416"/>
  <c r="O10" i="416" s="1"/>
  <c r="O112" i="416"/>
  <c r="M128" i="416"/>
  <c r="O128" i="416" s="1"/>
  <c r="V124" i="416"/>
  <c r="AK124" i="416"/>
  <c r="AN124" i="416" s="1"/>
  <c r="O99" i="416"/>
  <c r="T99" i="416"/>
  <c r="U99" i="416" s="1"/>
  <c r="O93" i="416"/>
  <c r="M80" i="416"/>
  <c r="O80" i="416" s="1"/>
  <c r="M84" i="416"/>
  <c r="O84" i="416" s="1"/>
  <c r="M41" i="416"/>
  <c r="O41" i="416" s="1"/>
  <c r="AK55" i="416"/>
  <c r="AN55" i="416" s="1"/>
  <c r="V55" i="416"/>
  <c r="AK35" i="416"/>
  <c r="AN35" i="416" s="1"/>
  <c r="V35" i="416"/>
  <c r="M51" i="416"/>
  <c r="O51" i="416" s="1"/>
  <c r="AK88" i="416"/>
  <c r="AN88" i="416" s="1"/>
  <c r="V88" i="416"/>
  <c r="AK16" i="416"/>
  <c r="AN16" i="416" s="1"/>
  <c r="V16" i="416"/>
  <c r="M68" i="416"/>
  <c r="O68" i="416" s="1"/>
  <c r="M22" i="416"/>
  <c r="O22" i="416" s="1"/>
  <c r="K118" i="416"/>
  <c r="K134" i="416" s="1"/>
  <c r="T33" i="416"/>
  <c r="U33" i="416" s="1"/>
  <c r="M20" i="416"/>
  <c r="O20" i="416" s="1"/>
  <c r="M13" i="416"/>
  <c r="O13" i="416" s="1"/>
  <c r="AX73" i="416"/>
  <c r="AO73" i="416"/>
  <c r="V79" i="416"/>
  <c r="AK112" i="416"/>
  <c r="AN112" i="416" s="1"/>
  <c r="V112" i="416"/>
  <c r="M90" i="416"/>
  <c r="O90" i="416" s="1"/>
  <c r="M48" i="416"/>
  <c r="O48" i="416" s="1"/>
  <c r="M38" i="416"/>
  <c r="O38" i="416" s="1"/>
  <c r="P7" i="416"/>
  <c r="P118" i="416" s="1"/>
  <c r="M53" i="416"/>
  <c r="O53" i="416" s="1"/>
  <c r="AK40" i="416"/>
  <c r="AN40" i="416" s="1"/>
  <c r="V40" i="416"/>
  <c r="M11" i="416"/>
  <c r="O11" i="416" s="1"/>
  <c r="M6" i="416"/>
  <c r="AK123" i="416"/>
  <c r="AN123" i="416" s="1"/>
  <c r="V123" i="416"/>
  <c r="AK85" i="416"/>
  <c r="AN85" i="416" s="1"/>
  <c r="V85" i="416"/>
  <c r="M83" i="416"/>
  <c r="O83" i="416" s="1"/>
  <c r="M130" i="416"/>
  <c r="O130" i="416" s="1"/>
  <c r="AK92" i="416"/>
  <c r="AN92" i="416" s="1"/>
  <c r="V92" i="416"/>
  <c r="P133" i="416"/>
  <c r="M121" i="416"/>
  <c r="T121" i="416" s="1"/>
  <c r="V52" i="416"/>
  <c r="AK52" i="416"/>
  <c r="AN52" i="416" s="1"/>
  <c r="AK43" i="416"/>
  <c r="AN43" i="416" s="1"/>
  <c r="M17" i="416"/>
  <c r="O17" i="416" s="1"/>
  <c r="M14" i="416"/>
  <c r="O14" i="416" s="1"/>
  <c r="L118" i="416"/>
  <c r="L134" i="416" s="1"/>
  <c r="J8" i="426" s="1"/>
  <c r="AK63" i="415"/>
  <c r="AN63" i="415" s="1"/>
  <c r="V63" i="415"/>
  <c r="AK62" i="415"/>
  <c r="AN62" i="415" s="1"/>
  <c r="AK65" i="415"/>
  <c r="AN65" i="415" s="1"/>
  <c r="V65" i="415"/>
  <c r="AK32" i="415"/>
  <c r="AN32" i="415" s="1"/>
  <c r="V32" i="415"/>
  <c r="AK34" i="415"/>
  <c r="AN34" i="415" s="1"/>
  <c r="V34" i="415"/>
  <c r="AK18" i="415"/>
  <c r="AN18" i="415" s="1"/>
  <c r="V18" i="415"/>
  <c r="V25" i="415"/>
  <c r="AK7" i="415"/>
  <c r="AN7" i="415" s="1"/>
  <c r="V7" i="415"/>
  <c r="AK11" i="415"/>
  <c r="AN11" i="415" s="1"/>
  <c r="V11" i="415"/>
  <c r="M23" i="415"/>
  <c r="O23" i="415" s="1"/>
  <c r="M56" i="415"/>
  <c r="O56" i="415" s="1"/>
  <c r="M61" i="415"/>
  <c r="O61" i="415" s="1"/>
  <c r="M36" i="415"/>
  <c r="O36" i="415" s="1"/>
  <c r="M16" i="415"/>
  <c r="O16" i="415" s="1"/>
  <c r="M53" i="415"/>
  <c r="O53" i="415" s="1"/>
  <c r="L66" i="415"/>
  <c r="J7" i="426" s="1"/>
  <c r="P6" i="415"/>
  <c r="M39" i="415"/>
  <c r="O39" i="415" s="1"/>
  <c r="O11" i="415"/>
  <c r="T35" i="415"/>
  <c r="U35" i="415" s="1"/>
  <c r="V57" i="415"/>
  <c r="M28" i="415"/>
  <c r="O28" i="415" s="1"/>
  <c r="M9" i="415"/>
  <c r="O9" i="415" s="1"/>
  <c r="M10" i="415"/>
  <c r="O10" i="415" s="1"/>
  <c r="T46" i="415"/>
  <c r="U46" i="415" s="1"/>
  <c r="O34" i="415"/>
  <c r="M31" i="415"/>
  <c r="O31" i="415" s="1"/>
  <c r="M60" i="415"/>
  <c r="O60" i="415" s="1"/>
  <c r="V22" i="415"/>
  <c r="M41" i="415"/>
  <c r="O41" i="415" s="1"/>
  <c r="M48" i="415"/>
  <c r="O48" i="415" s="1"/>
  <c r="M58" i="415"/>
  <c r="O58" i="415" s="1"/>
  <c r="M38" i="415"/>
  <c r="O38" i="415" s="1"/>
  <c r="T14" i="415"/>
  <c r="U14" i="415" s="1"/>
  <c r="M45" i="415"/>
  <c r="O45" i="415" s="1"/>
  <c r="AK24" i="415"/>
  <c r="AN24" i="415" s="1"/>
  <c r="V24" i="415"/>
  <c r="M55" i="415"/>
  <c r="O55" i="415" s="1"/>
  <c r="AK64" i="415"/>
  <c r="AN64" i="415" s="1"/>
  <c r="V64" i="415"/>
  <c r="M17" i="415"/>
  <c r="O17" i="415" s="1"/>
  <c r="M21" i="415"/>
  <c r="O21" i="415" s="1"/>
  <c r="M52" i="415"/>
  <c r="O52" i="415" s="1"/>
  <c r="M47" i="415"/>
  <c r="O47" i="415" s="1"/>
  <c r="M26" i="415"/>
  <c r="O26" i="415" s="1"/>
  <c r="M33" i="415"/>
  <c r="O33" i="415" s="1"/>
  <c r="AK43" i="415"/>
  <c r="AN43" i="415" s="1"/>
  <c r="V43" i="415"/>
  <c r="P8" i="415"/>
  <c r="M30" i="415"/>
  <c r="O30" i="415" s="1"/>
  <c r="M13" i="415"/>
  <c r="O13" i="415" s="1"/>
  <c r="M19" i="415"/>
  <c r="O19" i="415" s="1"/>
  <c r="T49" i="415"/>
  <c r="U49" i="415" s="1"/>
  <c r="T15" i="415"/>
  <c r="U15" i="415" s="1"/>
  <c r="M20" i="415"/>
  <c r="O20" i="415" s="1"/>
  <c r="M42" i="415"/>
  <c r="O42" i="415" s="1"/>
  <c r="AK27" i="415"/>
  <c r="AN27" i="415" s="1"/>
  <c r="M12" i="415"/>
  <c r="O12" i="415" s="1"/>
  <c r="M59" i="415"/>
  <c r="O59" i="415" s="1"/>
  <c r="M29" i="415"/>
  <c r="O29" i="415" s="1"/>
  <c r="M44" i="415"/>
  <c r="O44" i="415" s="1"/>
  <c r="X15" i="12"/>
  <c r="S13" i="414"/>
  <c r="K13" i="414"/>
  <c r="L13" i="414" s="1"/>
  <c r="F13" i="414"/>
  <c r="S12" i="414"/>
  <c r="K12" i="414"/>
  <c r="L12" i="414" s="1"/>
  <c r="F12" i="414"/>
  <c r="S11" i="414"/>
  <c r="K11" i="414"/>
  <c r="L11" i="414" s="1"/>
  <c r="P11" i="414" s="1"/>
  <c r="F11" i="414"/>
  <c r="S10" i="414"/>
  <c r="K10" i="414"/>
  <c r="L10" i="414" s="1"/>
  <c r="F10" i="414"/>
  <c r="S9" i="414"/>
  <c r="K9" i="414"/>
  <c r="L9" i="414" s="1"/>
  <c r="P9" i="414" s="1"/>
  <c r="D9" i="414"/>
  <c r="S8" i="414"/>
  <c r="K8" i="414"/>
  <c r="L8" i="414" s="1"/>
  <c r="F8" i="414"/>
  <c r="S7" i="414"/>
  <c r="K7" i="414"/>
  <c r="L7" i="414" s="1"/>
  <c r="P7" i="414" s="1"/>
  <c r="D7" i="414"/>
  <c r="S6" i="414"/>
  <c r="K6" i="414"/>
  <c r="L6" i="414" s="1"/>
  <c r="P6" i="414" s="1"/>
  <c r="F6" i="414"/>
  <c r="A6" i="414"/>
  <c r="S5" i="414"/>
  <c r="K5" i="414"/>
  <c r="F5" i="414"/>
  <c r="T52" i="415" l="1"/>
  <c r="U52" i="415" s="1"/>
  <c r="AK69" i="416"/>
  <c r="AN69" i="416" s="1"/>
  <c r="T62" i="417"/>
  <c r="U62" i="417" s="1"/>
  <c r="AP75" i="417"/>
  <c r="U17" i="419"/>
  <c r="S11" i="426" s="1"/>
  <c r="V14" i="425"/>
  <c r="AK50" i="417"/>
  <c r="AN50" i="417" s="1"/>
  <c r="AX50" i="417" s="1"/>
  <c r="T33" i="415"/>
  <c r="U33" i="415" s="1"/>
  <c r="D15" i="414"/>
  <c r="AO46" i="416"/>
  <c r="K15" i="414"/>
  <c r="AX95" i="416"/>
  <c r="T98" i="417"/>
  <c r="U98" i="417" s="1"/>
  <c r="W11" i="419"/>
  <c r="S15" i="414"/>
  <c r="W31" i="417"/>
  <c r="A7" i="414"/>
  <c r="A8" i="414" s="1"/>
  <c r="A9" i="414" s="1"/>
  <c r="A10" i="414" s="1"/>
  <c r="A11" i="414" s="1"/>
  <c r="A12" i="414" s="1"/>
  <c r="A13" i="414" s="1"/>
  <c r="A14" i="414" s="1"/>
  <c r="A15" i="414"/>
  <c r="W85" i="417"/>
  <c r="V8" i="424"/>
  <c r="L22" i="422"/>
  <c r="Q17" i="426"/>
  <c r="AK8" i="424"/>
  <c r="AN8" i="424" s="1"/>
  <c r="AW8" i="424" s="1"/>
  <c r="W8" i="420"/>
  <c r="W7" i="419"/>
  <c r="O17" i="419"/>
  <c r="M11" i="426" s="1"/>
  <c r="W12" i="419"/>
  <c r="W9" i="418"/>
  <c r="AK13" i="418"/>
  <c r="AN13" i="418" s="1"/>
  <c r="W52" i="417"/>
  <c r="AK114" i="417"/>
  <c r="AN114" i="417" s="1"/>
  <c r="AP114" i="417" s="1"/>
  <c r="W51" i="417"/>
  <c r="T25" i="417"/>
  <c r="U25" i="417" s="1"/>
  <c r="W41" i="417"/>
  <c r="T45" i="417"/>
  <c r="U45" i="417" s="1"/>
  <c r="W96" i="417"/>
  <c r="V49" i="416"/>
  <c r="AK65" i="416"/>
  <c r="AN65" i="416" s="1"/>
  <c r="AX65" i="416" s="1"/>
  <c r="AX26" i="416"/>
  <c r="AK49" i="416"/>
  <c r="AN49" i="416" s="1"/>
  <c r="AK89" i="416"/>
  <c r="AN89" i="416" s="1"/>
  <c r="BG116" i="416"/>
  <c r="BF116" i="416"/>
  <c r="BG115" i="416"/>
  <c r="BF115" i="416"/>
  <c r="AK54" i="415"/>
  <c r="AN54" i="415" s="1"/>
  <c r="AX54" i="415" s="1"/>
  <c r="V54" i="415"/>
  <c r="V62" i="415"/>
  <c r="AK37" i="415"/>
  <c r="AN37" i="415" s="1"/>
  <c r="AK40" i="415"/>
  <c r="AN40" i="415" s="1"/>
  <c r="V27" i="415"/>
  <c r="T30" i="415"/>
  <c r="U30" i="415" s="1"/>
  <c r="T28" i="415"/>
  <c r="U28" i="415" s="1"/>
  <c r="V37" i="415"/>
  <c r="AK50" i="415"/>
  <c r="AN50" i="415" s="1"/>
  <c r="AK57" i="415"/>
  <c r="AN57" i="415" s="1"/>
  <c r="AK25" i="415"/>
  <c r="AN25" i="415" s="1"/>
  <c r="F15" i="424"/>
  <c r="D16" i="426"/>
  <c r="D17" i="426" s="1"/>
  <c r="AO20" i="423"/>
  <c r="AX20" i="423"/>
  <c r="P23" i="423"/>
  <c r="N15" i="426"/>
  <c r="AO17" i="423"/>
  <c r="AX17" i="423"/>
  <c r="AO10" i="423"/>
  <c r="AX10" i="423"/>
  <c r="AO9" i="423"/>
  <c r="AX9" i="423"/>
  <c r="T11" i="422"/>
  <c r="U11" i="422" s="1"/>
  <c r="W11" i="422" s="1"/>
  <c r="P22" i="422"/>
  <c r="N14" i="426"/>
  <c r="T10" i="421"/>
  <c r="U10" i="421" s="1"/>
  <c r="AK7" i="419"/>
  <c r="AN7" i="419" s="1"/>
  <c r="AZ14" i="419"/>
  <c r="BE14" i="419"/>
  <c r="K11" i="426"/>
  <c r="T17" i="419"/>
  <c r="R11" i="426" s="1"/>
  <c r="AZ61" i="417"/>
  <c r="BE61" i="417"/>
  <c r="T56" i="417"/>
  <c r="U56" i="417" s="1"/>
  <c r="AZ96" i="417"/>
  <c r="BE96" i="417"/>
  <c r="BH96" i="417" s="1"/>
  <c r="AZ26" i="417"/>
  <c r="BE26" i="417"/>
  <c r="AZ33" i="417"/>
  <c r="BE33" i="417"/>
  <c r="L117" i="417"/>
  <c r="P117" i="417" s="1"/>
  <c r="I9" i="426"/>
  <c r="AK112" i="417"/>
  <c r="AN112" i="417" s="1"/>
  <c r="W112" i="417"/>
  <c r="AZ75" i="417"/>
  <c r="BE75" i="417"/>
  <c r="T92" i="417"/>
  <c r="U92" i="417" s="1"/>
  <c r="AK92" i="417" s="1"/>
  <c r="AN92" i="417" s="1"/>
  <c r="T48" i="417"/>
  <c r="U48" i="417" s="1"/>
  <c r="T55" i="417"/>
  <c r="U55" i="417" s="1"/>
  <c r="T90" i="416"/>
  <c r="U90" i="416" s="1"/>
  <c r="T18" i="416"/>
  <c r="U18" i="416" s="1"/>
  <c r="T64" i="416"/>
  <c r="U64" i="416" s="1"/>
  <c r="T17" i="416"/>
  <c r="U17" i="416" s="1"/>
  <c r="T106" i="416"/>
  <c r="U106" i="416" s="1"/>
  <c r="AY76" i="416"/>
  <c r="BE76" i="416"/>
  <c r="AY114" i="416"/>
  <c r="BE114" i="416"/>
  <c r="AY107" i="416"/>
  <c r="BE107" i="416"/>
  <c r="AY117" i="416"/>
  <c r="BE117" i="416"/>
  <c r="L135" i="416"/>
  <c r="P135" i="416" s="1"/>
  <c r="I8" i="426"/>
  <c r="T22" i="416"/>
  <c r="U22" i="416" s="1"/>
  <c r="T71" i="416"/>
  <c r="U71" i="416" s="1"/>
  <c r="T24" i="416"/>
  <c r="U24" i="416" s="1"/>
  <c r="AY95" i="416"/>
  <c r="BE95" i="416"/>
  <c r="AH17" i="426"/>
  <c r="AY26" i="416"/>
  <c r="BE26" i="416"/>
  <c r="AY46" i="416"/>
  <c r="BE46" i="416"/>
  <c r="AY73" i="416"/>
  <c r="BE73" i="416"/>
  <c r="T31" i="415"/>
  <c r="U31" i="415" s="1"/>
  <c r="T16" i="415"/>
  <c r="U16" i="415" s="1"/>
  <c r="V40" i="415"/>
  <c r="L67" i="415"/>
  <c r="P67" i="415" s="1"/>
  <c r="I7" i="426"/>
  <c r="J17" i="426"/>
  <c r="T26" i="415"/>
  <c r="U26" i="415" s="1"/>
  <c r="T56" i="415"/>
  <c r="U56" i="415" s="1"/>
  <c r="P15" i="12"/>
  <c r="V15" i="12"/>
  <c r="H15" i="12"/>
  <c r="I15" i="12"/>
  <c r="G15" i="12"/>
  <c r="Y15" i="12"/>
  <c r="F7" i="414"/>
  <c r="F15" i="414" s="1"/>
  <c r="C15" i="12"/>
  <c r="U15" i="12"/>
  <c r="E15" i="12"/>
  <c r="W15" i="12"/>
  <c r="O15" i="12"/>
  <c r="AO11" i="425"/>
  <c r="AX11" i="425"/>
  <c r="AO16" i="425"/>
  <c r="AX16" i="425"/>
  <c r="AO15" i="425"/>
  <c r="AX15" i="425"/>
  <c r="AO9" i="425"/>
  <c r="AX9" i="425"/>
  <c r="AO14" i="425"/>
  <c r="AX14" i="425"/>
  <c r="AO13" i="425"/>
  <c r="AX13" i="425"/>
  <c r="T8" i="423"/>
  <c r="U8" i="423" s="1"/>
  <c r="AK8" i="423" s="1"/>
  <c r="AN8" i="423" s="1"/>
  <c r="T14" i="423"/>
  <c r="U14" i="423" s="1"/>
  <c r="AY13" i="421"/>
  <c r="BE13" i="421"/>
  <c r="AY14" i="421"/>
  <c r="BE14" i="421"/>
  <c r="L19" i="418"/>
  <c r="P19" i="418" s="1"/>
  <c r="I10" i="426"/>
  <c r="T7" i="425"/>
  <c r="U7" i="425" s="1"/>
  <c r="V7" i="425" s="1"/>
  <c r="T12" i="423"/>
  <c r="U12" i="423" s="1"/>
  <c r="AX15" i="421"/>
  <c r="AO15" i="421"/>
  <c r="T7" i="420"/>
  <c r="U7" i="420" s="1"/>
  <c r="T18" i="419"/>
  <c r="U18" i="419" s="1"/>
  <c r="U19" i="419" s="1"/>
  <c r="AK12" i="419"/>
  <c r="AN12" i="419" s="1"/>
  <c r="AX12" i="419" s="1"/>
  <c r="T63" i="417"/>
  <c r="U63" i="417" s="1"/>
  <c r="T95" i="417"/>
  <c r="U95" i="417" s="1"/>
  <c r="AK53" i="417"/>
  <c r="AN53" i="417" s="1"/>
  <c r="W53" i="417"/>
  <c r="AK41" i="417"/>
  <c r="AN41" i="417" s="1"/>
  <c r="T91" i="417"/>
  <c r="U91" i="417" s="1"/>
  <c r="T54" i="417"/>
  <c r="U54" i="417" s="1"/>
  <c r="T44" i="417"/>
  <c r="U44" i="417" s="1"/>
  <c r="T103" i="417"/>
  <c r="U103" i="417" s="1"/>
  <c r="T110" i="417"/>
  <c r="U110" i="417" s="1"/>
  <c r="T30" i="417"/>
  <c r="U30" i="417" s="1"/>
  <c r="AK52" i="417"/>
  <c r="AN52" i="417" s="1"/>
  <c r="AX52" i="417" s="1"/>
  <c r="T58" i="417"/>
  <c r="U58" i="417" s="1"/>
  <c r="T57" i="417"/>
  <c r="U57" i="417" s="1"/>
  <c r="AK51" i="417"/>
  <c r="AN51" i="417" s="1"/>
  <c r="T38" i="416"/>
  <c r="U38" i="416" s="1"/>
  <c r="T80" i="416"/>
  <c r="U80" i="416" s="1"/>
  <c r="T57" i="416"/>
  <c r="U57" i="416" s="1"/>
  <c r="T127" i="416"/>
  <c r="U127" i="416" s="1"/>
  <c r="T12" i="416"/>
  <c r="U12" i="416" s="1"/>
  <c r="V12" i="416" s="1"/>
  <c r="T108" i="416"/>
  <c r="U108" i="416" s="1"/>
  <c r="V58" i="416"/>
  <c r="AK58" i="416"/>
  <c r="AN58" i="416" s="1"/>
  <c r="T78" i="416"/>
  <c r="U78" i="416" s="1"/>
  <c r="T98" i="416"/>
  <c r="U98" i="416" s="1"/>
  <c r="T130" i="416"/>
  <c r="U130" i="416" s="1"/>
  <c r="T53" i="416"/>
  <c r="U53" i="416" s="1"/>
  <c r="T41" i="416"/>
  <c r="U41" i="416" s="1"/>
  <c r="AK41" i="416" s="1"/>
  <c r="AN41" i="416" s="1"/>
  <c r="T61" i="416"/>
  <c r="U61" i="416" s="1"/>
  <c r="T54" i="416"/>
  <c r="U54" i="416" s="1"/>
  <c r="T125" i="416"/>
  <c r="U125" i="416" s="1"/>
  <c r="T83" i="416"/>
  <c r="U83" i="416" s="1"/>
  <c r="T51" i="416"/>
  <c r="U51" i="416" s="1"/>
  <c r="T129" i="416"/>
  <c r="U129" i="416" s="1"/>
  <c r="T131" i="416"/>
  <c r="U131" i="416" s="1"/>
  <c r="T20" i="415"/>
  <c r="U20" i="415" s="1"/>
  <c r="AK20" i="415" s="1"/>
  <c r="AN20" i="415" s="1"/>
  <c r="T48" i="415"/>
  <c r="U48" i="415" s="1"/>
  <c r="V50" i="415"/>
  <c r="T44" i="415"/>
  <c r="U44" i="415" s="1"/>
  <c r="T47" i="415"/>
  <c r="U47" i="415" s="1"/>
  <c r="V51" i="415"/>
  <c r="AK51" i="415"/>
  <c r="AN51" i="415" s="1"/>
  <c r="T55" i="415"/>
  <c r="U55" i="415" s="1"/>
  <c r="T13" i="415"/>
  <c r="U13" i="415" s="1"/>
  <c r="AK13" i="415" s="1"/>
  <c r="AN13" i="415" s="1"/>
  <c r="T53" i="415"/>
  <c r="U53" i="415" s="1"/>
  <c r="T23" i="415"/>
  <c r="U23" i="415" s="1"/>
  <c r="U6" i="425"/>
  <c r="T8" i="425"/>
  <c r="U8" i="425" s="1"/>
  <c r="V12" i="425"/>
  <c r="AK12" i="425"/>
  <c r="AN12" i="425" s="1"/>
  <c r="M17" i="425"/>
  <c r="T18" i="425" s="1"/>
  <c r="U18" i="425" s="1"/>
  <c r="O6" i="425"/>
  <c r="O17" i="425" s="1"/>
  <c r="T10" i="425"/>
  <c r="U10" i="425" s="1"/>
  <c r="V11" i="424"/>
  <c r="AK11" i="424"/>
  <c r="AN11" i="424" s="1"/>
  <c r="M14" i="424"/>
  <c r="O6" i="424"/>
  <c r="O14" i="424" s="1"/>
  <c r="T9" i="424"/>
  <c r="U9" i="424" s="1"/>
  <c r="BF9" i="424" s="1"/>
  <c r="AP8" i="424"/>
  <c r="AP7" i="424"/>
  <c r="AW7" i="424"/>
  <c r="T13" i="424"/>
  <c r="U13" i="424" s="1"/>
  <c r="BF13" i="424" s="1"/>
  <c r="T6" i="424"/>
  <c r="T12" i="424"/>
  <c r="U12" i="424" s="1"/>
  <c r="BF12" i="424" s="1"/>
  <c r="AW10" i="424"/>
  <c r="AP10" i="424"/>
  <c r="V8" i="423"/>
  <c r="AK15" i="423"/>
  <c r="AN15" i="423" s="1"/>
  <c r="V15" i="423"/>
  <c r="T18" i="423"/>
  <c r="U18" i="423" s="1"/>
  <c r="V11" i="423"/>
  <c r="AK11" i="423"/>
  <c r="AN11" i="423" s="1"/>
  <c r="AK14" i="423"/>
  <c r="AN14" i="423" s="1"/>
  <c r="V14" i="423"/>
  <c r="T16" i="423"/>
  <c r="U16" i="423" s="1"/>
  <c r="M21" i="423"/>
  <c r="K15" i="426" s="1"/>
  <c r="O6" i="423"/>
  <c r="O21" i="423" s="1"/>
  <c r="M15" i="426" s="1"/>
  <c r="T19" i="423"/>
  <c r="U19" i="423" s="1"/>
  <c r="T13" i="423"/>
  <c r="U13" i="423" s="1"/>
  <c r="T7" i="423"/>
  <c r="U7" i="423" s="1"/>
  <c r="T6" i="423"/>
  <c r="T8" i="422"/>
  <c r="U8" i="422" s="1"/>
  <c r="AX9" i="422"/>
  <c r="AP9" i="422"/>
  <c r="AX19" i="422"/>
  <c r="AP19" i="422"/>
  <c r="T12" i="422"/>
  <c r="U12" i="422" s="1"/>
  <c r="AP10" i="422"/>
  <c r="AX10" i="422"/>
  <c r="U6" i="422"/>
  <c r="T18" i="422"/>
  <c r="U18" i="422" s="1"/>
  <c r="T15" i="422"/>
  <c r="U15" i="422" s="1"/>
  <c r="AX17" i="422"/>
  <c r="AP17" i="422"/>
  <c r="AX14" i="422"/>
  <c r="AP14" i="422"/>
  <c r="M20" i="422"/>
  <c r="K14" i="426" s="1"/>
  <c r="O6" i="422"/>
  <c r="O20" i="422" s="1"/>
  <c r="M14" i="426" s="1"/>
  <c r="T16" i="422"/>
  <c r="U16" i="422" s="1"/>
  <c r="T13" i="422"/>
  <c r="U13" i="422" s="1"/>
  <c r="T7" i="422"/>
  <c r="U7" i="422" s="1"/>
  <c r="AK10" i="421"/>
  <c r="AN10" i="421" s="1"/>
  <c r="V10" i="421"/>
  <c r="L18" i="421"/>
  <c r="V8" i="421"/>
  <c r="AK8" i="421"/>
  <c r="AN8" i="421" s="1"/>
  <c r="AX12" i="421"/>
  <c r="AO12" i="421"/>
  <c r="V11" i="421"/>
  <c r="AK11" i="421"/>
  <c r="AN11" i="421" s="1"/>
  <c r="T7" i="421"/>
  <c r="U7" i="421" s="1"/>
  <c r="P16" i="421"/>
  <c r="M6" i="421"/>
  <c r="A16" i="421"/>
  <c r="A126" i="421" s="1"/>
  <c r="A129" i="421" s="1"/>
  <c r="AO9" i="421"/>
  <c r="AX9" i="421"/>
  <c r="AK7" i="420"/>
  <c r="AN7" i="420" s="1"/>
  <c r="M6" i="420"/>
  <c r="T6" i="420" s="1"/>
  <c r="P9" i="420"/>
  <c r="N12" i="426" s="1"/>
  <c r="AX8" i="420"/>
  <c r="AP8" i="420"/>
  <c r="AN6" i="419"/>
  <c r="AP8" i="419"/>
  <c r="AX8" i="419"/>
  <c r="AX7" i="419"/>
  <c r="AP7" i="419"/>
  <c r="W17" i="419"/>
  <c r="U11" i="426" s="1"/>
  <c r="AX11" i="419"/>
  <c r="AP11" i="419"/>
  <c r="AX15" i="419"/>
  <c r="AP15" i="419"/>
  <c r="AP10" i="419"/>
  <c r="AX10" i="419"/>
  <c r="AP12" i="419"/>
  <c r="AP16" i="419"/>
  <c r="AX16" i="419"/>
  <c r="AP13" i="419"/>
  <c r="AX13" i="419"/>
  <c r="V17" i="419"/>
  <c r="T11" i="426" s="1"/>
  <c r="AX9" i="419"/>
  <c r="AP9" i="419"/>
  <c r="AK7" i="418"/>
  <c r="AN7" i="418" s="1"/>
  <c r="W7" i="418"/>
  <c r="AX16" i="418"/>
  <c r="BE16" i="418" s="1"/>
  <c r="AP16" i="418"/>
  <c r="AK10" i="418"/>
  <c r="AN10" i="418" s="1"/>
  <c r="W10" i="418"/>
  <c r="T15" i="418"/>
  <c r="U15" i="418" s="1"/>
  <c r="AX9" i="418"/>
  <c r="BE9" i="418" s="1"/>
  <c r="BH9" i="418" s="1"/>
  <c r="AP9" i="418"/>
  <c r="AX12" i="418"/>
  <c r="BE12" i="418" s="1"/>
  <c r="AP12" i="418"/>
  <c r="M6" i="418"/>
  <c r="T6" i="418" s="1"/>
  <c r="P18" i="418"/>
  <c r="AP8" i="418"/>
  <c r="AX8" i="418"/>
  <c r="BE8" i="418" s="1"/>
  <c r="W14" i="418"/>
  <c r="AK14" i="418"/>
  <c r="AN14" i="418" s="1"/>
  <c r="AX13" i="418"/>
  <c r="BE13" i="418" s="1"/>
  <c r="BH13" i="418" s="1"/>
  <c r="AP13" i="418"/>
  <c r="AP11" i="418"/>
  <c r="AX11" i="418"/>
  <c r="BE11" i="418" s="1"/>
  <c r="AK17" i="418"/>
  <c r="AN17" i="418" s="1"/>
  <c r="W17" i="418"/>
  <c r="W86" i="417"/>
  <c r="AK86" i="417"/>
  <c r="AN86" i="417" s="1"/>
  <c r="T7" i="417"/>
  <c r="U7" i="417" s="1"/>
  <c r="AX66" i="417"/>
  <c r="AP66" i="417"/>
  <c r="AX27" i="417"/>
  <c r="AP27" i="417"/>
  <c r="AK62" i="417"/>
  <c r="AN62" i="417" s="1"/>
  <c r="W62" i="417"/>
  <c r="AK95" i="417"/>
  <c r="AN95" i="417" s="1"/>
  <c r="AX88" i="417"/>
  <c r="AP88" i="417"/>
  <c r="AX31" i="417"/>
  <c r="AP31" i="417"/>
  <c r="AK74" i="417"/>
  <c r="AN74" i="417" s="1"/>
  <c r="W74" i="417"/>
  <c r="AP32" i="417"/>
  <c r="AX32" i="417"/>
  <c r="T73" i="417"/>
  <c r="U73" i="417" s="1"/>
  <c r="AX107" i="417"/>
  <c r="AP107" i="417"/>
  <c r="AX20" i="417"/>
  <c r="AP20" i="417"/>
  <c r="T106" i="417"/>
  <c r="U106" i="417" s="1"/>
  <c r="AK76" i="417"/>
  <c r="AN76" i="417" s="1"/>
  <c r="W76" i="417"/>
  <c r="T111" i="417"/>
  <c r="U111" i="417" s="1"/>
  <c r="AX9" i="417"/>
  <c r="AP9" i="417"/>
  <c r="AX19" i="417"/>
  <c r="AP19" i="417"/>
  <c r="AP21" i="417"/>
  <c r="AX21" i="417"/>
  <c r="AX38" i="417"/>
  <c r="AP38" i="417"/>
  <c r="AX42" i="417"/>
  <c r="AP42" i="417"/>
  <c r="W54" i="417"/>
  <c r="AK54" i="417"/>
  <c r="AN54" i="417" s="1"/>
  <c r="AP85" i="417"/>
  <c r="AX85" i="417"/>
  <c r="AK103" i="417"/>
  <c r="AN103" i="417" s="1"/>
  <c r="W103" i="417"/>
  <c r="T37" i="417"/>
  <c r="U37" i="417" s="1"/>
  <c r="AK57" i="417"/>
  <c r="AN57" i="417" s="1"/>
  <c r="AX70" i="417"/>
  <c r="AP70" i="417"/>
  <c r="AX82" i="417"/>
  <c r="AP82" i="417"/>
  <c r="AX94" i="417"/>
  <c r="AP94" i="417"/>
  <c r="T97" i="417"/>
  <c r="U97" i="417" s="1"/>
  <c r="AK56" i="417"/>
  <c r="AN56" i="417" s="1"/>
  <c r="W56" i="417"/>
  <c r="AX46" i="417"/>
  <c r="AP46" i="417"/>
  <c r="AX15" i="417"/>
  <c r="AP15" i="417"/>
  <c r="AX89" i="417"/>
  <c r="AP89" i="417"/>
  <c r="AX113" i="417"/>
  <c r="AP113" i="417"/>
  <c r="AX8" i="417"/>
  <c r="AP8" i="417"/>
  <c r="W110" i="417"/>
  <c r="AK110" i="417"/>
  <c r="AN110" i="417" s="1"/>
  <c r="T14" i="417"/>
  <c r="U14" i="417" s="1"/>
  <c r="AX60" i="417"/>
  <c r="AP60" i="417"/>
  <c r="AK24" i="417"/>
  <c r="AN24" i="417" s="1"/>
  <c r="W24" i="417"/>
  <c r="AK48" i="417"/>
  <c r="AN48" i="417" s="1"/>
  <c r="W48" i="417"/>
  <c r="AX109" i="417"/>
  <c r="AP109" i="417"/>
  <c r="AX59" i="417"/>
  <c r="AP59" i="417"/>
  <c r="AP49" i="417"/>
  <c r="AX49" i="417"/>
  <c r="T99" i="417"/>
  <c r="U99" i="417" s="1"/>
  <c r="AK108" i="417"/>
  <c r="AN108" i="417" s="1"/>
  <c r="W108" i="417"/>
  <c r="AX43" i="417"/>
  <c r="AP43" i="417"/>
  <c r="AK79" i="417"/>
  <c r="AN79" i="417" s="1"/>
  <c r="W79" i="417"/>
  <c r="AK22" i="417"/>
  <c r="AN22" i="417" s="1"/>
  <c r="W22" i="417"/>
  <c r="AP81" i="417"/>
  <c r="AX81" i="417"/>
  <c r="AX77" i="417"/>
  <c r="AP77" i="417"/>
  <c r="AX87" i="417"/>
  <c r="AP87" i="417"/>
  <c r="W93" i="417"/>
  <c r="AK93" i="417"/>
  <c r="AN93" i="417" s="1"/>
  <c r="P116" i="417"/>
  <c r="M6" i="417"/>
  <c r="T6" i="417" s="1"/>
  <c r="AK105" i="417"/>
  <c r="AN105" i="417" s="1"/>
  <c r="W105" i="417"/>
  <c r="AP13" i="417"/>
  <c r="AX13" i="417"/>
  <c r="T71" i="417"/>
  <c r="U71" i="417" s="1"/>
  <c r="AX28" i="417"/>
  <c r="AP28" i="417"/>
  <c r="AX51" i="417"/>
  <c r="AP51" i="417"/>
  <c r="AX102" i="417"/>
  <c r="AP102" i="417"/>
  <c r="AP52" i="417"/>
  <c r="L118" i="417"/>
  <c r="W90" i="417"/>
  <c r="AK90" i="417"/>
  <c r="AN90" i="417" s="1"/>
  <c r="AX34" i="417"/>
  <c r="AP34" i="417"/>
  <c r="AX12" i="417"/>
  <c r="AP12" i="417"/>
  <c r="AX16" i="417"/>
  <c r="AP16" i="417"/>
  <c r="AX41" i="417"/>
  <c r="AP41" i="417"/>
  <c r="AX115" i="417"/>
  <c r="AP115" i="417"/>
  <c r="AK25" i="417"/>
  <c r="AN25" i="417" s="1"/>
  <c r="W25" i="417"/>
  <c r="W98" i="417"/>
  <c r="AK98" i="417"/>
  <c r="AN98" i="417" s="1"/>
  <c r="W101" i="417"/>
  <c r="AK101" i="417"/>
  <c r="AN101" i="417" s="1"/>
  <c r="AK10" i="417"/>
  <c r="AN10" i="417" s="1"/>
  <c r="AP10" i="417" s="1"/>
  <c r="W10" i="417"/>
  <c r="AK65" i="417"/>
  <c r="AN65" i="417" s="1"/>
  <c r="W65" i="417"/>
  <c r="AP17" i="417"/>
  <c r="AX17" i="417"/>
  <c r="AK58" i="417"/>
  <c r="AN58" i="417" s="1"/>
  <c r="W58" i="417"/>
  <c r="AK63" i="417"/>
  <c r="AN63" i="417" s="1"/>
  <c r="W63" i="417"/>
  <c r="AK68" i="417"/>
  <c r="AN68" i="417" s="1"/>
  <c r="W68" i="417"/>
  <c r="W92" i="417"/>
  <c r="AK23" i="417"/>
  <c r="AN23" i="417" s="1"/>
  <c r="W23" i="417"/>
  <c r="T72" i="417"/>
  <c r="U72" i="417" s="1"/>
  <c r="AK30" i="417"/>
  <c r="AN30" i="417" s="1"/>
  <c r="W30" i="417"/>
  <c r="AX100" i="417"/>
  <c r="AP100" i="417"/>
  <c r="AK83" i="417"/>
  <c r="AN83" i="417" s="1"/>
  <c r="W83" i="417"/>
  <c r="AK45" i="417"/>
  <c r="AN45" i="417" s="1"/>
  <c r="W45" i="417"/>
  <c r="T104" i="417"/>
  <c r="U104" i="417" s="1"/>
  <c r="T69" i="417"/>
  <c r="U69" i="417" s="1"/>
  <c r="AX80" i="417"/>
  <c r="AP80" i="417"/>
  <c r="AX36" i="417"/>
  <c r="AP36" i="417"/>
  <c r="AX11" i="417"/>
  <c r="AP11" i="417"/>
  <c r="AX29" i="417"/>
  <c r="AP29" i="417"/>
  <c r="AP84" i="417"/>
  <c r="AX84" i="417"/>
  <c r="AK64" i="417"/>
  <c r="AN64" i="417" s="1"/>
  <c r="W64" i="417"/>
  <c r="AK18" i="417"/>
  <c r="AN18" i="417" s="1"/>
  <c r="W18" i="417"/>
  <c r="AK55" i="417"/>
  <c r="AN55" i="417" s="1"/>
  <c r="W55" i="417"/>
  <c r="AX35" i="417"/>
  <c r="AP35" i="417"/>
  <c r="T67" i="417"/>
  <c r="U67" i="417" s="1"/>
  <c r="T39" i="417"/>
  <c r="U39" i="417" s="1"/>
  <c r="AK40" i="417"/>
  <c r="AN40" i="417" s="1"/>
  <c r="W40" i="417"/>
  <c r="AX47" i="417"/>
  <c r="AP47" i="417"/>
  <c r="AX78" i="417"/>
  <c r="AP78" i="417"/>
  <c r="AX124" i="416"/>
  <c r="AO124" i="416"/>
  <c r="AK71" i="416"/>
  <c r="AN71" i="416" s="1"/>
  <c r="V71" i="416"/>
  <c r="AK127" i="416"/>
  <c r="AN127" i="416" s="1"/>
  <c r="V127" i="416"/>
  <c r="T122" i="416"/>
  <c r="U122" i="416" s="1"/>
  <c r="T111" i="416"/>
  <c r="U111" i="416" s="1"/>
  <c r="AX34" i="416"/>
  <c r="AO34" i="416"/>
  <c r="U121" i="416"/>
  <c r="V53" i="416"/>
  <c r="AK53" i="416"/>
  <c r="AN53" i="416" s="1"/>
  <c r="AK90" i="416"/>
  <c r="AN90" i="416" s="1"/>
  <c r="V90" i="416"/>
  <c r="T84" i="416"/>
  <c r="U84" i="416" s="1"/>
  <c r="AK18" i="416"/>
  <c r="AN18" i="416" s="1"/>
  <c r="V18" i="416"/>
  <c r="T44" i="416"/>
  <c r="U44" i="416" s="1"/>
  <c r="AK64" i="416"/>
  <c r="AN64" i="416" s="1"/>
  <c r="V64" i="416"/>
  <c r="AK129" i="416"/>
  <c r="AN129" i="416" s="1"/>
  <c r="V129" i="416"/>
  <c r="T37" i="416"/>
  <c r="U37" i="416" s="1"/>
  <c r="AK62" i="416"/>
  <c r="AN62" i="416" s="1"/>
  <c r="V62" i="416"/>
  <c r="AK110" i="416"/>
  <c r="AN110" i="416" s="1"/>
  <c r="V110" i="416"/>
  <c r="AX39" i="416"/>
  <c r="AO39" i="416"/>
  <c r="AX52" i="416"/>
  <c r="AO52" i="416"/>
  <c r="AX25" i="416"/>
  <c r="AO25" i="416"/>
  <c r="V24" i="416"/>
  <c r="AK24" i="416"/>
  <c r="AN24" i="416" s="1"/>
  <c r="AK98" i="416"/>
  <c r="AN98" i="416" s="1"/>
  <c r="V98" i="416"/>
  <c r="AX40" i="416"/>
  <c r="AO40" i="416"/>
  <c r="AK109" i="416"/>
  <c r="AN109" i="416" s="1"/>
  <c r="V109" i="416"/>
  <c r="T14" i="416"/>
  <c r="U14" i="416" s="1"/>
  <c r="M133" i="416"/>
  <c r="O121" i="416"/>
  <c r="O133" i="416" s="1"/>
  <c r="T11" i="416"/>
  <c r="U11" i="416" s="1"/>
  <c r="T13" i="416"/>
  <c r="U13" i="416" s="1"/>
  <c r="T68" i="416"/>
  <c r="U68" i="416" s="1"/>
  <c r="T128" i="416"/>
  <c r="U128" i="416" s="1"/>
  <c r="AX94" i="416"/>
  <c r="AO94" i="416"/>
  <c r="AX19" i="416"/>
  <c r="AO19" i="416"/>
  <c r="AK42" i="416"/>
  <c r="AN42" i="416" s="1"/>
  <c r="V42" i="416"/>
  <c r="AX8" i="416"/>
  <c r="AO8" i="416"/>
  <c r="T15" i="416"/>
  <c r="U15" i="416" s="1"/>
  <c r="AX63" i="416"/>
  <c r="AO63" i="416"/>
  <c r="T74" i="416"/>
  <c r="U74" i="416" s="1"/>
  <c r="AX9" i="416"/>
  <c r="AO9" i="416"/>
  <c r="AX82" i="416"/>
  <c r="AO82" i="416"/>
  <c r="AX87" i="416"/>
  <c r="AO87" i="416"/>
  <c r="AX97" i="416"/>
  <c r="AO97" i="416"/>
  <c r="AX77" i="416"/>
  <c r="AO77" i="416"/>
  <c r="O6" i="416"/>
  <c r="V22" i="416"/>
  <c r="AK22" i="416"/>
  <c r="AN22" i="416" s="1"/>
  <c r="AK57" i="416"/>
  <c r="AN57" i="416" s="1"/>
  <c r="V57" i="416"/>
  <c r="V113" i="416"/>
  <c r="AK113" i="416"/>
  <c r="AN113" i="416" s="1"/>
  <c r="AX132" i="416"/>
  <c r="AO132" i="416"/>
  <c r="AK83" i="416"/>
  <c r="AN83" i="416" s="1"/>
  <c r="V83" i="416"/>
  <c r="AX101" i="416"/>
  <c r="AO101" i="416"/>
  <c r="V17" i="416"/>
  <c r="AK17" i="416"/>
  <c r="AN17" i="416" s="1"/>
  <c r="P134" i="416"/>
  <c r="AX85" i="416"/>
  <c r="AO85" i="416"/>
  <c r="AX35" i="416"/>
  <c r="AO35" i="416"/>
  <c r="AK80" i="416"/>
  <c r="AN80" i="416" s="1"/>
  <c r="V80" i="416"/>
  <c r="AX91" i="416"/>
  <c r="AO91" i="416"/>
  <c r="AX32" i="416"/>
  <c r="AO32" i="416"/>
  <c r="AX60" i="416"/>
  <c r="AO60" i="416"/>
  <c r="V78" i="416"/>
  <c r="AK78" i="416"/>
  <c r="AN78" i="416" s="1"/>
  <c r="AX49" i="416"/>
  <c r="AO49" i="416"/>
  <c r="V108" i="416"/>
  <c r="AX89" i="416"/>
  <c r="AO89" i="416"/>
  <c r="V130" i="416"/>
  <c r="AK130" i="416"/>
  <c r="AN130" i="416" s="1"/>
  <c r="A122" i="416"/>
  <c r="A123" i="416" s="1"/>
  <c r="A124" i="416" s="1"/>
  <c r="A125" i="416" s="1"/>
  <c r="A126" i="416" s="1"/>
  <c r="A127" i="416" s="1"/>
  <c r="A128" i="416" s="1"/>
  <c r="A129" i="416" s="1"/>
  <c r="A130" i="416" s="1"/>
  <c r="A131" i="416" s="1"/>
  <c r="A132" i="416" s="1"/>
  <c r="A134" i="416" s="1"/>
  <c r="AX47" i="416"/>
  <c r="AO47" i="416"/>
  <c r="T48" i="416"/>
  <c r="U48" i="416" s="1"/>
  <c r="AK51" i="416"/>
  <c r="AN51" i="416" s="1"/>
  <c r="V51" i="416"/>
  <c r="AX36" i="416"/>
  <c r="AO36" i="416"/>
  <c r="AX27" i="416"/>
  <c r="AO27" i="416"/>
  <c r="AX50" i="416"/>
  <c r="AO50" i="416"/>
  <c r="M7" i="416"/>
  <c r="O7" i="416" s="1"/>
  <c r="AX112" i="416"/>
  <c r="AO112" i="416"/>
  <c r="T20" i="416"/>
  <c r="U20" i="416" s="1"/>
  <c r="T10" i="416"/>
  <c r="U10" i="416" s="1"/>
  <c r="AK105" i="416"/>
  <c r="AN105" i="416" s="1"/>
  <c r="V105" i="416"/>
  <c r="AX70" i="416"/>
  <c r="AO70" i="416"/>
  <c r="T67" i="416"/>
  <c r="U67" i="416" s="1"/>
  <c r="AX23" i="416"/>
  <c r="AO23" i="416"/>
  <c r="AX66" i="416"/>
  <c r="AO66" i="416"/>
  <c r="AX56" i="416"/>
  <c r="AO56" i="416"/>
  <c r="AX29" i="416"/>
  <c r="AO29" i="416"/>
  <c r="AX104" i="416"/>
  <c r="AO104" i="416"/>
  <c r="AX88" i="416"/>
  <c r="AO88" i="416"/>
  <c r="AX123" i="416"/>
  <c r="AO123" i="416"/>
  <c r="V38" i="416"/>
  <c r="AK38" i="416"/>
  <c r="AN38" i="416" s="1"/>
  <c r="AX16" i="416"/>
  <c r="AO16" i="416"/>
  <c r="AK99" i="416"/>
  <c r="AN99" i="416" s="1"/>
  <c r="V99" i="416"/>
  <c r="AX69" i="416"/>
  <c r="AO69" i="416"/>
  <c r="V54" i="416"/>
  <c r="AK54" i="416"/>
  <c r="AN54" i="416" s="1"/>
  <c r="AK131" i="416"/>
  <c r="AN131" i="416" s="1"/>
  <c r="V131" i="416"/>
  <c r="AO21" i="416"/>
  <c r="AX21" i="416"/>
  <c r="AX30" i="416"/>
  <c r="AO30" i="416"/>
  <c r="AO93" i="416"/>
  <c r="AX93" i="416"/>
  <c r="AX126" i="416"/>
  <c r="AO126" i="416"/>
  <c r="AX45" i="416"/>
  <c r="AO45" i="416"/>
  <c r="AK86" i="416"/>
  <c r="AN86" i="416" s="1"/>
  <c r="V86" i="416"/>
  <c r="AO92" i="416"/>
  <c r="AX92" i="416"/>
  <c r="AK33" i="416"/>
  <c r="AN33" i="416" s="1"/>
  <c r="V33" i="416"/>
  <c r="AX55" i="416"/>
  <c r="AO55" i="416"/>
  <c r="V106" i="416"/>
  <c r="AK106" i="416"/>
  <c r="AN106" i="416" s="1"/>
  <c r="AX43" i="416"/>
  <c r="AO43" i="416"/>
  <c r="T6" i="416"/>
  <c r="AX79" i="416"/>
  <c r="AO79" i="416"/>
  <c r="T72" i="416"/>
  <c r="U72" i="416" s="1"/>
  <c r="AX59" i="416"/>
  <c r="AO59" i="416"/>
  <c r="T102" i="416"/>
  <c r="U102" i="416" s="1"/>
  <c r="T96" i="416"/>
  <c r="U96" i="416" s="1"/>
  <c r="T100" i="416"/>
  <c r="U100" i="416" s="1"/>
  <c r="T31" i="416"/>
  <c r="U31" i="416" s="1"/>
  <c r="AK103" i="416"/>
  <c r="AN103" i="416" s="1"/>
  <c r="V103" i="416"/>
  <c r="T28" i="416"/>
  <c r="U28" i="416" s="1"/>
  <c r="AX81" i="416"/>
  <c r="AO81" i="416"/>
  <c r="AX75" i="416"/>
  <c r="AO75" i="416"/>
  <c r="V28" i="415"/>
  <c r="AK28" i="415"/>
  <c r="AN28" i="415" s="1"/>
  <c r="P66" i="415"/>
  <c r="M6" i="415"/>
  <c r="AO54" i="415"/>
  <c r="AX37" i="415"/>
  <c r="AO37" i="415"/>
  <c r="T19" i="415"/>
  <c r="U19" i="415" s="1"/>
  <c r="AK14" i="415"/>
  <c r="AN14" i="415" s="1"/>
  <c r="V14" i="415"/>
  <c r="T41" i="415"/>
  <c r="U41" i="415" s="1"/>
  <c r="T61" i="415"/>
  <c r="U61" i="415" s="1"/>
  <c r="AX7" i="415"/>
  <c r="AO7" i="415"/>
  <c r="AX50" i="415"/>
  <c r="AO50" i="415"/>
  <c r="AK47" i="415"/>
  <c r="AN47" i="415" s="1"/>
  <c r="AK44" i="415"/>
  <c r="AN44" i="415" s="1"/>
  <c r="V44" i="415"/>
  <c r="AX27" i="415"/>
  <c r="AO27" i="415"/>
  <c r="AX43" i="415"/>
  <c r="AO43" i="415"/>
  <c r="AO22" i="415"/>
  <c r="AX22" i="415"/>
  <c r="AX57" i="415"/>
  <c r="AO57" i="415"/>
  <c r="V53" i="415"/>
  <c r="AX25" i="415"/>
  <c r="AO25" i="415"/>
  <c r="AX62" i="415"/>
  <c r="AO62" i="415"/>
  <c r="V49" i="415"/>
  <c r="AK49" i="415"/>
  <c r="AN49" i="415" s="1"/>
  <c r="AX64" i="415"/>
  <c r="AO64" i="415"/>
  <c r="AK52" i="415"/>
  <c r="AN52" i="415" s="1"/>
  <c r="V52" i="415"/>
  <c r="V46" i="415"/>
  <c r="AK46" i="415"/>
  <c r="AN46" i="415" s="1"/>
  <c r="T29" i="415"/>
  <c r="U29" i="415" s="1"/>
  <c r="T42" i="415"/>
  <c r="U42" i="415" s="1"/>
  <c r="T21" i="415"/>
  <c r="U21" i="415" s="1"/>
  <c r="T38" i="415"/>
  <c r="U38" i="415" s="1"/>
  <c r="T10" i="415"/>
  <c r="U10" i="415" s="1"/>
  <c r="V35" i="415"/>
  <c r="AK35" i="415"/>
  <c r="AN35" i="415" s="1"/>
  <c r="AK16" i="415"/>
  <c r="AN16" i="415" s="1"/>
  <c r="V16" i="415"/>
  <c r="AK23" i="415"/>
  <c r="AN23" i="415" s="1"/>
  <c r="V23" i="415"/>
  <c r="AX32" i="415"/>
  <c r="AO32" i="415"/>
  <c r="AX40" i="415"/>
  <c r="AO40" i="415"/>
  <c r="T59" i="415"/>
  <c r="U59" i="415" s="1"/>
  <c r="T17" i="415"/>
  <c r="U17" i="415" s="1"/>
  <c r="T58" i="415"/>
  <c r="U58" i="415" s="1"/>
  <c r="T60" i="415"/>
  <c r="U60" i="415" s="1"/>
  <c r="T9" i="415"/>
  <c r="U9" i="415" s="1"/>
  <c r="T39" i="415"/>
  <c r="U39" i="415" s="1"/>
  <c r="AX18" i="415"/>
  <c r="AO18" i="415"/>
  <c r="V48" i="415"/>
  <c r="AK31" i="415"/>
  <c r="AN31" i="415" s="1"/>
  <c r="V31" i="415"/>
  <c r="AX65" i="415"/>
  <c r="AO65" i="415"/>
  <c r="AX63" i="415"/>
  <c r="AO63" i="415"/>
  <c r="V33" i="415"/>
  <c r="AK33" i="415"/>
  <c r="AN33" i="415" s="1"/>
  <c r="V30" i="415"/>
  <c r="AK30" i="415"/>
  <c r="AN30" i="415" s="1"/>
  <c r="AK26" i="415"/>
  <c r="AN26" i="415" s="1"/>
  <c r="V26" i="415"/>
  <c r="AX24" i="415"/>
  <c r="AO24" i="415"/>
  <c r="T12" i="415"/>
  <c r="U12" i="415" s="1"/>
  <c r="V15" i="415"/>
  <c r="AK15" i="415"/>
  <c r="AN15" i="415" s="1"/>
  <c r="T45" i="415"/>
  <c r="U45" i="415" s="1"/>
  <c r="T36" i="415"/>
  <c r="U36" i="415" s="1"/>
  <c r="AO11" i="415"/>
  <c r="AX11" i="415"/>
  <c r="AX34" i="415"/>
  <c r="AO34" i="415"/>
  <c r="M8" i="415"/>
  <c r="O8" i="415" s="1"/>
  <c r="P12" i="414"/>
  <c r="M7" i="414"/>
  <c r="T7" i="414" s="1"/>
  <c r="U7" i="414" s="1"/>
  <c r="V7" i="414" s="1"/>
  <c r="P13" i="414"/>
  <c r="P10" i="414"/>
  <c r="M9" i="414"/>
  <c r="O9" i="414" s="1"/>
  <c r="M6" i="414"/>
  <c r="O6" i="414" s="1"/>
  <c r="M11" i="414"/>
  <c r="O11" i="414" s="1"/>
  <c r="P8" i="414"/>
  <c r="L15" i="12"/>
  <c r="F9" i="414"/>
  <c r="L5" i="414"/>
  <c r="L15" i="414" s="1"/>
  <c r="Z15" i="12"/>
  <c r="L136" i="416" l="1"/>
  <c r="AX114" i="417"/>
  <c r="V20" i="415"/>
  <c r="AO65" i="416"/>
  <c r="AK12" i="416"/>
  <c r="AN12" i="416" s="1"/>
  <c r="BF96" i="417"/>
  <c r="AK11" i="422"/>
  <c r="AN11" i="422" s="1"/>
  <c r="V13" i="415"/>
  <c r="V41" i="416"/>
  <c r="AP50" i="417"/>
  <c r="M16" i="426"/>
  <c r="AK7" i="425"/>
  <c r="AN7" i="425" s="1"/>
  <c r="AK12" i="423"/>
  <c r="AN12" i="423" s="1"/>
  <c r="BG14" i="421"/>
  <c r="BF14" i="421"/>
  <c r="BG13" i="421"/>
  <c r="BF13" i="421"/>
  <c r="W7" i="420"/>
  <c r="BH14" i="419"/>
  <c r="BF14" i="419"/>
  <c r="T19" i="419"/>
  <c r="D18" i="419"/>
  <c r="D19" i="419" s="1"/>
  <c r="BH11" i="418"/>
  <c r="BF11" i="418"/>
  <c r="BF13" i="418"/>
  <c r="BH16" i="418"/>
  <c r="BF16" i="418"/>
  <c r="BH12" i="418"/>
  <c r="BF12" i="418"/>
  <c r="BF9" i="418"/>
  <c r="BH8" i="418"/>
  <c r="BF8" i="418"/>
  <c r="W95" i="417"/>
  <c r="BH75" i="417"/>
  <c r="BF75" i="417"/>
  <c r="BH26" i="417"/>
  <c r="BF26" i="417"/>
  <c r="W44" i="417"/>
  <c r="W57" i="417"/>
  <c r="AK91" i="417"/>
  <c r="AN91" i="417" s="1"/>
  <c r="AX91" i="417" s="1"/>
  <c r="BH61" i="417"/>
  <c r="BF61" i="417"/>
  <c r="BH33" i="417"/>
  <c r="BF33" i="417"/>
  <c r="BG95" i="416"/>
  <c r="BF95" i="416"/>
  <c r="BG73" i="416"/>
  <c r="BF73" i="416"/>
  <c r="BG107" i="416"/>
  <c r="BF107" i="416"/>
  <c r="AK125" i="416"/>
  <c r="AN125" i="416" s="1"/>
  <c r="BG46" i="416"/>
  <c r="BF46" i="416"/>
  <c r="BG114" i="416"/>
  <c r="BF114" i="416"/>
  <c r="AK61" i="416"/>
  <c r="AN61" i="416" s="1"/>
  <c r="AX61" i="416" s="1"/>
  <c r="AK108" i="416"/>
  <c r="AN108" i="416" s="1"/>
  <c r="BG26" i="416"/>
  <c r="BF26" i="416"/>
  <c r="BG76" i="416"/>
  <c r="BF76" i="416"/>
  <c r="BG117" i="416"/>
  <c r="BF117" i="416"/>
  <c r="AK48" i="415"/>
  <c r="AN48" i="415" s="1"/>
  <c r="AX48" i="415" s="1"/>
  <c r="L68" i="415"/>
  <c r="V55" i="415"/>
  <c r="AK56" i="415"/>
  <c r="AN56" i="415" s="1"/>
  <c r="V47" i="415"/>
  <c r="AK53" i="415"/>
  <c r="AN53" i="415" s="1"/>
  <c r="K16" i="426"/>
  <c r="T17" i="425"/>
  <c r="AO8" i="423"/>
  <c r="AX8" i="423"/>
  <c r="AY10" i="423"/>
  <c r="BE10" i="423"/>
  <c r="AO14" i="423"/>
  <c r="AX14" i="423"/>
  <c r="AO11" i="423"/>
  <c r="AX11" i="423"/>
  <c r="AY17" i="423"/>
  <c r="BE17" i="423"/>
  <c r="AO12" i="423"/>
  <c r="AX12" i="423"/>
  <c r="AO15" i="423"/>
  <c r="AX15" i="423"/>
  <c r="AY9" i="423"/>
  <c r="BE9" i="423"/>
  <c r="AY20" i="423"/>
  <c r="BE20" i="423"/>
  <c r="P18" i="421"/>
  <c r="N13" i="426"/>
  <c r="AZ13" i="419"/>
  <c r="BE13" i="419"/>
  <c r="AZ15" i="419"/>
  <c r="BE15" i="419"/>
  <c r="AZ8" i="419"/>
  <c r="BE8" i="419"/>
  <c r="AZ16" i="419"/>
  <c r="BE16" i="419"/>
  <c r="AZ11" i="419"/>
  <c r="BE11" i="419"/>
  <c r="AZ12" i="419"/>
  <c r="BE12" i="419"/>
  <c r="AZ10" i="419"/>
  <c r="BE10" i="419"/>
  <c r="AZ7" i="419"/>
  <c r="BE7" i="419"/>
  <c r="AZ9" i="419"/>
  <c r="BE9" i="419"/>
  <c r="L20" i="418"/>
  <c r="AZ78" i="417"/>
  <c r="BE78" i="417"/>
  <c r="AZ35" i="417"/>
  <c r="BE35" i="417"/>
  <c r="AZ80" i="417"/>
  <c r="BE80" i="417"/>
  <c r="AZ100" i="417"/>
  <c r="BE100" i="417"/>
  <c r="AZ52" i="417"/>
  <c r="BE52" i="417"/>
  <c r="AZ13" i="417"/>
  <c r="BE13" i="417"/>
  <c r="AZ15" i="417"/>
  <c r="BE15" i="417"/>
  <c r="AZ85" i="417"/>
  <c r="BE85" i="417"/>
  <c r="AZ21" i="417"/>
  <c r="BE21" i="417"/>
  <c r="AZ50" i="417"/>
  <c r="BE50" i="417"/>
  <c r="AZ12" i="417"/>
  <c r="BE12" i="417"/>
  <c r="AZ114" i="417"/>
  <c r="BE114" i="417"/>
  <c r="AZ82" i="417"/>
  <c r="BE82" i="417"/>
  <c r="AZ47" i="417"/>
  <c r="BE47" i="417"/>
  <c r="AZ29" i="417"/>
  <c r="BE29" i="417"/>
  <c r="AZ102" i="417"/>
  <c r="BE102" i="417"/>
  <c r="AZ87" i="417"/>
  <c r="BE87" i="417"/>
  <c r="AZ49" i="417"/>
  <c r="BE49" i="417"/>
  <c r="AZ8" i="417"/>
  <c r="BE8" i="417"/>
  <c r="AZ46" i="417"/>
  <c r="BE46" i="417"/>
  <c r="AZ115" i="417"/>
  <c r="BE115" i="417"/>
  <c r="AZ34" i="417"/>
  <c r="BE34" i="417"/>
  <c r="AZ70" i="417"/>
  <c r="BE70" i="417"/>
  <c r="AZ19" i="417"/>
  <c r="BE19" i="417"/>
  <c r="AZ20" i="417"/>
  <c r="BE20" i="417"/>
  <c r="AZ11" i="417"/>
  <c r="BE11" i="417"/>
  <c r="AZ51" i="417"/>
  <c r="BE51" i="417"/>
  <c r="AZ77" i="417"/>
  <c r="BE77" i="417"/>
  <c r="AZ113" i="417"/>
  <c r="BE113" i="417"/>
  <c r="AZ31" i="417"/>
  <c r="BE31" i="417"/>
  <c r="AZ27" i="417"/>
  <c r="BE27" i="417"/>
  <c r="AP112" i="417"/>
  <c r="AX112" i="417"/>
  <c r="AZ41" i="417"/>
  <c r="BE41" i="417"/>
  <c r="AZ81" i="417"/>
  <c r="BE81" i="417"/>
  <c r="AZ59" i="417"/>
  <c r="BE59" i="417"/>
  <c r="AZ60" i="417"/>
  <c r="BE60" i="417"/>
  <c r="AZ42" i="417"/>
  <c r="BE42" i="417"/>
  <c r="AZ9" i="417"/>
  <c r="BE9" i="417"/>
  <c r="AZ107" i="417"/>
  <c r="BE107" i="417"/>
  <c r="AZ36" i="417"/>
  <c r="BE36" i="417"/>
  <c r="AZ17" i="417"/>
  <c r="BE17" i="417"/>
  <c r="AZ28" i="417"/>
  <c r="BE28" i="417"/>
  <c r="P118" i="417"/>
  <c r="N9" i="426"/>
  <c r="AZ43" i="417"/>
  <c r="BE43" i="417"/>
  <c r="AZ89" i="417"/>
  <c r="BE89" i="417"/>
  <c r="AZ88" i="417"/>
  <c r="BE88" i="417"/>
  <c r="AZ66" i="417"/>
  <c r="BE66" i="417"/>
  <c r="AZ84" i="417"/>
  <c r="BE84" i="417"/>
  <c r="AZ16" i="417"/>
  <c r="BE16" i="417"/>
  <c r="AZ109" i="417"/>
  <c r="BE109" i="417"/>
  <c r="AZ94" i="417"/>
  <c r="BE94" i="417"/>
  <c r="AZ38" i="417"/>
  <c r="BE38" i="417"/>
  <c r="AZ32" i="417"/>
  <c r="BE32" i="417"/>
  <c r="I17" i="426"/>
  <c r="AY92" i="416"/>
  <c r="BE92" i="416"/>
  <c r="AY91" i="416"/>
  <c r="BE91" i="416"/>
  <c r="AY40" i="416"/>
  <c r="BE40" i="416"/>
  <c r="AY52" i="416"/>
  <c r="BE52" i="416"/>
  <c r="AY43" i="416"/>
  <c r="BE43" i="416"/>
  <c r="AY126" i="416"/>
  <c r="BE126" i="416"/>
  <c r="AY16" i="416"/>
  <c r="BE16" i="416"/>
  <c r="AY104" i="416"/>
  <c r="BE104" i="416"/>
  <c r="AY23" i="416"/>
  <c r="BE23" i="416"/>
  <c r="AY77" i="416"/>
  <c r="BE77" i="416"/>
  <c r="AY9" i="416"/>
  <c r="BE9" i="416"/>
  <c r="AY65" i="416"/>
  <c r="BE65" i="416"/>
  <c r="AY112" i="416"/>
  <c r="BE112" i="416"/>
  <c r="AY39" i="416"/>
  <c r="BE39" i="416"/>
  <c r="AY59" i="416"/>
  <c r="BE59" i="416"/>
  <c r="AY29" i="416"/>
  <c r="BE29" i="416"/>
  <c r="AY89" i="416"/>
  <c r="BE89" i="416"/>
  <c r="AY101" i="416"/>
  <c r="BE101" i="416"/>
  <c r="AY97" i="416"/>
  <c r="BE97" i="416"/>
  <c r="AY19" i="416"/>
  <c r="BE19" i="416"/>
  <c r="AY70" i="416"/>
  <c r="BE70" i="416"/>
  <c r="AY60" i="416"/>
  <c r="BE60" i="416"/>
  <c r="AY35" i="416"/>
  <c r="BE35" i="416"/>
  <c r="AY63" i="416"/>
  <c r="BE63" i="416"/>
  <c r="AY55" i="416"/>
  <c r="BE55" i="416"/>
  <c r="AY30" i="416"/>
  <c r="BE30" i="416"/>
  <c r="AY69" i="416"/>
  <c r="BE69" i="416"/>
  <c r="AY123" i="416"/>
  <c r="BE123" i="416"/>
  <c r="AY56" i="416"/>
  <c r="BE56" i="416"/>
  <c r="AY50" i="416"/>
  <c r="BE50" i="416"/>
  <c r="AY87" i="416"/>
  <c r="BE87" i="416"/>
  <c r="AY94" i="416"/>
  <c r="BE94" i="416"/>
  <c r="AY79" i="416"/>
  <c r="BE79" i="416"/>
  <c r="AY21" i="416"/>
  <c r="BE21" i="416"/>
  <c r="AY47" i="416"/>
  <c r="BE47" i="416"/>
  <c r="AY32" i="416"/>
  <c r="BE32" i="416"/>
  <c r="AY85" i="416"/>
  <c r="BE85" i="416"/>
  <c r="AY25" i="416"/>
  <c r="BE25" i="416"/>
  <c r="AY34" i="416"/>
  <c r="BE34" i="416"/>
  <c r="AY124" i="416"/>
  <c r="BE124" i="416"/>
  <c r="AY75" i="416"/>
  <c r="BE75" i="416"/>
  <c r="AY45" i="416"/>
  <c r="BE45" i="416"/>
  <c r="AY88" i="416"/>
  <c r="BE88" i="416"/>
  <c r="AY66" i="416"/>
  <c r="BE66" i="416"/>
  <c r="AY27" i="416"/>
  <c r="BE27" i="416"/>
  <c r="P136" i="416"/>
  <c r="N8" i="426"/>
  <c r="AY82" i="416"/>
  <c r="BE82" i="416"/>
  <c r="AY8" i="416"/>
  <c r="BE8" i="416"/>
  <c r="AY25" i="415"/>
  <c r="BE25" i="415"/>
  <c r="P68" i="415"/>
  <c r="N7" i="426"/>
  <c r="V56" i="415"/>
  <c r="AY50" i="415"/>
  <c r="BE50" i="415"/>
  <c r="AY34" i="415"/>
  <c r="BE34" i="415"/>
  <c r="AY64" i="415"/>
  <c r="BE64" i="415"/>
  <c r="AY43" i="415"/>
  <c r="BE43" i="415"/>
  <c r="AY24" i="415"/>
  <c r="BE24" i="415"/>
  <c r="AY7" i="415"/>
  <c r="BE7" i="415"/>
  <c r="AY63" i="415"/>
  <c r="BE63" i="415"/>
  <c r="AY37" i="415"/>
  <c r="BE37" i="415"/>
  <c r="AY27" i="415"/>
  <c r="BE27" i="415"/>
  <c r="AY32" i="415"/>
  <c r="BE32" i="415"/>
  <c r="AY22" i="415"/>
  <c r="BE22" i="415"/>
  <c r="AY65" i="415"/>
  <c r="BE65" i="415"/>
  <c r="AY11" i="415"/>
  <c r="BE11" i="415"/>
  <c r="AY18" i="415"/>
  <c r="BE18" i="415"/>
  <c r="AY40" i="415"/>
  <c r="BE40" i="415"/>
  <c r="AY54" i="415"/>
  <c r="BE54" i="415"/>
  <c r="AY62" i="415"/>
  <c r="BE62" i="415"/>
  <c r="AY57" i="415"/>
  <c r="BE57" i="415"/>
  <c r="F15" i="12"/>
  <c r="L16" i="414"/>
  <c r="P16" i="414" s="1"/>
  <c r="B15" i="12"/>
  <c r="F16" i="414"/>
  <c r="O7" i="414"/>
  <c r="Q15" i="12"/>
  <c r="D15" i="12"/>
  <c r="T11" i="414"/>
  <c r="U11" i="414" s="1"/>
  <c r="V11" i="414" s="1"/>
  <c r="AY93" i="416"/>
  <c r="BE93" i="416"/>
  <c r="AY81" i="416"/>
  <c r="BE81" i="416"/>
  <c r="AY49" i="416"/>
  <c r="BE49" i="416"/>
  <c r="AY36" i="416"/>
  <c r="BE36" i="416"/>
  <c r="BF36" i="416" s="1"/>
  <c r="T9" i="414"/>
  <c r="U9" i="414" s="1"/>
  <c r="V9" i="414" s="1"/>
  <c r="AY132" i="416"/>
  <c r="BE132" i="416"/>
  <c r="BF132" i="416" s="1"/>
  <c r="BE15" i="425"/>
  <c r="AY15" i="425"/>
  <c r="AO7" i="425"/>
  <c r="AX7" i="425"/>
  <c r="AO12" i="425"/>
  <c r="AX12" i="425"/>
  <c r="BE13" i="425"/>
  <c r="AY13" i="425"/>
  <c r="BE16" i="425"/>
  <c r="AY16" i="425"/>
  <c r="BE14" i="425"/>
  <c r="AY14" i="425"/>
  <c r="BE11" i="425"/>
  <c r="AY11" i="425"/>
  <c r="BE9" i="425"/>
  <c r="AY9" i="425"/>
  <c r="V12" i="423"/>
  <c r="AZ10" i="422"/>
  <c r="BE10" i="422"/>
  <c r="AZ9" i="422"/>
  <c r="BE9" i="422"/>
  <c r="AZ14" i="422"/>
  <c r="BE14" i="422"/>
  <c r="AZ17" i="422"/>
  <c r="BE17" i="422"/>
  <c r="AZ19" i="422"/>
  <c r="BE19" i="422"/>
  <c r="AY15" i="421"/>
  <c r="BE15" i="421"/>
  <c r="AY9" i="421"/>
  <c r="BE9" i="421"/>
  <c r="AY12" i="421"/>
  <c r="BE12" i="421"/>
  <c r="AZ8" i="420"/>
  <c r="BE8" i="420"/>
  <c r="P20" i="418"/>
  <c r="N10" i="426"/>
  <c r="AK17" i="419"/>
  <c r="AI11" i="426" s="1"/>
  <c r="W91" i="417"/>
  <c r="AK44" i="417"/>
  <c r="AN44" i="417" s="1"/>
  <c r="AP53" i="417"/>
  <c r="AX53" i="417"/>
  <c r="AO58" i="416"/>
  <c r="AX58" i="416"/>
  <c r="V125" i="416"/>
  <c r="A133" i="416"/>
  <c r="V61" i="416"/>
  <c r="AK55" i="415"/>
  <c r="AN55" i="415" s="1"/>
  <c r="AX55" i="415" s="1"/>
  <c r="AX51" i="415"/>
  <c r="AO51" i="415"/>
  <c r="V8" i="425"/>
  <c r="AK8" i="425"/>
  <c r="AN8" i="425" s="1"/>
  <c r="AK10" i="425"/>
  <c r="AN10" i="425" s="1"/>
  <c r="V10" i="425"/>
  <c r="V6" i="425"/>
  <c r="AK6" i="425"/>
  <c r="U17" i="425"/>
  <c r="V9" i="424"/>
  <c r="AK9" i="424"/>
  <c r="AN9" i="424" s="1"/>
  <c r="AK12" i="424"/>
  <c r="AN12" i="424" s="1"/>
  <c r="V12" i="424"/>
  <c r="T14" i="424"/>
  <c r="U6" i="424"/>
  <c r="BF6" i="424" s="1"/>
  <c r="BF14" i="424" s="1"/>
  <c r="D15" i="424"/>
  <c r="D16" i="424" s="1"/>
  <c r="T15" i="424"/>
  <c r="AK13" i="424"/>
  <c r="AN13" i="424" s="1"/>
  <c r="V13" i="424"/>
  <c r="AW11" i="424"/>
  <c r="AP11" i="424"/>
  <c r="AK19" i="423"/>
  <c r="AN19" i="423" s="1"/>
  <c r="V19" i="423"/>
  <c r="AK18" i="423"/>
  <c r="AN18" i="423" s="1"/>
  <c r="V18" i="423"/>
  <c r="T22" i="423"/>
  <c r="U22" i="423" s="1"/>
  <c r="D22" i="423"/>
  <c r="D23" i="423" s="1"/>
  <c r="V16" i="423"/>
  <c r="AK16" i="423"/>
  <c r="AN16" i="423" s="1"/>
  <c r="AK13" i="423"/>
  <c r="AN13" i="423" s="1"/>
  <c r="V13" i="423"/>
  <c r="U6" i="423"/>
  <c r="T21" i="423"/>
  <c r="R15" i="426" s="1"/>
  <c r="AK7" i="423"/>
  <c r="AN7" i="423" s="1"/>
  <c r="V7" i="423"/>
  <c r="W12" i="422"/>
  <c r="AK12" i="422"/>
  <c r="AN12" i="422" s="1"/>
  <c r="AK7" i="422"/>
  <c r="AN7" i="422" s="1"/>
  <c r="W7" i="422"/>
  <c r="AK13" i="422"/>
  <c r="AN13" i="422" s="1"/>
  <c r="V13" i="422"/>
  <c r="V20" i="422" s="1"/>
  <c r="T14" i="426" s="1"/>
  <c r="AK15" i="422"/>
  <c r="AN15" i="422" s="1"/>
  <c r="W15" i="422"/>
  <c r="W16" i="422"/>
  <c r="AK16" i="422"/>
  <c r="AN16" i="422" s="1"/>
  <c r="W18" i="422"/>
  <c r="AK18" i="422"/>
  <c r="AN18" i="422" s="1"/>
  <c r="AX11" i="422"/>
  <c r="AP11" i="422"/>
  <c r="W6" i="422"/>
  <c r="AK6" i="422"/>
  <c r="U20" i="422"/>
  <c r="S14" i="426" s="1"/>
  <c r="T21" i="422"/>
  <c r="U21" i="422" s="1"/>
  <c r="D21" i="422"/>
  <c r="D22" i="422" s="1"/>
  <c r="T20" i="422"/>
  <c r="R14" i="426" s="1"/>
  <c r="AK8" i="422"/>
  <c r="AN8" i="422" s="1"/>
  <c r="W8" i="422"/>
  <c r="M16" i="421"/>
  <c r="K13" i="426" s="1"/>
  <c r="O6" i="421"/>
  <c r="O16" i="421" s="1"/>
  <c r="M13" i="426" s="1"/>
  <c r="T6" i="421"/>
  <c r="AK7" i="421"/>
  <c r="AN7" i="421" s="1"/>
  <c r="V7" i="421"/>
  <c r="AX8" i="421"/>
  <c r="AO8" i="421"/>
  <c r="AX11" i="421"/>
  <c r="AO11" i="421"/>
  <c r="AX10" i="421"/>
  <c r="AO10" i="421"/>
  <c r="T9" i="420"/>
  <c r="R12" i="426" s="1"/>
  <c r="U6" i="420"/>
  <c r="M9" i="420"/>
  <c r="K12" i="426" s="1"/>
  <c r="O6" i="420"/>
  <c r="O9" i="420" s="1"/>
  <c r="M12" i="426" s="1"/>
  <c r="AX7" i="420"/>
  <c r="AP7" i="420"/>
  <c r="AN17" i="419"/>
  <c r="AL11" i="426" s="1"/>
  <c r="AX6" i="419"/>
  <c r="BE6" i="419" s="1"/>
  <c r="BF6" i="419" s="1"/>
  <c r="AP6" i="419"/>
  <c r="AP17" i="419" s="1"/>
  <c r="AN11" i="426" s="1"/>
  <c r="T18" i="418"/>
  <c r="R10" i="426" s="1"/>
  <c r="U6" i="418"/>
  <c r="AX17" i="418"/>
  <c r="BE17" i="418" s="1"/>
  <c r="AP17" i="418"/>
  <c r="AX7" i="418"/>
  <c r="BE7" i="418" s="1"/>
  <c r="AP7" i="418"/>
  <c r="AK15" i="418"/>
  <c r="AN15" i="418" s="1"/>
  <c r="W15" i="418"/>
  <c r="M18" i="418"/>
  <c r="K10" i="426" s="1"/>
  <c r="O6" i="418"/>
  <c r="O18" i="418" s="1"/>
  <c r="M10" i="426" s="1"/>
  <c r="AX10" i="418"/>
  <c r="BE10" i="418" s="1"/>
  <c r="AP10" i="418"/>
  <c r="AX14" i="418"/>
  <c r="BE14" i="418" s="1"/>
  <c r="AP14" i="418"/>
  <c r="AK69" i="417"/>
  <c r="AN69" i="417" s="1"/>
  <c r="W69" i="417"/>
  <c r="AP55" i="417"/>
  <c r="AX55" i="417"/>
  <c r="W104" i="417"/>
  <c r="AK104" i="417"/>
  <c r="AN104" i="417" s="1"/>
  <c r="AX30" i="417"/>
  <c r="AP30" i="417"/>
  <c r="AX110" i="417"/>
  <c r="AP110" i="417"/>
  <c r="AX108" i="417"/>
  <c r="AP108" i="417"/>
  <c r="AX103" i="417"/>
  <c r="AP103" i="417"/>
  <c r="W72" i="417"/>
  <c r="AK72" i="417"/>
  <c r="AN72" i="417" s="1"/>
  <c r="AX63" i="417"/>
  <c r="AP63" i="417"/>
  <c r="AX40" i="417"/>
  <c r="AP40" i="417"/>
  <c r="AP18" i="417"/>
  <c r="AX18" i="417"/>
  <c r="AX45" i="417"/>
  <c r="AP45" i="417"/>
  <c r="AP101" i="417"/>
  <c r="AX101" i="417"/>
  <c r="AX90" i="417"/>
  <c r="AP90" i="417"/>
  <c r="AX105" i="417"/>
  <c r="AP105" i="417"/>
  <c r="AK99" i="417"/>
  <c r="AN99" i="417" s="1"/>
  <c r="W99" i="417"/>
  <c r="AP48" i="417"/>
  <c r="AX48" i="417"/>
  <c r="AX44" i="417"/>
  <c r="AP44" i="417"/>
  <c r="AK111" i="417"/>
  <c r="AN111" i="417" s="1"/>
  <c r="W111" i="417"/>
  <c r="AK73" i="417"/>
  <c r="AN73" i="417" s="1"/>
  <c r="W73" i="417"/>
  <c r="AK39" i="417"/>
  <c r="AN39" i="417" s="1"/>
  <c r="W39" i="417"/>
  <c r="AX23" i="417"/>
  <c r="AP23" i="417"/>
  <c r="AX58" i="417"/>
  <c r="AP58" i="417"/>
  <c r="T116" i="417"/>
  <c r="R9" i="426" s="1"/>
  <c r="U6" i="417"/>
  <c r="AK67" i="417"/>
  <c r="AN67" i="417" s="1"/>
  <c r="W67" i="417"/>
  <c r="AX64" i="417"/>
  <c r="AP64" i="417"/>
  <c r="AX83" i="417"/>
  <c r="AP83" i="417"/>
  <c r="AP92" i="417"/>
  <c r="AX92" i="417"/>
  <c r="AX98" i="417"/>
  <c r="AP98" i="417"/>
  <c r="M116" i="417"/>
  <c r="K9" i="426" s="1"/>
  <c r="O6" i="417"/>
  <c r="O116" i="417" s="1"/>
  <c r="M9" i="426" s="1"/>
  <c r="AP24" i="417"/>
  <c r="AX24" i="417"/>
  <c r="AP76" i="417"/>
  <c r="AX76" i="417"/>
  <c r="AX95" i="417"/>
  <c r="AP95" i="417"/>
  <c r="AP56" i="417"/>
  <c r="AX56" i="417"/>
  <c r="AX57" i="417"/>
  <c r="AP57" i="417"/>
  <c r="AK106" i="417"/>
  <c r="AN106" i="417" s="1"/>
  <c r="W106" i="417"/>
  <c r="AK7" i="417"/>
  <c r="AN7" i="417" s="1"/>
  <c r="W7" i="417"/>
  <c r="AX79" i="417"/>
  <c r="AP79" i="417"/>
  <c r="AK71" i="417"/>
  <c r="AN71" i="417" s="1"/>
  <c r="W71" i="417"/>
  <c r="AX93" i="417"/>
  <c r="AP93" i="417"/>
  <c r="W97" i="417"/>
  <c r="AK97" i="417"/>
  <c r="AN97" i="417" s="1"/>
  <c r="AX54" i="417"/>
  <c r="AP54" i="417"/>
  <c r="AP74" i="417"/>
  <c r="AX74" i="417"/>
  <c r="AX62" i="417"/>
  <c r="AP62" i="417"/>
  <c r="AX86" i="417"/>
  <c r="AP86" i="417"/>
  <c r="AX68" i="417"/>
  <c r="AP68" i="417"/>
  <c r="AX65" i="417"/>
  <c r="AP65" i="417"/>
  <c r="AP25" i="417"/>
  <c r="AX25" i="417"/>
  <c r="AX22" i="417"/>
  <c r="AP22" i="417"/>
  <c r="W14" i="417"/>
  <c r="AK14" i="417"/>
  <c r="AN14" i="417" s="1"/>
  <c r="W37" i="417"/>
  <c r="AK37" i="417"/>
  <c r="AN37" i="417" s="1"/>
  <c r="AX106" i="416"/>
  <c r="AO106" i="416"/>
  <c r="AX42" i="416"/>
  <c r="AO42" i="416"/>
  <c r="AX90" i="416"/>
  <c r="AO90" i="416"/>
  <c r="V72" i="416"/>
  <c r="AK72" i="416"/>
  <c r="AN72" i="416" s="1"/>
  <c r="AX54" i="416"/>
  <c r="AO54" i="416"/>
  <c r="AX38" i="416"/>
  <c r="AO38" i="416"/>
  <c r="AK67" i="416"/>
  <c r="AN67" i="416" s="1"/>
  <c r="V67" i="416"/>
  <c r="AX130" i="416"/>
  <c r="AO130" i="416"/>
  <c r="AX78" i="416"/>
  <c r="AO78" i="416"/>
  <c r="AX83" i="416"/>
  <c r="AO83" i="416"/>
  <c r="AO57" i="416"/>
  <c r="AX57" i="416"/>
  <c r="AO24" i="416"/>
  <c r="AX24" i="416"/>
  <c r="AO64" i="416"/>
  <c r="AX64" i="416"/>
  <c r="AX127" i="416"/>
  <c r="AO127" i="416"/>
  <c r="AK20" i="416"/>
  <c r="AN20" i="416" s="1"/>
  <c r="V20" i="416"/>
  <c r="AX129" i="416"/>
  <c r="AO129" i="416"/>
  <c r="AX103" i="416"/>
  <c r="AO103" i="416"/>
  <c r="AO22" i="416"/>
  <c r="AX22" i="416"/>
  <c r="AK14" i="416"/>
  <c r="AN14" i="416" s="1"/>
  <c r="V14" i="416"/>
  <c r="AX110" i="416"/>
  <c r="AO110" i="416"/>
  <c r="AK44" i="416"/>
  <c r="AN44" i="416" s="1"/>
  <c r="V44" i="416"/>
  <c r="T133" i="416"/>
  <c r="AK11" i="416"/>
  <c r="AN11" i="416" s="1"/>
  <c r="V11" i="416"/>
  <c r="V28" i="416"/>
  <c r="AK28" i="416"/>
  <c r="AN28" i="416" s="1"/>
  <c r="AX41" i="416"/>
  <c r="AO41" i="416"/>
  <c r="V31" i="416"/>
  <c r="AK31" i="416"/>
  <c r="AN31" i="416" s="1"/>
  <c r="T7" i="416"/>
  <c r="U7" i="416" s="1"/>
  <c r="AX51" i="416"/>
  <c r="AO51" i="416"/>
  <c r="AX12" i="416"/>
  <c r="AO12" i="416"/>
  <c r="V15" i="416"/>
  <c r="AK15" i="416"/>
  <c r="AN15" i="416" s="1"/>
  <c r="V121" i="416"/>
  <c r="U133" i="416"/>
  <c r="AK121" i="416"/>
  <c r="AX71" i="416"/>
  <c r="AO71" i="416"/>
  <c r="U6" i="416"/>
  <c r="AO17" i="416"/>
  <c r="AX17" i="416"/>
  <c r="O118" i="416"/>
  <c r="O134" i="416" s="1"/>
  <c r="M8" i="426" s="1"/>
  <c r="AK128" i="416"/>
  <c r="AN128" i="416" s="1"/>
  <c r="V128" i="416"/>
  <c r="AX109" i="416"/>
  <c r="AO109" i="416"/>
  <c r="AO62" i="416"/>
  <c r="AX62" i="416"/>
  <c r="AO18" i="416"/>
  <c r="AX18" i="416"/>
  <c r="AK122" i="416"/>
  <c r="AN122" i="416" s="1"/>
  <c r="V122" i="416"/>
  <c r="AX86" i="416"/>
  <c r="AO86" i="416"/>
  <c r="AK74" i="416"/>
  <c r="AN74" i="416" s="1"/>
  <c r="V74" i="416"/>
  <c r="AX53" i="416"/>
  <c r="AO53" i="416"/>
  <c r="AX33" i="416"/>
  <c r="AO33" i="416"/>
  <c r="AX105" i="416"/>
  <c r="AO105" i="416"/>
  <c r="M118" i="416"/>
  <c r="M134" i="416" s="1"/>
  <c r="K8" i="426" s="1"/>
  <c r="V68" i="416"/>
  <c r="AK68" i="416"/>
  <c r="AN68" i="416" s="1"/>
  <c r="AK37" i="416"/>
  <c r="AN37" i="416" s="1"/>
  <c r="V37" i="416"/>
  <c r="AK84" i="416"/>
  <c r="AN84" i="416" s="1"/>
  <c r="V84" i="416"/>
  <c r="AX131" i="416"/>
  <c r="AO131" i="416"/>
  <c r="AX98" i="416"/>
  <c r="AO98" i="416"/>
  <c r="AK100" i="416"/>
  <c r="AN100" i="416" s="1"/>
  <c r="V100" i="416"/>
  <c r="AK48" i="416"/>
  <c r="AN48" i="416" s="1"/>
  <c r="V48" i="416"/>
  <c r="V96" i="416"/>
  <c r="AK96" i="416"/>
  <c r="AN96" i="416" s="1"/>
  <c r="AK102" i="416"/>
  <c r="AN102" i="416" s="1"/>
  <c r="V102" i="416"/>
  <c r="AX125" i="416"/>
  <c r="AO125" i="416"/>
  <c r="AX99" i="416"/>
  <c r="AO99" i="416"/>
  <c r="AK10" i="416"/>
  <c r="AN10" i="416" s="1"/>
  <c r="V10" i="416"/>
  <c r="AX108" i="416"/>
  <c r="AO108" i="416"/>
  <c r="AX80" i="416"/>
  <c r="AO80" i="416"/>
  <c r="AX113" i="416"/>
  <c r="AO113" i="416"/>
  <c r="AK13" i="416"/>
  <c r="AN13" i="416" s="1"/>
  <c r="V13" i="416"/>
  <c r="AK111" i="416"/>
  <c r="AN111" i="416" s="1"/>
  <c r="V111" i="416"/>
  <c r="AX56" i="415"/>
  <c r="AO56" i="415"/>
  <c r="AK36" i="415"/>
  <c r="AN36" i="415" s="1"/>
  <c r="V36" i="415"/>
  <c r="AX13" i="415"/>
  <c r="AO13" i="415"/>
  <c r="AK19" i="415"/>
  <c r="AN19" i="415" s="1"/>
  <c r="V19" i="415"/>
  <c r="AK45" i="415"/>
  <c r="AN45" i="415" s="1"/>
  <c r="V45" i="415"/>
  <c r="AX30" i="415"/>
  <c r="AO30" i="415"/>
  <c r="AK39" i="415"/>
  <c r="AN39" i="415" s="1"/>
  <c r="V39" i="415"/>
  <c r="AX35" i="415"/>
  <c r="AO35" i="415"/>
  <c r="T8" i="415"/>
  <c r="U8" i="415" s="1"/>
  <c r="AX15" i="415"/>
  <c r="AO15" i="415"/>
  <c r="AO31" i="415"/>
  <c r="AX31" i="415"/>
  <c r="AK9" i="415"/>
  <c r="AN9" i="415" s="1"/>
  <c r="V9" i="415"/>
  <c r="AK61" i="415"/>
  <c r="AN61" i="415" s="1"/>
  <c r="V61" i="415"/>
  <c r="AX44" i="415"/>
  <c r="AO44" i="415"/>
  <c r="AX33" i="415"/>
  <c r="AO33" i="415"/>
  <c r="V10" i="415"/>
  <c r="AK10" i="415"/>
  <c r="AN10" i="415" s="1"/>
  <c r="AK12" i="415"/>
  <c r="AN12" i="415" s="1"/>
  <c r="V12" i="415"/>
  <c r="AO23" i="415"/>
  <c r="AX23" i="415"/>
  <c r="AK58" i="415"/>
  <c r="AN58" i="415" s="1"/>
  <c r="V58" i="415"/>
  <c r="AX52" i="415"/>
  <c r="AO52" i="415"/>
  <c r="AX47" i="415"/>
  <c r="AO47" i="415"/>
  <c r="AK41" i="415"/>
  <c r="AN41" i="415" s="1"/>
  <c r="V41" i="415"/>
  <c r="M66" i="415"/>
  <c r="K7" i="426" s="1"/>
  <c r="O6" i="415"/>
  <c r="O66" i="415" s="1"/>
  <c r="M7" i="426" s="1"/>
  <c r="V60" i="415"/>
  <c r="AK60" i="415"/>
  <c r="AN60" i="415" s="1"/>
  <c r="AO48" i="415"/>
  <c r="V38" i="415"/>
  <c r="AK38" i="415"/>
  <c r="AN38" i="415" s="1"/>
  <c r="V17" i="415"/>
  <c r="AK17" i="415"/>
  <c r="AN17" i="415" s="1"/>
  <c r="V21" i="415"/>
  <c r="AK21" i="415"/>
  <c r="AN21" i="415" s="1"/>
  <c r="AO20" i="415"/>
  <c r="AX20" i="415"/>
  <c r="AK59" i="415"/>
  <c r="AN59" i="415" s="1"/>
  <c r="V59" i="415"/>
  <c r="AO16" i="415"/>
  <c r="AX16" i="415"/>
  <c r="AK42" i="415"/>
  <c r="AN42" i="415" s="1"/>
  <c r="V42" i="415"/>
  <c r="T6" i="415"/>
  <c r="AK29" i="415"/>
  <c r="AN29" i="415" s="1"/>
  <c r="V29" i="415"/>
  <c r="AX14" i="415"/>
  <c r="AO14" i="415"/>
  <c r="AX49" i="415"/>
  <c r="AO49" i="415"/>
  <c r="AX28" i="415"/>
  <c r="AO28" i="415"/>
  <c r="AX26" i="415"/>
  <c r="AO26" i="415"/>
  <c r="AX46" i="415"/>
  <c r="AO46" i="415"/>
  <c r="AO53" i="415"/>
  <c r="AX53" i="415"/>
  <c r="M10" i="414"/>
  <c r="O10" i="414" s="1"/>
  <c r="P5" i="414"/>
  <c r="P15" i="414" s="1"/>
  <c r="A107" i="414"/>
  <c r="A110" i="414" s="1"/>
  <c r="M13" i="414"/>
  <c r="O13" i="414" s="1"/>
  <c r="M8" i="414"/>
  <c r="O8" i="414" s="1"/>
  <c r="T6" i="414"/>
  <c r="U6" i="414" s="1"/>
  <c r="V6" i="414" s="1"/>
  <c r="M12" i="414"/>
  <c r="O12" i="414" s="1"/>
  <c r="AO61" i="416" l="1"/>
  <c r="AP91" i="417"/>
  <c r="BG16" i="425"/>
  <c r="BF16" i="425"/>
  <c r="BG9" i="425"/>
  <c r="BF9" i="425"/>
  <c r="BG13" i="425"/>
  <c r="BF13" i="425"/>
  <c r="BG11" i="425"/>
  <c r="BF11" i="425"/>
  <c r="BG15" i="425"/>
  <c r="BF15" i="425"/>
  <c r="BG14" i="425"/>
  <c r="BF14" i="425"/>
  <c r="BG10" i="423"/>
  <c r="BF10" i="423"/>
  <c r="BG20" i="423"/>
  <c r="BF20" i="423"/>
  <c r="BG17" i="423"/>
  <c r="BF17" i="423"/>
  <c r="BG9" i="423"/>
  <c r="BF9" i="423"/>
  <c r="BH14" i="422"/>
  <c r="BF14" i="422"/>
  <c r="BH9" i="422"/>
  <c r="BF9" i="422"/>
  <c r="BH19" i="422"/>
  <c r="BF19" i="422"/>
  <c r="BH10" i="422"/>
  <c r="BF10" i="422"/>
  <c r="BH17" i="422"/>
  <c r="BF17" i="422"/>
  <c r="BG15" i="421"/>
  <c r="BF15" i="421"/>
  <c r="BG12" i="421"/>
  <c r="BF12" i="421"/>
  <c r="BG9" i="421"/>
  <c r="BF9" i="421"/>
  <c r="BH8" i="420"/>
  <c r="BF8" i="420"/>
  <c r="BH10" i="419"/>
  <c r="BF10" i="419"/>
  <c r="BH8" i="419"/>
  <c r="BF8" i="419"/>
  <c r="BH12" i="419"/>
  <c r="BF12" i="419"/>
  <c r="BH15" i="419"/>
  <c r="BF15" i="419"/>
  <c r="BH9" i="419"/>
  <c r="BF9" i="419"/>
  <c r="BH11" i="419"/>
  <c r="BF11" i="419"/>
  <c r="BH13" i="419"/>
  <c r="BF13" i="419"/>
  <c r="BH7" i="419"/>
  <c r="BF7" i="419"/>
  <c r="BF17" i="419" s="1"/>
  <c r="BD11" i="426" s="1"/>
  <c r="BH16" i="419"/>
  <c r="BF16" i="419"/>
  <c r="BH10" i="418"/>
  <c r="BF10" i="418"/>
  <c r="BH17" i="418"/>
  <c r="BF17" i="418"/>
  <c r="BH14" i="418"/>
  <c r="BF14" i="418"/>
  <c r="BH7" i="418"/>
  <c r="BF7" i="418"/>
  <c r="BH109" i="417"/>
  <c r="BF109" i="417"/>
  <c r="BH88" i="417"/>
  <c r="BF88" i="417"/>
  <c r="BH28" i="417"/>
  <c r="BF28" i="417"/>
  <c r="BH9" i="417"/>
  <c r="BF9" i="417"/>
  <c r="BH81" i="417"/>
  <c r="BF81" i="417"/>
  <c r="BH31" i="417"/>
  <c r="BF31" i="417"/>
  <c r="BH11" i="417"/>
  <c r="BF11" i="417"/>
  <c r="BH34" i="417"/>
  <c r="BF34" i="417"/>
  <c r="BH49" i="417"/>
  <c r="BF49" i="417"/>
  <c r="BH47" i="417"/>
  <c r="BF47" i="417"/>
  <c r="BH50" i="417"/>
  <c r="BF50" i="417"/>
  <c r="BH13" i="417"/>
  <c r="BF13" i="417"/>
  <c r="BH35" i="417"/>
  <c r="BF35" i="417"/>
  <c r="BH32" i="417"/>
  <c r="BF32" i="417"/>
  <c r="BH16" i="417"/>
  <c r="BF16" i="417"/>
  <c r="BH89" i="417"/>
  <c r="BF89" i="417"/>
  <c r="BH17" i="417"/>
  <c r="BF17" i="417"/>
  <c r="BH42" i="417"/>
  <c r="BF42" i="417"/>
  <c r="BH41" i="417"/>
  <c r="BF41" i="417"/>
  <c r="BH113" i="417"/>
  <c r="BF113" i="417"/>
  <c r="BH20" i="417"/>
  <c r="BF20" i="417"/>
  <c r="BH115" i="417"/>
  <c r="BF115" i="417"/>
  <c r="BH87" i="417"/>
  <c r="BF87" i="417"/>
  <c r="BH82" i="417"/>
  <c r="BF82" i="417"/>
  <c r="BH21" i="417"/>
  <c r="BF21" i="417"/>
  <c r="BH52" i="417"/>
  <c r="BF52" i="417"/>
  <c r="BH78" i="417"/>
  <c r="BF78" i="417"/>
  <c r="BH38" i="417"/>
  <c r="BF38" i="417"/>
  <c r="BH84" i="417"/>
  <c r="BF84" i="417"/>
  <c r="BH43" i="417"/>
  <c r="BF43" i="417"/>
  <c r="BH36" i="417"/>
  <c r="BF36" i="417"/>
  <c r="BH60" i="417"/>
  <c r="BF60" i="417"/>
  <c r="BH77" i="417"/>
  <c r="BF77" i="417"/>
  <c r="BH19" i="417"/>
  <c r="BF19" i="417"/>
  <c r="BH46" i="417"/>
  <c r="BF46" i="417"/>
  <c r="BH102" i="417"/>
  <c r="BF102" i="417"/>
  <c r="BH114" i="417"/>
  <c r="BF114" i="417"/>
  <c r="BH85" i="417"/>
  <c r="BF85" i="417"/>
  <c r="BH100" i="417"/>
  <c r="BF100" i="417"/>
  <c r="BH94" i="417"/>
  <c r="BF94" i="417"/>
  <c r="BH66" i="417"/>
  <c r="BF66" i="417"/>
  <c r="BH107" i="417"/>
  <c r="BF107" i="417"/>
  <c r="BH59" i="417"/>
  <c r="BF59" i="417"/>
  <c r="BH27" i="417"/>
  <c r="BF27" i="417"/>
  <c r="BH51" i="417"/>
  <c r="BF51" i="417"/>
  <c r="BH70" i="417"/>
  <c r="BF70" i="417"/>
  <c r="BH8" i="417"/>
  <c r="BF8" i="417"/>
  <c r="BH29" i="417"/>
  <c r="BF29" i="417"/>
  <c r="BH12" i="417"/>
  <c r="BF12" i="417"/>
  <c r="BH15" i="417"/>
  <c r="BF15" i="417"/>
  <c r="BH80" i="417"/>
  <c r="BF80" i="417"/>
  <c r="BG27" i="416"/>
  <c r="BF27" i="416"/>
  <c r="BG75" i="416"/>
  <c r="BF75" i="416"/>
  <c r="BG85" i="416"/>
  <c r="BF85" i="416"/>
  <c r="BG79" i="416"/>
  <c r="BF79" i="416"/>
  <c r="BG56" i="416"/>
  <c r="BF56" i="416"/>
  <c r="BG55" i="416"/>
  <c r="BF55" i="416"/>
  <c r="BG70" i="416"/>
  <c r="BF70" i="416"/>
  <c r="BG89" i="416"/>
  <c r="BF89" i="416"/>
  <c r="BG112" i="416"/>
  <c r="BF112" i="416"/>
  <c r="BG23" i="416"/>
  <c r="BF23" i="416"/>
  <c r="BG43" i="416"/>
  <c r="BF43" i="416"/>
  <c r="BG92" i="416"/>
  <c r="BF92" i="416"/>
  <c r="BG8" i="416"/>
  <c r="BF8" i="416"/>
  <c r="BG66" i="416"/>
  <c r="BF66" i="416"/>
  <c r="BG124" i="416"/>
  <c r="BF124" i="416"/>
  <c r="BG32" i="416"/>
  <c r="BF32" i="416"/>
  <c r="BG94" i="416"/>
  <c r="BF94" i="416"/>
  <c r="BG123" i="416"/>
  <c r="BF123" i="416"/>
  <c r="BG63" i="416"/>
  <c r="BF63" i="416"/>
  <c r="BG19" i="416"/>
  <c r="BF19" i="416"/>
  <c r="BG29" i="416"/>
  <c r="BF29" i="416"/>
  <c r="BG65" i="416"/>
  <c r="BF65" i="416"/>
  <c r="BG104" i="416"/>
  <c r="BF104" i="416"/>
  <c r="BG52" i="416"/>
  <c r="BF52" i="416"/>
  <c r="BG49" i="416"/>
  <c r="BF49" i="416"/>
  <c r="BG82" i="416"/>
  <c r="BF82" i="416"/>
  <c r="BG88" i="416"/>
  <c r="BF88" i="416"/>
  <c r="BG34" i="416"/>
  <c r="BF34" i="416"/>
  <c r="BG47" i="416"/>
  <c r="BF47" i="416"/>
  <c r="BG87" i="416"/>
  <c r="BF87" i="416"/>
  <c r="BG69" i="416"/>
  <c r="BF69" i="416"/>
  <c r="BG35" i="416"/>
  <c r="BF35" i="416"/>
  <c r="BG97" i="416"/>
  <c r="BF97" i="416"/>
  <c r="BG59" i="416"/>
  <c r="BF59" i="416"/>
  <c r="BG9" i="416"/>
  <c r="BF9" i="416"/>
  <c r="BG16" i="416"/>
  <c r="BF16" i="416"/>
  <c r="BG40" i="416"/>
  <c r="BF40" i="416"/>
  <c r="BG81" i="416"/>
  <c r="BF81" i="416"/>
  <c r="BG45" i="416"/>
  <c r="BF45" i="416"/>
  <c r="BG25" i="416"/>
  <c r="BF25" i="416"/>
  <c r="BG21" i="416"/>
  <c r="BF21" i="416"/>
  <c r="BG50" i="416"/>
  <c r="BF50" i="416"/>
  <c r="BG30" i="416"/>
  <c r="BF30" i="416"/>
  <c r="BG60" i="416"/>
  <c r="BF60" i="416"/>
  <c r="BG101" i="416"/>
  <c r="BF101" i="416"/>
  <c r="BG39" i="416"/>
  <c r="BF39" i="416"/>
  <c r="BG77" i="416"/>
  <c r="BF77" i="416"/>
  <c r="BG126" i="416"/>
  <c r="BF126" i="416"/>
  <c r="BG91" i="416"/>
  <c r="BF91" i="416"/>
  <c r="BG93" i="416"/>
  <c r="BF93" i="416"/>
  <c r="BG11" i="415"/>
  <c r="BF11" i="415"/>
  <c r="BG24" i="415"/>
  <c r="BF24" i="415"/>
  <c r="BG62" i="415"/>
  <c r="BF62" i="415"/>
  <c r="BG27" i="415"/>
  <c r="BF27" i="415"/>
  <c r="BG50" i="415"/>
  <c r="BF50" i="415"/>
  <c r="BG54" i="415"/>
  <c r="BF54" i="415"/>
  <c r="BG65" i="415"/>
  <c r="BF65" i="415"/>
  <c r="BG37" i="415"/>
  <c r="BF37" i="415"/>
  <c r="BG43" i="415"/>
  <c r="BF43" i="415"/>
  <c r="BG40" i="415"/>
  <c r="BF40" i="415"/>
  <c r="BG22" i="415"/>
  <c r="BF22" i="415"/>
  <c r="BG63" i="415"/>
  <c r="BF63" i="415"/>
  <c r="BG64" i="415"/>
  <c r="BF64" i="415"/>
  <c r="BG25" i="415"/>
  <c r="BF25" i="415"/>
  <c r="BG57" i="415"/>
  <c r="BF57" i="415"/>
  <c r="BG18" i="415"/>
  <c r="BF18" i="415"/>
  <c r="BG32" i="415"/>
  <c r="BF32" i="415"/>
  <c r="BG7" i="415"/>
  <c r="BF7" i="415"/>
  <c r="BG34" i="415"/>
  <c r="BF34" i="415"/>
  <c r="U15" i="424"/>
  <c r="R16" i="426"/>
  <c r="AO7" i="423"/>
  <c r="AX7" i="423"/>
  <c r="AY11" i="423"/>
  <c r="BE11" i="423"/>
  <c r="AO18" i="423"/>
  <c r="AX18" i="423"/>
  <c r="AY15" i="423"/>
  <c r="BE15" i="423"/>
  <c r="AY14" i="423"/>
  <c r="BE14" i="423"/>
  <c r="AO13" i="423"/>
  <c r="AX13" i="423"/>
  <c r="AO19" i="423"/>
  <c r="AX19" i="423"/>
  <c r="AY12" i="423"/>
  <c r="BE12" i="423"/>
  <c r="AO16" i="423"/>
  <c r="AX16" i="423"/>
  <c r="AY8" i="423"/>
  <c r="BE8" i="423"/>
  <c r="BE17" i="419"/>
  <c r="BC11" i="426" s="1"/>
  <c r="BH6" i="419"/>
  <c r="BH17" i="419" s="1"/>
  <c r="BF11" i="426" s="1"/>
  <c r="AZ112" i="417"/>
  <c r="BE112" i="417"/>
  <c r="AZ68" i="417"/>
  <c r="BE68" i="417"/>
  <c r="AZ54" i="417"/>
  <c r="BE54" i="417"/>
  <c r="AZ79" i="417"/>
  <c r="BE79" i="417"/>
  <c r="AZ64" i="417"/>
  <c r="BE64" i="417"/>
  <c r="AZ23" i="417"/>
  <c r="BE23" i="417"/>
  <c r="AZ44" i="417"/>
  <c r="BE44" i="417"/>
  <c r="AZ90" i="417"/>
  <c r="BE90" i="417"/>
  <c r="AZ40" i="417"/>
  <c r="BE40" i="417"/>
  <c r="AZ103" i="417"/>
  <c r="BE103" i="417"/>
  <c r="AZ48" i="417"/>
  <c r="BE48" i="417"/>
  <c r="AZ101" i="417"/>
  <c r="BE101" i="417"/>
  <c r="AZ55" i="417"/>
  <c r="BE55" i="417"/>
  <c r="AZ56" i="417"/>
  <c r="BE56" i="417"/>
  <c r="AZ22" i="417"/>
  <c r="BE22" i="417"/>
  <c r="AZ86" i="417"/>
  <c r="BE86" i="417"/>
  <c r="AZ95" i="417"/>
  <c r="BE95" i="417"/>
  <c r="AZ98" i="417"/>
  <c r="BE98" i="417"/>
  <c r="AZ91" i="417"/>
  <c r="BE91" i="417"/>
  <c r="AZ108" i="417"/>
  <c r="BE108" i="417"/>
  <c r="AZ25" i="417"/>
  <c r="BE25" i="417"/>
  <c r="AZ76" i="417"/>
  <c r="BE76" i="417"/>
  <c r="AZ92" i="417"/>
  <c r="BE92" i="417"/>
  <c r="AZ62" i="417"/>
  <c r="BE62" i="417"/>
  <c r="AZ93" i="417"/>
  <c r="BE93" i="417"/>
  <c r="AZ45" i="417"/>
  <c r="BE45" i="417"/>
  <c r="AZ63" i="417"/>
  <c r="BE63" i="417"/>
  <c r="AZ110" i="417"/>
  <c r="BE110" i="417"/>
  <c r="AZ74" i="417"/>
  <c r="BE74" i="417"/>
  <c r="AZ24" i="417"/>
  <c r="BE24" i="417"/>
  <c r="AZ18" i="417"/>
  <c r="BE18" i="417"/>
  <c r="AZ65" i="417"/>
  <c r="BE65" i="417"/>
  <c r="AZ57" i="417"/>
  <c r="BE57" i="417"/>
  <c r="AZ83" i="417"/>
  <c r="BE83" i="417"/>
  <c r="AZ58" i="417"/>
  <c r="BE58" i="417"/>
  <c r="AZ105" i="417"/>
  <c r="BE105" i="417"/>
  <c r="AZ30" i="417"/>
  <c r="BE30" i="417"/>
  <c r="AZ53" i="417"/>
  <c r="BE53" i="417"/>
  <c r="AY131" i="416"/>
  <c r="BE131" i="416"/>
  <c r="AY12" i="416"/>
  <c r="BE12" i="416"/>
  <c r="AY110" i="416"/>
  <c r="BE110" i="416"/>
  <c r="AY103" i="416"/>
  <c r="BE103" i="416"/>
  <c r="AY78" i="416"/>
  <c r="BE78" i="416"/>
  <c r="AY54" i="416"/>
  <c r="BE54" i="416"/>
  <c r="AY106" i="416"/>
  <c r="BE106" i="416"/>
  <c r="AY58" i="416"/>
  <c r="BE58" i="416"/>
  <c r="AY105" i="416"/>
  <c r="BE105" i="416"/>
  <c r="AY86" i="416"/>
  <c r="BE86" i="416"/>
  <c r="AY24" i="416"/>
  <c r="BE24" i="416"/>
  <c r="AY51" i="416"/>
  <c r="BE51" i="416"/>
  <c r="AY129" i="416"/>
  <c r="BE129" i="416"/>
  <c r="AY130" i="416"/>
  <c r="BE130" i="416"/>
  <c r="AY113" i="416"/>
  <c r="BE113" i="416"/>
  <c r="AY33" i="416"/>
  <c r="BE33" i="416"/>
  <c r="AY22" i="416"/>
  <c r="BE22" i="416"/>
  <c r="AY57" i="416"/>
  <c r="BE57" i="416"/>
  <c r="AY125" i="416"/>
  <c r="BE125" i="416"/>
  <c r="AY53" i="416"/>
  <c r="BE53" i="416"/>
  <c r="AY17" i="416"/>
  <c r="BE17" i="416"/>
  <c r="AY108" i="416"/>
  <c r="BE108" i="416"/>
  <c r="AY98" i="416"/>
  <c r="BE98" i="416"/>
  <c r="AY62" i="416"/>
  <c r="BE62" i="416"/>
  <c r="AY61" i="416"/>
  <c r="BE61" i="416"/>
  <c r="AY83" i="416"/>
  <c r="BE83" i="416"/>
  <c r="AY38" i="416"/>
  <c r="BE38" i="416"/>
  <c r="AY42" i="416"/>
  <c r="BE42" i="416"/>
  <c r="AY80" i="416"/>
  <c r="BE80" i="416"/>
  <c r="AY18" i="416"/>
  <c r="BE18" i="416"/>
  <c r="AY41" i="416"/>
  <c r="BE41" i="416"/>
  <c r="AY64" i="416"/>
  <c r="BE64" i="416"/>
  <c r="AY55" i="415"/>
  <c r="BE55" i="415"/>
  <c r="AY14" i="415"/>
  <c r="BE14" i="415"/>
  <c r="AY23" i="415"/>
  <c r="BE23" i="415"/>
  <c r="AY44" i="415"/>
  <c r="BE44" i="415"/>
  <c r="AY28" i="415"/>
  <c r="BE28" i="415"/>
  <c r="AY13" i="415"/>
  <c r="BE13" i="415"/>
  <c r="AY26" i="415"/>
  <c r="BE26" i="415"/>
  <c r="AY20" i="415"/>
  <c r="BE20" i="415"/>
  <c r="AO55" i="415"/>
  <c r="AY30" i="415"/>
  <c r="BE30" i="415"/>
  <c r="AY46" i="415"/>
  <c r="BE46" i="415"/>
  <c r="AY31" i="415"/>
  <c r="BE31" i="415"/>
  <c r="AY48" i="415"/>
  <c r="BE48" i="415"/>
  <c r="AY47" i="415"/>
  <c r="BE47" i="415"/>
  <c r="AY15" i="415"/>
  <c r="BE15" i="415"/>
  <c r="AY51" i="415"/>
  <c r="BE51" i="415"/>
  <c r="AY56" i="415"/>
  <c r="BE56" i="415"/>
  <c r="AY53" i="415"/>
  <c r="BE53" i="415"/>
  <c r="AY52" i="415"/>
  <c r="BE52" i="415"/>
  <c r="M17" i="426"/>
  <c r="AY49" i="415"/>
  <c r="BE49" i="415"/>
  <c r="AY35" i="415"/>
  <c r="BE35" i="415"/>
  <c r="AY16" i="415"/>
  <c r="BE16" i="415"/>
  <c r="AY33" i="415"/>
  <c r="BE33" i="415"/>
  <c r="N17" i="426"/>
  <c r="AY99" i="416"/>
  <c r="BE99" i="416"/>
  <c r="T10" i="414"/>
  <c r="U10" i="414" s="1"/>
  <c r="V10" i="414" s="1"/>
  <c r="AY127" i="416"/>
  <c r="BE127" i="416"/>
  <c r="AY109" i="416"/>
  <c r="BE109" i="416"/>
  <c r="AY90" i="416"/>
  <c r="BE90" i="416"/>
  <c r="AY71" i="416"/>
  <c r="BE71" i="416"/>
  <c r="BG36" i="416"/>
  <c r="T12" i="414"/>
  <c r="U12" i="414" s="1"/>
  <c r="V12" i="414" s="1"/>
  <c r="BG132" i="416"/>
  <c r="T13" i="414"/>
  <c r="U13" i="414" s="1"/>
  <c r="V13" i="414" s="1"/>
  <c r="K17" i="426"/>
  <c r="BE12" i="425"/>
  <c r="AY12" i="425"/>
  <c r="AO10" i="425"/>
  <c r="AX10" i="425"/>
  <c r="BE7" i="425"/>
  <c r="AY7" i="425"/>
  <c r="AO8" i="425"/>
  <c r="AX8" i="425"/>
  <c r="T22" i="422"/>
  <c r="AZ11" i="422"/>
  <c r="BE11" i="422"/>
  <c r="AY11" i="421"/>
  <c r="BE11" i="421"/>
  <c r="AY8" i="421"/>
  <c r="BE8" i="421"/>
  <c r="AY10" i="421"/>
  <c r="BE10" i="421"/>
  <c r="AZ7" i="420"/>
  <c r="BE7" i="420"/>
  <c r="V17" i="425"/>
  <c r="V133" i="416"/>
  <c r="AK17" i="425"/>
  <c r="AN6" i="425"/>
  <c r="AX6" i="425" s="1"/>
  <c r="U14" i="424"/>
  <c r="S16" i="426" s="1"/>
  <c r="V6" i="424"/>
  <c r="V14" i="424" s="1"/>
  <c r="AK6" i="424"/>
  <c r="AW12" i="424"/>
  <c r="AP12" i="424"/>
  <c r="AW9" i="424"/>
  <c r="AP9" i="424"/>
  <c r="AP13" i="424"/>
  <c r="AW13" i="424"/>
  <c r="T23" i="423"/>
  <c r="U21" i="423"/>
  <c r="V6" i="423"/>
  <c r="V21" i="423" s="1"/>
  <c r="T15" i="426" s="1"/>
  <c r="AK6" i="423"/>
  <c r="W20" i="422"/>
  <c r="U14" i="426" s="1"/>
  <c r="AP15" i="422"/>
  <c r="AX15" i="422"/>
  <c r="AP8" i="422"/>
  <c r="AX8" i="422"/>
  <c r="AX13" i="422"/>
  <c r="AP13" i="422"/>
  <c r="AN27" i="422"/>
  <c r="AX18" i="422"/>
  <c r="AP18" i="422"/>
  <c r="AN6" i="422"/>
  <c r="AK20" i="422"/>
  <c r="AI14" i="426" s="1"/>
  <c r="AP7" i="422"/>
  <c r="AX7" i="422"/>
  <c r="AX16" i="422"/>
  <c r="AP16" i="422"/>
  <c r="AX12" i="422"/>
  <c r="AP12" i="422"/>
  <c r="U22" i="422"/>
  <c r="T17" i="421"/>
  <c r="U17" i="421" s="1"/>
  <c r="D17" i="421"/>
  <c r="D18" i="421" s="1"/>
  <c r="AX7" i="421"/>
  <c r="AO7" i="421"/>
  <c r="U6" i="421"/>
  <c r="T16" i="421"/>
  <c r="R13" i="426" s="1"/>
  <c r="T10" i="420"/>
  <c r="U10" i="420" s="1"/>
  <c r="D10" i="420"/>
  <c r="AK6" i="420"/>
  <c r="W6" i="420"/>
  <c r="W9" i="420" s="1"/>
  <c r="U12" i="426" s="1"/>
  <c r="U9" i="420"/>
  <c r="S12" i="426" s="1"/>
  <c r="AZ6" i="419"/>
  <c r="AZ17" i="419" s="1"/>
  <c r="AX11" i="426" s="1"/>
  <c r="AX17" i="419"/>
  <c r="AV11" i="426" s="1"/>
  <c r="W6" i="418"/>
  <c r="W18" i="418" s="1"/>
  <c r="U10" i="426" s="1"/>
  <c r="U18" i="418"/>
  <c r="S10" i="426" s="1"/>
  <c r="AK6" i="418"/>
  <c r="T19" i="418"/>
  <c r="U19" i="418" s="1"/>
  <c r="D19" i="418"/>
  <c r="D20" i="418" s="1"/>
  <c r="AX15" i="418"/>
  <c r="BE15" i="418" s="1"/>
  <c r="AP15" i="418"/>
  <c r="U116" i="417"/>
  <c r="AK6" i="417"/>
  <c r="AA6" i="417"/>
  <c r="AA116" i="417" s="1"/>
  <c r="Y9" i="426" s="1"/>
  <c r="Y17" i="426" s="1"/>
  <c r="AX106" i="417"/>
  <c r="AP106" i="417"/>
  <c r="AP73" i="417"/>
  <c r="AX73" i="417"/>
  <c r="AX99" i="417"/>
  <c r="AP99" i="417"/>
  <c r="AX69" i="417"/>
  <c r="AP69" i="417"/>
  <c r="AX37" i="417"/>
  <c r="AP37" i="417"/>
  <c r="AX72" i="417"/>
  <c r="AP72" i="417"/>
  <c r="AX14" i="417"/>
  <c r="AP14" i="417"/>
  <c r="AX71" i="417"/>
  <c r="AP71" i="417"/>
  <c r="AX111" i="417"/>
  <c r="AP111" i="417"/>
  <c r="AX104" i="417"/>
  <c r="AP104" i="417"/>
  <c r="T117" i="417"/>
  <c r="U117" i="417" s="1"/>
  <c r="D117" i="417"/>
  <c r="D118" i="417" s="1"/>
  <c r="AX97" i="417"/>
  <c r="AP97" i="417"/>
  <c r="W116" i="417"/>
  <c r="U9" i="426" s="1"/>
  <c r="AX7" i="417"/>
  <c r="AP7" i="417"/>
  <c r="AX67" i="417"/>
  <c r="AP67" i="417"/>
  <c r="AX39" i="417"/>
  <c r="AP39" i="417"/>
  <c r="AX100" i="416"/>
  <c r="AO100" i="416"/>
  <c r="V7" i="416"/>
  <c r="AK7" i="416"/>
  <c r="AN7" i="416" s="1"/>
  <c r="AX68" i="416"/>
  <c r="AO68" i="416"/>
  <c r="AX111" i="416"/>
  <c r="AO111" i="416"/>
  <c r="AX102" i="416"/>
  <c r="AO102" i="416"/>
  <c r="AX15" i="416"/>
  <c r="AO15" i="416"/>
  <c r="AX20" i="416"/>
  <c r="AO20" i="416"/>
  <c r="AX11" i="416"/>
  <c r="AO11" i="416"/>
  <c r="T135" i="416"/>
  <c r="U135" i="416" s="1"/>
  <c r="D135" i="416"/>
  <c r="D136" i="416" s="1"/>
  <c r="AX96" i="416"/>
  <c r="AO96" i="416"/>
  <c r="AX74" i="416"/>
  <c r="AO74" i="416"/>
  <c r="U118" i="416"/>
  <c r="U134" i="416" s="1"/>
  <c r="S8" i="426" s="1"/>
  <c r="AK6" i="416"/>
  <c r="V6" i="416"/>
  <c r="AX44" i="416"/>
  <c r="AO44" i="416"/>
  <c r="AX67" i="416"/>
  <c r="AO67" i="416"/>
  <c r="AX13" i="416"/>
  <c r="AO13" i="416"/>
  <c r="AX10" i="416"/>
  <c r="AO10" i="416"/>
  <c r="T118" i="416"/>
  <c r="T134" i="416" s="1"/>
  <c r="AX28" i="416"/>
  <c r="BE28" i="416" s="1"/>
  <c r="AO28" i="416"/>
  <c r="AX72" i="416"/>
  <c r="AO72" i="416"/>
  <c r="AX31" i="416"/>
  <c r="AO31" i="416"/>
  <c r="AX48" i="416"/>
  <c r="AO48" i="416"/>
  <c r="AX84" i="416"/>
  <c r="AO84" i="416"/>
  <c r="AO37" i="416"/>
  <c r="AX37" i="416"/>
  <c r="AX122" i="416"/>
  <c r="AO122" i="416"/>
  <c r="AX128" i="416"/>
  <c r="AO128" i="416"/>
  <c r="AK133" i="416"/>
  <c r="AN121" i="416"/>
  <c r="AX14" i="416"/>
  <c r="AO14" i="416"/>
  <c r="AO12" i="415"/>
  <c r="AX12" i="415"/>
  <c r="AX21" i="415"/>
  <c r="AO21" i="415"/>
  <c r="AX60" i="415"/>
  <c r="AO60" i="415"/>
  <c r="AX10" i="415"/>
  <c r="AO10" i="415"/>
  <c r="AK8" i="415"/>
  <c r="AN8" i="415" s="1"/>
  <c r="V8" i="415"/>
  <c r="AX45" i="415"/>
  <c r="AO45" i="415"/>
  <c r="AO42" i="415"/>
  <c r="AX42" i="415"/>
  <c r="AX61" i="415"/>
  <c r="AO61" i="415"/>
  <c r="AX19" i="415"/>
  <c r="AO19" i="415"/>
  <c r="AX17" i="415"/>
  <c r="AO17" i="415"/>
  <c r="T67" i="415"/>
  <c r="U67" i="415" s="1"/>
  <c r="D67" i="415"/>
  <c r="D68" i="415" s="1"/>
  <c r="AX58" i="415"/>
  <c r="AO58" i="415"/>
  <c r="AX9" i="415"/>
  <c r="AO9" i="415"/>
  <c r="AX38" i="415"/>
  <c r="AO38" i="415"/>
  <c r="AO39" i="415"/>
  <c r="AX39" i="415"/>
  <c r="AX59" i="415"/>
  <c r="AO59" i="415"/>
  <c r="AX41" i="415"/>
  <c r="AO41" i="415"/>
  <c r="AO29" i="415"/>
  <c r="AX29" i="415"/>
  <c r="AX36" i="415"/>
  <c r="AO36" i="415"/>
  <c r="T66" i="415"/>
  <c r="U6" i="415"/>
  <c r="T8" i="414"/>
  <c r="U8" i="414" s="1"/>
  <c r="V8" i="414" s="1"/>
  <c r="M5" i="414"/>
  <c r="M15" i="414" s="1"/>
  <c r="BG12" i="425" l="1"/>
  <c r="BF12" i="425"/>
  <c r="BG7" i="425"/>
  <c r="BF7" i="425"/>
  <c r="BG15" i="423"/>
  <c r="BF15" i="423"/>
  <c r="BG8" i="423"/>
  <c r="BF8" i="423"/>
  <c r="BG11" i="423"/>
  <c r="BF11" i="423"/>
  <c r="BG12" i="423"/>
  <c r="BF12" i="423"/>
  <c r="BG14" i="423"/>
  <c r="BF14" i="423"/>
  <c r="BH11" i="422"/>
  <c r="BF11" i="422"/>
  <c r="BG10" i="421"/>
  <c r="BF10" i="421"/>
  <c r="BG8" i="421"/>
  <c r="BF8" i="421"/>
  <c r="BG11" i="421"/>
  <c r="BF11" i="421"/>
  <c r="BH7" i="420"/>
  <c r="BF7" i="420"/>
  <c r="BH15" i="418"/>
  <c r="BF15" i="418"/>
  <c r="T20" i="418"/>
  <c r="BH58" i="417"/>
  <c r="BF58" i="417"/>
  <c r="BH18" i="417"/>
  <c r="BF18" i="417"/>
  <c r="BH63" i="417"/>
  <c r="BF63" i="417"/>
  <c r="BH92" i="417"/>
  <c r="BF92" i="417"/>
  <c r="BH91" i="417"/>
  <c r="BF91" i="417"/>
  <c r="BH22" i="417"/>
  <c r="BF22" i="417"/>
  <c r="BH48" i="417"/>
  <c r="BF48" i="417"/>
  <c r="BH44" i="417"/>
  <c r="BF44" i="417"/>
  <c r="BH54" i="417"/>
  <c r="BF54" i="417"/>
  <c r="BH53" i="417"/>
  <c r="BF53" i="417"/>
  <c r="BH83" i="417"/>
  <c r="BF83" i="417"/>
  <c r="BH24" i="417"/>
  <c r="BF24" i="417"/>
  <c r="BH45" i="417"/>
  <c r="BF45" i="417"/>
  <c r="BH76" i="417"/>
  <c r="BF76" i="417"/>
  <c r="BH98" i="417"/>
  <c r="BF98" i="417"/>
  <c r="BH56" i="417"/>
  <c r="BF56" i="417"/>
  <c r="BH103" i="417"/>
  <c r="BF103" i="417"/>
  <c r="BH23" i="417"/>
  <c r="BF23" i="417"/>
  <c r="BH68" i="417"/>
  <c r="BF68" i="417"/>
  <c r="BH30" i="417"/>
  <c r="BF30" i="417"/>
  <c r="BH57" i="417"/>
  <c r="BF57" i="417"/>
  <c r="BH74" i="417"/>
  <c r="BF74" i="417"/>
  <c r="BH93" i="417"/>
  <c r="BF93" i="417"/>
  <c r="BH25" i="417"/>
  <c r="BF25" i="417"/>
  <c r="BH95" i="417"/>
  <c r="BF95" i="417"/>
  <c r="BH55" i="417"/>
  <c r="BF55" i="417"/>
  <c r="BH40" i="417"/>
  <c r="BF40" i="417"/>
  <c r="BH64" i="417"/>
  <c r="BF64" i="417"/>
  <c r="BH112" i="417"/>
  <c r="BF112" i="417"/>
  <c r="BH105" i="417"/>
  <c r="BF105" i="417"/>
  <c r="BH65" i="417"/>
  <c r="BF65" i="417"/>
  <c r="BH110" i="417"/>
  <c r="BF110" i="417"/>
  <c r="BH62" i="417"/>
  <c r="BF62" i="417"/>
  <c r="BH108" i="417"/>
  <c r="BF108" i="417"/>
  <c r="BH86" i="417"/>
  <c r="BF86" i="417"/>
  <c r="BH101" i="417"/>
  <c r="BF101" i="417"/>
  <c r="BH90" i="417"/>
  <c r="BF90" i="417"/>
  <c r="BH79" i="417"/>
  <c r="BF79" i="417"/>
  <c r="BG28" i="416"/>
  <c r="BF28" i="416"/>
  <c r="BG90" i="416"/>
  <c r="BF90" i="416"/>
  <c r="BG64" i="416"/>
  <c r="BF64" i="416"/>
  <c r="BG42" i="416"/>
  <c r="BF42" i="416"/>
  <c r="BG62" i="416"/>
  <c r="BF62" i="416"/>
  <c r="BG53" i="416"/>
  <c r="BF53" i="416"/>
  <c r="BG33" i="416"/>
  <c r="BF33" i="416"/>
  <c r="BG51" i="416"/>
  <c r="BF51" i="416"/>
  <c r="BG58" i="416"/>
  <c r="BF58" i="416"/>
  <c r="BG103" i="416"/>
  <c r="BF103" i="416"/>
  <c r="BG109" i="416"/>
  <c r="BF109" i="416"/>
  <c r="BG41" i="416"/>
  <c r="BF41" i="416"/>
  <c r="BG38" i="416"/>
  <c r="BF38" i="416"/>
  <c r="BG98" i="416"/>
  <c r="BF98" i="416"/>
  <c r="BG125" i="416"/>
  <c r="BF125" i="416"/>
  <c r="BG113" i="416"/>
  <c r="BF113" i="416"/>
  <c r="BG24" i="416"/>
  <c r="BF24" i="416"/>
  <c r="BG106" i="416"/>
  <c r="BF106" i="416"/>
  <c r="BG110" i="416"/>
  <c r="BF110" i="416"/>
  <c r="BG127" i="416"/>
  <c r="BF127" i="416"/>
  <c r="BG18" i="416"/>
  <c r="BF18" i="416"/>
  <c r="BG83" i="416"/>
  <c r="BF83" i="416"/>
  <c r="BG108" i="416"/>
  <c r="BF108" i="416"/>
  <c r="BG57" i="416"/>
  <c r="BF57" i="416"/>
  <c r="BG130" i="416"/>
  <c r="BF130" i="416"/>
  <c r="BG86" i="416"/>
  <c r="BF86" i="416"/>
  <c r="BG54" i="416"/>
  <c r="BF54" i="416"/>
  <c r="BG12" i="416"/>
  <c r="BF12" i="416"/>
  <c r="BG71" i="416"/>
  <c r="BF71" i="416"/>
  <c r="BG80" i="416"/>
  <c r="BF80" i="416"/>
  <c r="BG61" i="416"/>
  <c r="BF61" i="416"/>
  <c r="BG17" i="416"/>
  <c r="BF17" i="416"/>
  <c r="BG22" i="416"/>
  <c r="BF22" i="416"/>
  <c r="BG129" i="416"/>
  <c r="BF129" i="416"/>
  <c r="BG105" i="416"/>
  <c r="BF105" i="416"/>
  <c r="BG78" i="416"/>
  <c r="BF78" i="416"/>
  <c r="BG131" i="416"/>
  <c r="BF131" i="416"/>
  <c r="BG99" i="416"/>
  <c r="BF99" i="416"/>
  <c r="BG46" i="415"/>
  <c r="BF46" i="415"/>
  <c r="BG16" i="415"/>
  <c r="BF16" i="415"/>
  <c r="BG13" i="415"/>
  <c r="BF13" i="415"/>
  <c r="BG14" i="415"/>
  <c r="BF14" i="415"/>
  <c r="BG53" i="415"/>
  <c r="BF53" i="415"/>
  <c r="BG47" i="415"/>
  <c r="BF47" i="415"/>
  <c r="BG30" i="415"/>
  <c r="BF30" i="415"/>
  <c r="BG35" i="415"/>
  <c r="BF35" i="415"/>
  <c r="BG28" i="415"/>
  <c r="BF28" i="415"/>
  <c r="BG55" i="415"/>
  <c r="BF55" i="415"/>
  <c r="BG52" i="415"/>
  <c r="BF52" i="415"/>
  <c r="BG56" i="415"/>
  <c r="BF56" i="415"/>
  <c r="BG48" i="415"/>
  <c r="BF48" i="415"/>
  <c r="BG49" i="415"/>
  <c r="BF49" i="415"/>
  <c r="BG20" i="415"/>
  <c r="BF20" i="415"/>
  <c r="BG44" i="415"/>
  <c r="BF44" i="415"/>
  <c r="BG51" i="415"/>
  <c r="BF51" i="415"/>
  <c r="BG31" i="415"/>
  <c r="BF31" i="415"/>
  <c r="BG15" i="415"/>
  <c r="BF15" i="415"/>
  <c r="BG33" i="415"/>
  <c r="BF33" i="415"/>
  <c r="BG26" i="415"/>
  <c r="BF26" i="415"/>
  <c r="BG23" i="415"/>
  <c r="BF23" i="415"/>
  <c r="T16" i="426"/>
  <c r="AY19" i="423"/>
  <c r="BE19" i="423"/>
  <c r="AY18" i="423"/>
  <c r="BE18" i="423"/>
  <c r="AY13" i="423"/>
  <c r="BE13" i="423"/>
  <c r="U23" i="423"/>
  <c r="S15" i="426"/>
  <c r="AY16" i="423"/>
  <c r="BE16" i="423"/>
  <c r="AY7" i="423"/>
  <c r="BE7" i="423"/>
  <c r="Q16" i="436"/>
  <c r="Q16" i="403"/>
  <c r="U118" i="417"/>
  <c r="S9" i="426"/>
  <c r="AZ14" i="417"/>
  <c r="BE14" i="417"/>
  <c r="AZ99" i="417"/>
  <c r="BE99" i="417"/>
  <c r="AZ67" i="417"/>
  <c r="BE67" i="417"/>
  <c r="AZ73" i="417"/>
  <c r="BE73" i="417"/>
  <c r="AZ39" i="417"/>
  <c r="BE39" i="417"/>
  <c r="AZ104" i="417"/>
  <c r="BE104" i="417"/>
  <c r="AZ72" i="417"/>
  <c r="BE72" i="417"/>
  <c r="AZ7" i="417"/>
  <c r="BE7" i="417"/>
  <c r="AZ111" i="417"/>
  <c r="BE111" i="417"/>
  <c r="AZ37" i="417"/>
  <c r="BE37" i="417"/>
  <c r="AZ106" i="417"/>
  <c r="BE106" i="417"/>
  <c r="AZ97" i="417"/>
  <c r="BE97" i="417"/>
  <c r="AZ71" i="417"/>
  <c r="BE71" i="417"/>
  <c r="AZ69" i="417"/>
  <c r="BE69" i="417"/>
  <c r="T136" i="416"/>
  <c r="R8" i="426"/>
  <c r="AY48" i="416"/>
  <c r="BE48" i="416"/>
  <c r="AY100" i="416"/>
  <c r="BE100" i="416"/>
  <c r="AY122" i="416"/>
  <c r="BE122" i="416"/>
  <c r="AY11" i="416"/>
  <c r="BE11" i="416"/>
  <c r="AY111" i="416"/>
  <c r="BE111" i="416"/>
  <c r="AY14" i="416"/>
  <c r="BE14" i="416"/>
  <c r="AY37" i="416"/>
  <c r="BE37" i="416"/>
  <c r="AY13" i="416"/>
  <c r="BE13" i="416"/>
  <c r="AY74" i="416"/>
  <c r="BE74" i="416"/>
  <c r="AY20" i="416"/>
  <c r="BE20" i="416"/>
  <c r="AY68" i="416"/>
  <c r="BE68" i="416"/>
  <c r="AY31" i="416"/>
  <c r="BE31" i="416"/>
  <c r="AY67" i="416"/>
  <c r="BE67" i="416"/>
  <c r="AY128" i="416"/>
  <c r="BE128" i="416"/>
  <c r="AY10" i="416"/>
  <c r="BE10" i="416"/>
  <c r="AY84" i="416"/>
  <c r="BE84" i="416"/>
  <c r="AY96" i="416"/>
  <c r="BE96" i="416"/>
  <c r="AY15" i="416"/>
  <c r="BE15" i="416"/>
  <c r="AY41" i="415"/>
  <c r="BE41" i="415"/>
  <c r="AY9" i="415"/>
  <c r="BE9" i="415"/>
  <c r="AY19" i="415"/>
  <c r="BE19" i="415"/>
  <c r="AY12" i="415"/>
  <c r="BE12" i="415"/>
  <c r="AY58" i="415"/>
  <c r="BE58" i="415"/>
  <c r="AY39" i="415"/>
  <c r="BE39" i="415"/>
  <c r="AY59" i="415"/>
  <c r="BE59" i="415"/>
  <c r="AY42" i="415"/>
  <c r="BE42" i="415"/>
  <c r="AY36" i="415"/>
  <c r="BE36" i="415"/>
  <c r="AY60" i="415"/>
  <c r="BE60" i="415"/>
  <c r="T68" i="415"/>
  <c r="R7" i="426"/>
  <c r="AY10" i="415"/>
  <c r="BE10" i="415"/>
  <c r="AY29" i="415"/>
  <c r="BE29" i="415"/>
  <c r="AY61" i="415"/>
  <c r="BE61" i="415"/>
  <c r="AY38" i="415"/>
  <c r="BE38" i="415"/>
  <c r="AY17" i="415"/>
  <c r="BE17" i="415"/>
  <c r="AY45" i="415"/>
  <c r="BE45" i="415"/>
  <c r="AY21" i="415"/>
  <c r="BE21" i="415"/>
  <c r="J15" i="12"/>
  <c r="D16" i="414"/>
  <c r="AY44" i="416"/>
  <c r="BE44" i="416"/>
  <c r="AY102" i="416"/>
  <c r="BE102" i="416"/>
  <c r="AY72" i="416"/>
  <c r="BE72" i="416"/>
  <c r="BF72" i="416" s="1"/>
  <c r="U17" i="426"/>
  <c r="BE10" i="425"/>
  <c r="AY10" i="425"/>
  <c r="BE8" i="425"/>
  <c r="AY8" i="425"/>
  <c r="AZ7" i="422"/>
  <c r="BE7" i="422"/>
  <c r="AZ13" i="422"/>
  <c r="BE13" i="422"/>
  <c r="AZ8" i="422"/>
  <c r="BE8" i="422"/>
  <c r="AZ15" i="422"/>
  <c r="BE15" i="422"/>
  <c r="AZ12" i="422"/>
  <c r="BE12" i="422"/>
  <c r="AZ18" i="422"/>
  <c r="BE18" i="422"/>
  <c r="AZ16" i="422"/>
  <c r="BE16" i="422"/>
  <c r="AY7" i="421"/>
  <c r="BE7" i="421"/>
  <c r="U20" i="418"/>
  <c r="V118" i="416"/>
  <c r="V134" i="416" s="1"/>
  <c r="T8" i="426" s="1"/>
  <c r="AO6" i="425"/>
  <c r="AO17" i="425" s="1"/>
  <c r="AM16" i="426" s="1"/>
  <c r="AN17" i="425"/>
  <c r="AK14" i="424"/>
  <c r="AI16" i="426" s="1"/>
  <c r="AN6" i="424"/>
  <c r="AK21" i="423"/>
  <c r="AI15" i="426" s="1"/>
  <c r="AN6" i="423"/>
  <c r="AX6" i="422"/>
  <c r="BE6" i="422" s="1"/>
  <c r="BF6" i="422" s="1"/>
  <c r="AP6" i="422"/>
  <c r="AP20" i="422" s="1"/>
  <c r="AN14" i="426" s="1"/>
  <c r="AN20" i="422"/>
  <c r="AL14" i="426" s="1"/>
  <c r="T18" i="421"/>
  <c r="AK6" i="421"/>
  <c r="U16" i="421"/>
  <c r="V6" i="421"/>
  <c r="V16" i="421" s="1"/>
  <c r="T13" i="426" s="1"/>
  <c r="AN6" i="420"/>
  <c r="AK9" i="420"/>
  <c r="AI12" i="426" s="1"/>
  <c r="AN6" i="418"/>
  <c r="AK18" i="418"/>
  <c r="AI10" i="426" s="1"/>
  <c r="AP116" i="417"/>
  <c r="AN9" i="426" s="1"/>
  <c r="T118" i="417"/>
  <c r="AK116" i="417"/>
  <c r="AI9" i="426" s="1"/>
  <c r="AN6" i="417"/>
  <c r="AK118" i="416"/>
  <c r="AK134" i="416" s="1"/>
  <c r="AI8" i="426" s="1"/>
  <c r="AN6" i="416"/>
  <c r="AX121" i="416"/>
  <c r="BE121" i="416" s="1"/>
  <c r="BF121" i="416" s="1"/>
  <c r="AN133" i="416"/>
  <c r="AO121" i="416"/>
  <c r="AO133" i="416" s="1"/>
  <c r="AX143" i="416"/>
  <c r="AY28" i="416"/>
  <c r="AX7" i="416"/>
  <c r="AO7" i="416"/>
  <c r="U136" i="416"/>
  <c r="AO8" i="415"/>
  <c r="AX8" i="415"/>
  <c r="U66" i="415"/>
  <c r="V6" i="415"/>
  <c r="V66" i="415" s="1"/>
  <c r="T7" i="426" s="1"/>
  <c r="AK6" i="415"/>
  <c r="N15" i="12"/>
  <c r="O5" i="414"/>
  <c r="O15" i="414" s="1"/>
  <c r="T5" i="414"/>
  <c r="T15" i="414" s="1"/>
  <c r="Q8" i="405"/>
  <c r="Q13" i="405" s="1"/>
  <c r="BG10" i="425" l="1"/>
  <c r="BF10" i="425"/>
  <c r="BG8" i="425"/>
  <c r="BF8" i="425"/>
  <c r="BG16" i="423"/>
  <c r="BF16" i="423"/>
  <c r="BI19" i="423"/>
  <c r="BI21" i="423" s="1"/>
  <c r="BG15" i="426" s="1"/>
  <c r="BG17" i="426" s="1"/>
  <c r="F23" i="40" s="1"/>
  <c r="BF19" i="423"/>
  <c r="BG18" i="423"/>
  <c r="BF18" i="423"/>
  <c r="BG7" i="423"/>
  <c r="BF7" i="423"/>
  <c r="BG13" i="423"/>
  <c r="BF13" i="423"/>
  <c r="BH12" i="422"/>
  <c r="BF12" i="422"/>
  <c r="BH15" i="422"/>
  <c r="BF15" i="422"/>
  <c r="BH7" i="422"/>
  <c r="BF7" i="422"/>
  <c r="BH16" i="422"/>
  <c r="BF16" i="422"/>
  <c r="BH8" i="422"/>
  <c r="BF8" i="422"/>
  <c r="BH18" i="422"/>
  <c r="BF18" i="422"/>
  <c r="BH13" i="422"/>
  <c r="BF13" i="422"/>
  <c r="BG7" i="421"/>
  <c r="BF7" i="421"/>
  <c r="BH71" i="417"/>
  <c r="BF71" i="417"/>
  <c r="BH39" i="417"/>
  <c r="BF39" i="417"/>
  <c r="BH111" i="417"/>
  <c r="BF111" i="417"/>
  <c r="BH97" i="417"/>
  <c r="BF97" i="417"/>
  <c r="BH7" i="417"/>
  <c r="BF7" i="417"/>
  <c r="BH73" i="417"/>
  <c r="BF73" i="417"/>
  <c r="BH106" i="417"/>
  <c r="BF106" i="417"/>
  <c r="BH67" i="417"/>
  <c r="BF67" i="417"/>
  <c r="BH14" i="417"/>
  <c r="BF14" i="417"/>
  <c r="BH72" i="417"/>
  <c r="BF72" i="417"/>
  <c r="BH69" i="417"/>
  <c r="BF69" i="417"/>
  <c r="BH37" i="417"/>
  <c r="BF37" i="417"/>
  <c r="BH104" i="417"/>
  <c r="BF104" i="417"/>
  <c r="BH99" i="417"/>
  <c r="BF99" i="417"/>
  <c r="BG11" i="416"/>
  <c r="BF11" i="416"/>
  <c r="BG31" i="416"/>
  <c r="BF31" i="416"/>
  <c r="BG102" i="416"/>
  <c r="BF102" i="416"/>
  <c r="BG10" i="416"/>
  <c r="BF10" i="416"/>
  <c r="BG68" i="416"/>
  <c r="BF68" i="416"/>
  <c r="BG37" i="416"/>
  <c r="BF37" i="416"/>
  <c r="BG122" i="416"/>
  <c r="BF122" i="416"/>
  <c r="BF133" i="416" s="1"/>
  <c r="BG13" i="416"/>
  <c r="BF13" i="416"/>
  <c r="BG15" i="416"/>
  <c r="BF15" i="416"/>
  <c r="BG128" i="416"/>
  <c r="BF128" i="416"/>
  <c r="BG20" i="416"/>
  <c r="BF20" i="416"/>
  <c r="BG14" i="416"/>
  <c r="BF14" i="416"/>
  <c r="BG100" i="416"/>
  <c r="BF100" i="416"/>
  <c r="BG84" i="416"/>
  <c r="BF84" i="416"/>
  <c r="BG44" i="416"/>
  <c r="BF44" i="416"/>
  <c r="R17" i="426"/>
  <c r="BG96" i="416"/>
  <c r="BF96" i="416"/>
  <c r="BG67" i="416"/>
  <c r="BF67" i="416"/>
  <c r="BG74" i="416"/>
  <c r="BF74" i="416"/>
  <c r="BG111" i="416"/>
  <c r="BF111" i="416"/>
  <c r="BG48" i="416"/>
  <c r="BF48" i="416"/>
  <c r="BG10" i="415"/>
  <c r="BF10" i="415"/>
  <c r="BG12" i="415"/>
  <c r="BF12" i="415"/>
  <c r="BG38" i="415"/>
  <c r="BF38" i="415"/>
  <c r="BG59" i="415"/>
  <c r="BF59" i="415"/>
  <c r="BG19" i="415"/>
  <c r="BF19" i="415"/>
  <c r="BG21" i="415"/>
  <c r="BF21" i="415"/>
  <c r="BG61" i="415"/>
  <c r="BF61" i="415"/>
  <c r="BG60" i="415"/>
  <c r="BF60" i="415"/>
  <c r="BG39" i="415"/>
  <c r="BF39" i="415"/>
  <c r="BG9" i="415"/>
  <c r="BF9" i="415"/>
  <c r="BG42" i="415"/>
  <c r="BF42" i="415"/>
  <c r="BG17" i="415"/>
  <c r="BF17" i="415"/>
  <c r="BG45" i="415"/>
  <c r="BF45" i="415"/>
  <c r="BG29" i="415"/>
  <c r="BF29" i="415"/>
  <c r="BG36" i="415"/>
  <c r="BF36" i="415"/>
  <c r="BG58" i="415"/>
  <c r="BF58" i="415"/>
  <c r="BG41" i="415"/>
  <c r="BF41" i="415"/>
  <c r="U18" i="421"/>
  <c r="S13" i="426"/>
  <c r="T17" i="426"/>
  <c r="AY7" i="416"/>
  <c r="BE7" i="416"/>
  <c r="BG121" i="416"/>
  <c r="BE133" i="416"/>
  <c r="U68" i="415"/>
  <c r="S7" i="426"/>
  <c r="AY8" i="415"/>
  <c r="BE8" i="415"/>
  <c r="BG72" i="416"/>
  <c r="BE20" i="422"/>
  <c r="BC14" i="426" s="1"/>
  <c r="BH6" i="422"/>
  <c r="AW6" i="424"/>
  <c r="AW14" i="424" s="1"/>
  <c r="AP6" i="424"/>
  <c r="AP14" i="424" s="1"/>
  <c r="AN16" i="426" s="1"/>
  <c r="AN14" i="424"/>
  <c r="AL16" i="426" s="1"/>
  <c r="AN21" i="423"/>
  <c r="AL15" i="426" s="1"/>
  <c r="AO6" i="423"/>
  <c r="AO21" i="423" s="1"/>
  <c r="AM15" i="426" s="1"/>
  <c r="AZ6" i="422"/>
  <c r="AZ20" i="422" s="1"/>
  <c r="AX14" i="426" s="1"/>
  <c r="AX20" i="422"/>
  <c r="AV14" i="426" s="1"/>
  <c r="AN6" i="421"/>
  <c r="AK16" i="421"/>
  <c r="AI13" i="426" s="1"/>
  <c r="AN9" i="420"/>
  <c r="AL12" i="426" s="1"/>
  <c r="AX6" i="420"/>
  <c r="BE6" i="420" s="1"/>
  <c r="BF6" i="420" s="1"/>
  <c r="BF9" i="420" s="1"/>
  <c r="BD12" i="426" s="1"/>
  <c r="AP6" i="420"/>
  <c r="AP9" i="420" s="1"/>
  <c r="AN12" i="426" s="1"/>
  <c r="AX6" i="418"/>
  <c r="AP6" i="418"/>
  <c r="AP18" i="418" s="1"/>
  <c r="AN10" i="426" s="1"/>
  <c r="AN18" i="418"/>
  <c r="AL10" i="426" s="1"/>
  <c r="AN116" i="417"/>
  <c r="AL9" i="426" s="1"/>
  <c r="AT6" i="417"/>
  <c r="AT116" i="417" s="1"/>
  <c r="AR9" i="426" s="1"/>
  <c r="AR17" i="426" s="1"/>
  <c r="AX6" i="417"/>
  <c r="BE6" i="417" s="1"/>
  <c r="BF6" i="417" s="1"/>
  <c r="AX142" i="416"/>
  <c r="AY121" i="416"/>
  <c r="AY133" i="416" s="1"/>
  <c r="AX133" i="416"/>
  <c r="AN118" i="416"/>
  <c r="AN134" i="416" s="1"/>
  <c r="AL8" i="426" s="1"/>
  <c r="AX6" i="416"/>
  <c r="BE6" i="416" s="1"/>
  <c r="AO6" i="416"/>
  <c r="AO118" i="416" s="1"/>
  <c r="AO134" i="416" s="1"/>
  <c r="AM8" i="426" s="1"/>
  <c r="AK66" i="415"/>
  <c r="AN6" i="415"/>
  <c r="U5" i="414"/>
  <c r="U15" i="414" s="1"/>
  <c r="M15" i="12"/>
  <c r="BF20" i="422" l="1"/>
  <c r="BD14" i="426" s="1"/>
  <c r="BH20" i="422"/>
  <c r="BF14" i="426" s="1"/>
  <c r="BG133" i="416"/>
  <c r="BF116" i="417"/>
  <c r="BD9" i="426" s="1"/>
  <c r="BG6" i="416"/>
  <c r="BG118" i="416" s="1"/>
  <c r="BG134" i="416" s="1"/>
  <c r="BE8" i="426" s="1"/>
  <c r="BF6" i="416"/>
  <c r="BG7" i="416"/>
  <c r="BF7" i="416"/>
  <c r="BG8" i="415"/>
  <c r="BF8" i="415"/>
  <c r="Q29" i="438"/>
  <c r="Q30" i="438" s="1"/>
  <c r="Q19" i="406"/>
  <c r="Q20" i="406" s="1"/>
  <c r="S17" i="426"/>
  <c r="AN17" i="426"/>
  <c r="BH6" i="417"/>
  <c r="BH116" i="417" s="1"/>
  <c r="BF9" i="426" s="1"/>
  <c r="BE116" i="417"/>
  <c r="BC9" i="426" s="1"/>
  <c r="BE118" i="416"/>
  <c r="BE134" i="416" s="1"/>
  <c r="BC8" i="426" s="1"/>
  <c r="AN71" i="415"/>
  <c r="AI7" i="426"/>
  <c r="AI17" i="426" s="1"/>
  <c r="AL19" i="426" s="1"/>
  <c r="K15" i="12"/>
  <c r="T16" i="414"/>
  <c r="U16" i="414" s="1"/>
  <c r="R15" i="12"/>
  <c r="BE9" i="420"/>
  <c r="BC12" i="426" s="1"/>
  <c r="BH6" i="420"/>
  <c r="BH9" i="420" s="1"/>
  <c r="BF12" i="426" s="1"/>
  <c r="AX18" i="418"/>
  <c r="AV10" i="426" s="1"/>
  <c r="BE6" i="418"/>
  <c r="BF6" i="418" s="1"/>
  <c r="BF18" i="418" s="1"/>
  <c r="BD10" i="426" s="1"/>
  <c r="AX6" i="421"/>
  <c r="BE6" i="421" s="1"/>
  <c r="BF6" i="421" s="1"/>
  <c r="BF16" i="421" s="1"/>
  <c r="BD13" i="426" s="1"/>
  <c r="AO6" i="421"/>
  <c r="AO16" i="421" s="1"/>
  <c r="AM13" i="426" s="1"/>
  <c r="AN16" i="421"/>
  <c r="AL13" i="426" s="1"/>
  <c r="AZ6" i="420"/>
  <c r="AZ9" i="420" s="1"/>
  <c r="AX12" i="426" s="1"/>
  <c r="AX9" i="420"/>
  <c r="AV12" i="426" s="1"/>
  <c r="AZ6" i="418"/>
  <c r="AZ18" i="418" s="1"/>
  <c r="AX10" i="426" s="1"/>
  <c r="AX116" i="417"/>
  <c r="AV9" i="426" s="1"/>
  <c r="AZ6" i="417"/>
  <c r="AZ116" i="417" s="1"/>
  <c r="AX9" i="426" s="1"/>
  <c r="AX118" i="416"/>
  <c r="AX134" i="416" s="1"/>
  <c r="AV8" i="426" s="1"/>
  <c r="AY6" i="416"/>
  <c r="AY118" i="416" s="1"/>
  <c r="AY134" i="416" s="1"/>
  <c r="AW8" i="426" s="1"/>
  <c r="AN66" i="415"/>
  <c r="AX6" i="415"/>
  <c r="BE6" i="415" s="1"/>
  <c r="BF6" i="415" s="1"/>
  <c r="BF66" i="415" s="1"/>
  <c r="BD7" i="426" s="1"/>
  <c r="AO6" i="415"/>
  <c r="AO66" i="415" s="1"/>
  <c r="AM7" i="426" s="1"/>
  <c r="V5" i="414"/>
  <c r="V15" i="414" l="1"/>
  <c r="T15" i="12" s="1"/>
  <c r="BF118" i="416"/>
  <c r="BF134" i="416" s="1"/>
  <c r="BD8" i="426" s="1"/>
  <c r="AM17" i="426"/>
  <c r="Q8" i="435"/>
  <c r="Q8" i="404"/>
  <c r="AX17" i="426"/>
  <c r="Q127" i="433"/>
  <c r="Q103" i="429"/>
  <c r="Q16" i="434"/>
  <c r="Q17" i="434" s="1"/>
  <c r="Q16" i="402"/>
  <c r="Q17" i="402" s="1"/>
  <c r="Q125" i="443"/>
  <c r="Q147" i="432"/>
  <c r="Q125" i="411"/>
  <c r="BG6" i="415"/>
  <c r="BG66" i="415" s="1"/>
  <c r="BE7" i="426" s="1"/>
  <c r="BE66" i="415"/>
  <c r="BC7" i="426" s="1"/>
  <c r="AL7" i="426"/>
  <c r="AL17" i="426" s="1"/>
  <c r="AW71" i="415"/>
  <c r="S15" i="12"/>
  <c r="F6" i="158"/>
  <c r="BE16" i="421"/>
  <c r="BC13" i="426" s="1"/>
  <c r="BG6" i="421"/>
  <c r="BG16" i="421" s="1"/>
  <c r="BE13" i="426" s="1"/>
  <c r="BE18" i="418"/>
  <c r="BC10" i="426" s="1"/>
  <c r="BH6" i="418"/>
  <c r="BH18" i="418" s="1"/>
  <c r="BF10" i="426" s="1"/>
  <c r="BF17" i="426" s="1"/>
  <c r="E23" i="40" s="1"/>
  <c r="AX16" i="421"/>
  <c r="AV13" i="426" s="1"/>
  <c r="AY6" i="421"/>
  <c r="AY16" i="421" s="1"/>
  <c r="AW13" i="426" s="1"/>
  <c r="AX66" i="415"/>
  <c r="AY6" i="415"/>
  <c r="AY66" i="415" s="1"/>
  <c r="AW7" i="426" s="1"/>
  <c r="S120" i="411"/>
  <c r="K120" i="411"/>
  <c r="F120" i="411"/>
  <c r="S119" i="411"/>
  <c r="K119" i="411"/>
  <c r="F119" i="411"/>
  <c r="F120" i="443" l="1"/>
  <c r="F144" i="432"/>
  <c r="S120" i="443"/>
  <c r="S144" i="432"/>
  <c r="L120" i="411"/>
  <c r="K120" i="443"/>
  <c r="K144" i="432"/>
  <c r="S119" i="443"/>
  <c r="S123" i="432"/>
  <c r="F119" i="443"/>
  <c r="F123" i="432"/>
  <c r="L119" i="411"/>
  <c r="K119" i="443"/>
  <c r="K123" i="432"/>
  <c r="Q18" i="437"/>
  <c r="Q14" i="405"/>
  <c r="AV7" i="426"/>
  <c r="BE71" i="415"/>
  <c r="P119" i="411" l="1"/>
  <c r="L119" i="443"/>
  <c r="L123" i="432"/>
  <c r="L120" i="443"/>
  <c r="L144" i="432"/>
  <c r="P120" i="411"/>
  <c r="Q53" i="442"/>
  <c r="Q54" i="442" s="1"/>
  <c r="Q61" i="431"/>
  <c r="Q62" i="431" s="1"/>
  <c r="Q53" i="410"/>
  <c r="Q54" i="410" s="1"/>
  <c r="P120" i="443" l="1"/>
  <c r="P144" i="432"/>
  <c r="M120" i="411"/>
  <c r="P119" i="443"/>
  <c r="P123" i="432"/>
  <c r="M119" i="411"/>
  <c r="T120" i="411"/>
  <c r="O119" i="411" l="1"/>
  <c r="M119" i="443"/>
  <c r="M123" i="432"/>
  <c r="T119" i="411"/>
  <c r="U120" i="411"/>
  <c r="T120" i="443"/>
  <c r="T144" i="432"/>
  <c r="O120" i="411"/>
  <c r="M120" i="443"/>
  <c r="M144" i="432"/>
  <c r="S123" i="411"/>
  <c r="K123" i="411"/>
  <c r="F123" i="411"/>
  <c r="S122" i="411"/>
  <c r="K122" i="411"/>
  <c r="F122" i="411"/>
  <c r="S121" i="411"/>
  <c r="K121" i="411"/>
  <c r="F121" i="411"/>
  <c r="S118" i="411"/>
  <c r="K118" i="411"/>
  <c r="F118" i="411"/>
  <c r="S117" i="411"/>
  <c r="K117" i="411"/>
  <c r="F117" i="411"/>
  <c r="S116" i="411"/>
  <c r="K116" i="411"/>
  <c r="F116" i="411"/>
  <c r="S115" i="411"/>
  <c r="K115" i="411"/>
  <c r="F115" i="411"/>
  <c r="S114" i="411"/>
  <c r="K114" i="411"/>
  <c r="F114" i="411"/>
  <c r="S113" i="411"/>
  <c r="K113" i="411"/>
  <c r="F113" i="411"/>
  <c r="S111" i="411"/>
  <c r="K111" i="411"/>
  <c r="F111" i="411"/>
  <c r="S81" i="411"/>
  <c r="K81" i="411"/>
  <c r="F81" i="411"/>
  <c r="S77" i="411"/>
  <c r="K77" i="411"/>
  <c r="F77" i="411"/>
  <c r="Q65" i="411"/>
  <c r="K65" i="411"/>
  <c r="D65" i="411"/>
  <c r="S57" i="411"/>
  <c r="K57" i="411"/>
  <c r="F57" i="411"/>
  <c r="S51" i="411"/>
  <c r="K51" i="411"/>
  <c r="F51" i="411"/>
  <c r="S46" i="411"/>
  <c r="K46" i="411"/>
  <c r="F46" i="411"/>
  <c r="S45" i="411"/>
  <c r="K45" i="411"/>
  <c r="F45" i="411"/>
  <c r="S43" i="411"/>
  <c r="K43" i="411"/>
  <c r="F43" i="411"/>
  <c r="S35" i="411"/>
  <c r="K35" i="411"/>
  <c r="F35" i="411"/>
  <c r="S31" i="411"/>
  <c r="K31" i="411"/>
  <c r="F31" i="411"/>
  <c r="S29" i="411"/>
  <c r="K29" i="411"/>
  <c r="F29" i="411"/>
  <c r="S27" i="411"/>
  <c r="K27" i="411"/>
  <c r="F27" i="411"/>
  <c r="S23" i="411"/>
  <c r="K23" i="411"/>
  <c r="F23" i="411"/>
  <c r="S22" i="411"/>
  <c r="K22" i="411"/>
  <c r="D22" i="411"/>
  <c r="S21" i="411"/>
  <c r="K21" i="411"/>
  <c r="D21" i="411"/>
  <c r="S12" i="411"/>
  <c r="K12" i="411"/>
  <c r="F12" i="411"/>
  <c r="U105" i="411"/>
  <c r="S105" i="411"/>
  <c r="K105" i="411"/>
  <c r="F105" i="411"/>
  <c r="S100" i="411"/>
  <c r="K100" i="411"/>
  <c r="F100" i="411"/>
  <c r="S90" i="411"/>
  <c r="K90" i="411"/>
  <c r="F90" i="411"/>
  <c r="S87" i="411"/>
  <c r="K87" i="411"/>
  <c r="F87" i="411"/>
  <c r="S76" i="411"/>
  <c r="K76" i="411"/>
  <c r="F76" i="411"/>
  <c r="S74" i="411"/>
  <c r="K74" i="411"/>
  <c r="F74" i="411"/>
  <c r="S73" i="411"/>
  <c r="K73" i="411"/>
  <c r="F73" i="411"/>
  <c r="S71" i="411"/>
  <c r="K71" i="411"/>
  <c r="F71" i="411"/>
  <c r="S70" i="411"/>
  <c r="K70" i="411"/>
  <c r="F70" i="411"/>
  <c r="S69" i="411"/>
  <c r="K69" i="411"/>
  <c r="F69" i="411"/>
  <c r="S67" i="411"/>
  <c r="K67" i="411"/>
  <c r="F67" i="411"/>
  <c r="S61" i="411"/>
  <c r="K61" i="411"/>
  <c r="F61" i="411"/>
  <c r="S53" i="411"/>
  <c r="K53" i="411"/>
  <c r="F53" i="411"/>
  <c r="S33" i="411"/>
  <c r="K33" i="411"/>
  <c r="F33" i="411"/>
  <c r="S13" i="411"/>
  <c r="K13" i="411"/>
  <c r="F13" i="411"/>
  <c r="S8" i="411"/>
  <c r="K8" i="411"/>
  <c r="F8" i="411"/>
  <c r="AA6" i="411"/>
  <c r="S6" i="411"/>
  <c r="N6" i="411"/>
  <c r="K6" i="411"/>
  <c r="F6" i="411"/>
  <c r="U108" i="411"/>
  <c r="S108" i="411"/>
  <c r="K108" i="411"/>
  <c r="F108" i="411"/>
  <c r="S93" i="411"/>
  <c r="K93" i="411"/>
  <c r="F93" i="411"/>
  <c r="S85" i="411"/>
  <c r="K85" i="411"/>
  <c r="F85" i="411"/>
  <c r="S66" i="411"/>
  <c r="K66" i="411"/>
  <c r="D66" i="411"/>
  <c r="S60" i="411"/>
  <c r="K60" i="411"/>
  <c r="F60" i="411"/>
  <c r="S56" i="411"/>
  <c r="K56" i="411"/>
  <c r="F56" i="411"/>
  <c r="S20" i="411"/>
  <c r="K20" i="411"/>
  <c r="F20" i="411"/>
  <c r="S17" i="411"/>
  <c r="K17" i="411"/>
  <c r="F17" i="411"/>
  <c r="S10" i="411"/>
  <c r="K10" i="411"/>
  <c r="F10" i="411"/>
  <c r="S7" i="411"/>
  <c r="N7" i="411"/>
  <c r="K7" i="411"/>
  <c r="D7" i="411"/>
  <c r="U107" i="411"/>
  <c r="S107" i="411"/>
  <c r="K107" i="411"/>
  <c r="D107" i="411"/>
  <c r="U106" i="411"/>
  <c r="S106" i="411"/>
  <c r="K106" i="411"/>
  <c r="F106" i="411"/>
  <c r="S104" i="411"/>
  <c r="N104" i="411"/>
  <c r="K104" i="411"/>
  <c r="F104" i="411"/>
  <c r="S101" i="411"/>
  <c r="K101" i="411"/>
  <c r="F101" i="411"/>
  <c r="S98" i="411"/>
  <c r="K98" i="411"/>
  <c r="F98" i="411"/>
  <c r="S97" i="411"/>
  <c r="K97" i="411"/>
  <c r="F97" i="411"/>
  <c r="S96" i="411"/>
  <c r="K96" i="411"/>
  <c r="F96" i="411"/>
  <c r="S95" i="411"/>
  <c r="K95" i="411"/>
  <c r="F95" i="411"/>
  <c r="S92" i="411"/>
  <c r="K92" i="411"/>
  <c r="F92" i="411"/>
  <c r="S91" i="411"/>
  <c r="K91" i="411"/>
  <c r="F91" i="411"/>
  <c r="S89" i="411"/>
  <c r="K89" i="411"/>
  <c r="D89" i="411"/>
  <c r="S88" i="411"/>
  <c r="K88" i="411"/>
  <c r="F88" i="411"/>
  <c r="S86" i="411"/>
  <c r="K86" i="411"/>
  <c r="F86" i="411"/>
  <c r="S84" i="411"/>
  <c r="K84" i="411"/>
  <c r="F84" i="411"/>
  <c r="S83" i="411"/>
  <c r="K83" i="411"/>
  <c r="F83" i="411"/>
  <c r="Q82" i="411"/>
  <c r="K82" i="411"/>
  <c r="F82" i="411"/>
  <c r="S80" i="411"/>
  <c r="K80" i="411"/>
  <c r="D80" i="411"/>
  <c r="S79" i="411"/>
  <c r="K79" i="411"/>
  <c r="F79" i="411"/>
  <c r="S72" i="411"/>
  <c r="K72" i="411"/>
  <c r="F72" i="411"/>
  <c r="S64" i="411"/>
  <c r="K64" i="411"/>
  <c r="F64" i="411"/>
  <c r="S63" i="411"/>
  <c r="K63" i="411"/>
  <c r="D63" i="411"/>
  <c r="S55" i="411"/>
  <c r="K55" i="411"/>
  <c r="F55" i="411"/>
  <c r="S54" i="411"/>
  <c r="K54" i="411"/>
  <c r="F54" i="411"/>
  <c r="S47" i="411"/>
  <c r="K47" i="411"/>
  <c r="D47" i="411"/>
  <c r="S40" i="411"/>
  <c r="K40" i="411"/>
  <c r="F40" i="411"/>
  <c r="S36" i="411"/>
  <c r="K36" i="411"/>
  <c r="F36" i="411"/>
  <c r="S26" i="411"/>
  <c r="K26" i="411"/>
  <c r="F26" i="411"/>
  <c r="S25" i="411"/>
  <c r="K25" i="411"/>
  <c r="F25" i="411"/>
  <c r="S19" i="411"/>
  <c r="K19" i="411"/>
  <c r="F19" i="411"/>
  <c r="S16" i="411"/>
  <c r="K16" i="411"/>
  <c r="F16" i="411"/>
  <c r="S11" i="411"/>
  <c r="K11" i="411"/>
  <c r="F11" i="411"/>
  <c r="U110" i="411"/>
  <c r="S110" i="411"/>
  <c r="K110" i="411"/>
  <c r="F110" i="411"/>
  <c r="S103" i="411"/>
  <c r="K103" i="411"/>
  <c r="F103" i="411"/>
  <c r="S99" i="411"/>
  <c r="K99" i="411"/>
  <c r="D99" i="411"/>
  <c r="S94" i="411"/>
  <c r="K94" i="411"/>
  <c r="D94" i="411"/>
  <c r="S78" i="411"/>
  <c r="K78" i="411"/>
  <c r="F78" i="411"/>
  <c r="S75" i="411"/>
  <c r="K75" i="411"/>
  <c r="F75" i="411"/>
  <c r="S68" i="411"/>
  <c r="K68" i="411"/>
  <c r="F68" i="411"/>
  <c r="S62" i="411"/>
  <c r="K62" i="411"/>
  <c r="F62" i="411"/>
  <c r="S59" i="411"/>
  <c r="K59" i="411"/>
  <c r="F59" i="411"/>
  <c r="S58" i="411"/>
  <c r="K58" i="411"/>
  <c r="F58" i="411"/>
  <c r="W52" i="411"/>
  <c r="S52" i="411"/>
  <c r="K52" i="411"/>
  <c r="F52" i="411"/>
  <c r="S50" i="411"/>
  <c r="K50" i="411"/>
  <c r="F50" i="411"/>
  <c r="S49" i="411"/>
  <c r="K49" i="411"/>
  <c r="D49" i="411"/>
  <c r="S48" i="411"/>
  <c r="K48" i="411"/>
  <c r="F48" i="411"/>
  <c r="S44" i="411"/>
  <c r="N44" i="411"/>
  <c r="K44" i="411"/>
  <c r="F44" i="411"/>
  <c r="S42" i="411"/>
  <c r="K42" i="411"/>
  <c r="F42" i="411"/>
  <c r="S41" i="411"/>
  <c r="K41" i="411"/>
  <c r="F41" i="411"/>
  <c r="Q39" i="411"/>
  <c r="K39" i="411"/>
  <c r="F39" i="411"/>
  <c r="S38" i="411"/>
  <c r="K38" i="411"/>
  <c r="F38" i="411"/>
  <c r="S37" i="411"/>
  <c r="K37" i="411"/>
  <c r="F37" i="411"/>
  <c r="Q34" i="411"/>
  <c r="K34" i="411"/>
  <c r="F34" i="411"/>
  <c r="S32" i="411"/>
  <c r="K32" i="411"/>
  <c r="F32" i="411"/>
  <c r="S30" i="411"/>
  <c r="K30" i="411"/>
  <c r="F30" i="411"/>
  <c r="S28" i="411"/>
  <c r="K28" i="411"/>
  <c r="F28" i="411"/>
  <c r="S24" i="411"/>
  <c r="K24" i="411"/>
  <c r="F24" i="411"/>
  <c r="S18" i="411"/>
  <c r="K18" i="411"/>
  <c r="F18" i="411"/>
  <c r="S14" i="411"/>
  <c r="N14" i="411"/>
  <c r="K14" i="411"/>
  <c r="G14" i="411"/>
  <c r="F14" i="411"/>
  <c r="S9" i="411"/>
  <c r="K9" i="411"/>
  <c r="F9" i="411"/>
  <c r="S15" i="411"/>
  <c r="K15" i="411"/>
  <c r="D15" i="411"/>
  <c r="S5" i="411"/>
  <c r="K5" i="411"/>
  <c r="F5" i="411"/>
  <c r="L42" i="411" l="1"/>
  <c r="K42" i="443"/>
  <c r="K37" i="432"/>
  <c r="L75" i="411"/>
  <c r="K75" i="443"/>
  <c r="K93" i="432"/>
  <c r="S26" i="443"/>
  <c r="S31" i="432"/>
  <c r="L82" i="411"/>
  <c r="K82" i="443"/>
  <c r="K61" i="432"/>
  <c r="F98" i="443"/>
  <c r="F53" i="432"/>
  <c r="L56" i="411"/>
  <c r="K56" i="443"/>
  <c r="K9" i="432"/>
  <c r="F53" i="443"/>
  <c r="F40" i="432"/>
  <c r="S90" i="443"/>
  <c r="S135" i="432"/>
  <c r="F43" i="443"/>
  <c r="F85" i="432"/>
  <c r="O120" i="443"/>
  <c r="O144" i="432"/>
  <c r="F9" i="443"/>
  <c r="F22" i="432"/>
  <c r="F18" i="443"/>
  <c r="F28" i="432"/>
  <c r="S28" i="443"/>
  <c r="S77" i="432"/>
  <c r="L34" i="411"/>
  <c r="K34" i="443"/>
  <c r="K81" i="432"/>
  <c r="F39" i="443"/>
  <c r="F34" i="432"/>
  <c r="S42" i="443"/>
  <c r="S37" i="432"/>
  <c r="D49" i="443"/>
  <c r="D39" i="432"/>
  <c r="S52" i="443"/>
  <c r="S126" i="432"/>
  <c r="F62" i="443"/>
  <c r="F44" i="432"/>
  <c r="S75" i="443"/>
  <c r="S93" i="432"/>
  <c r="L99" i="411"/>
  <c r="K99" i="443"/>
  <c r="K121" i="432"/>
  <c r="U110" i="443"/>
  <c r="U103" i="432"/>
  <c r="L19" i="411"/>
  <c r="K19" i="443"/>
  <c r="K29" i="432"/>
  <c r="F36" i="443"/>
  <c r="F33" i="432"/>
  <c r="S47" i="443"/>
  <c r="S116" i="432"/>
  <c r="L63" i="411"/>
  <c r="K63" i="443"/>
  <c r="K89" i="432"/>
  <c r="F79" i="443"/>
  <c r="F96" i="432"/>
  <c r="Q82" i="443"/>
  <c r="Q61" i="432"/>
  <c r="K86" i="443"/>
  <c r="K97" i="432"/>
  <c r="F91" i="443"/>
  <c r="F112" i="432"/>
  <c r="S95" i="443"/>
  <c r="S99" i="432"/>
  <c r="L98" i="411"/>
  <c r="K98" i="443"/>
  <c r="K53" i="432"/>
  <c r="S104" i="443"/>
  <c r="S101" i="432"/>
  <c r="U107" i="443"/>
  <c r="U56" i="432"/>
  <c r="F17" i="443"/>
  <c r="F6" i="432"/>
  <c r="S56" i="443"/>
  <c r="S9" i="432"/>
  <c r="K85" i="443"/>
  <c r="K11" i="432"/>
  <c r="V108" i="411"/>
  <c r="U108" i="443"/>
  <c r="U102" i="432"/>
  <c r="S21" i="432"/>
  <c r="S8" i="443"/>
  <c r="L53" i="411"/>
  <c r="K53" i="443"/>
  <c r="K40" i="432"/>
  <c r="F69" i="443"/>
  <c r="F45" i="432"/>
  <c r="S71" i="443"/>
  <c r="S47" i="432"/>
  <c r="L76" i="411"/>
  <c r="K76" i="443"/>
  <c r="K118" i="432"/>
  <c r="F100" i="443"/>
  <c r="F143" i="432"/>
  <c r="F145" i="432" s="1"/>
  <c r="D18" i="97" s="1"/>
  <c r="K12" i="443"/>
  <c r="K113" i="432"/>
  <c r="F23" i="443"/>
  <c r="F63" i="432"/>
  <c r="S29" i="443"/>
  <c r="S78" i="432"/>
  <c r="L43" i="411"/>
  <c r="K43" i="443"/>
  <c r="K85" i="432"/>
  <c r="F51" i="443"/>
  <c r="F110" i="432"/>
  <c r="Q65" i="443"/>
  <c r="Q90" i="432"/>
  <c r="K111" i="443"/>
  <c r="K104" i="432"/>
  <c r="F115" i="443"/>
  <c r="F131" i="432"/>
  <c r="F132" i="432" s="1"/>
  <c r="D16" i="97" s="1"/>
  <c r="S117" i="443"/>
  <c r="S15" i="432"/>
  <c r="L122" i="411"/>
  <c r="K122" i="443"/>
  <c r="K16" i="432"/>
  <c r="S15" i="443"/>
  <c r="S26" i="432"/>
  <c r="S48" i="443"/>
  <c r="S134" i="432"/>
  <c r="S110" i="443"/>
  <c r="S103" i="432"/>
  <c r="S72" i="443"/>
  <c r="S48" i="432"/>
  <c r="L95" i="411"/>
  <c r="K95" i="443"/>
  <c r="K99" i="432"/>
  <c r="S10" i="443"/>
  <c r="S23" i="432"/>
  <c r="L8" i="411"/>
  <c r="K8" i="443"/>
  <c r="K21" i="432"/>
  <c r="F76" i="443"/>
  <c r="F118" i="432"/>
  <c r="S22" i="443"/>
  <c r="S30" i="432"/>
  <c r="L65" i="411"/>
  <c r="K65" i="443"/>
  <c r="K90" i="432"/>
  <c r="F122" i="443"/>
  <c r="F16" i="432"/>
  <c r="K9" i="443"/>
  <c r="K22" i="432"/>
  <c r="L18" i="411"/>
  <c r="K18" i="443"/>
  <c r="K28" i="432"/>
  <c r="F30" i="443"/>
  <c r="F79" i="432"/>
  <c r="Q34" i="443"/>
  <c r="Q81" i="432"/>
  <c r="Q105" i="432" s="1"/>
  <c r="Q124" i="411"/>
  <c r="L39" i="411"/>
  <c r="K39" i="443"/>
  <c r="K34" i="432"/>
  <c r="F44" i="443"/>
  <c r="F109" i="432"/>
  <c r="L49" i="411"/>
  <c r="K49" i="443"/>
  <c r="K39" i="432"/>
  <c r="W52" i="443"/>
  <c r="W124" i="443" s="1"/>
  <c r="W126" i="432"/>
  <c r="W129" i="432" s="1"/>
  <c r="W124" i="411"/>
  <c r="L62" i="411"/>
  <c r="K62" i="443"/>
  <c r="K44" i="432"/>
  <c r="F78" i="443"/>
  <c r="F95" i="432"/>
  <c r="S99" i="443"/>
  <c r="S121" i="432"/>
  <c r="F11" i="443"/>
  <c r="F24" i="432"/>
  <c r="S19" i="443"/>
  <c r="S29" i="432"/>
  <c r="L36" i="411"/>
  <c r="K36" i="443"/>
  <c r="K33" i="432"/>
  <c r="F54" i="443"/>
  <c r="F41" i="432"/>
  <c r="S63" i="443"/>
  <c r="S89" i="432"/>
  <c r="L79" i="411"/>
  <c r="K79" i="443"/>
  <c r="K96" i="432"/>
  <c r="F83" i="443"/>
  <c r="F62" i="432"/>
  <c r="S86" i="443"/>
  <c r="S97" i="432"/>
  <c r="L91" i="411"/>
  <c r="K91" i="443"/>
  <c r="K112" i="432"/>
  <c r="F96" i="443"/>
  <c r="F100" i="432"/>
  <c r="S98" i="443"/>
  <c r="S53" i="432"/>
  <c r="F106" i="443"/>
  <c r="F67" i="432"/>
  <c r="D7" i="443"/>
  <c r="D20" i="432"/>
  <c r="D124" i="411"/>
  <c r="L17" i="411"/>
  <c r="K17" i="443"/>
  <c r="K6" i="432"/>
  <c r="K17" i="432" s="1"/>
  <c r="F60" i="443"/>
  <c r="F88" i="432"/>
  <c r="S85" i="443"/>
  <c r="S11" i="432"/>
  <c r="F6" i="443"/>
  <c r="F74" i="432"/>
  <c r="F75" i="432" s="1"/>
  <c r="F13" i="443"/>
  <c r="F70" i="432"/>
  <c r="S53" i="443"/>
  <c r="S40" i="432"/>
  <c r="L69" i="411"/>
  <c r="K69" i="443"/>
  <c r="K45" i="432"/>
  <c r="F73" i="443"/>
  <c r="F49" i="432"/>
  <c r="S76" i="443"/>
  <c r="S118" i="432"/>
  <c r="L100" i="411"/>
  <c r="K100" i="443"/>
  <c r="K143" i="432"/>
  <c r="K145" i="432" s="1"/>
  <c r="S12" i="443"/>
  <c r="S113" i="432"/>
  <c r="L23" i="411"/>
  <c r="K23" i="443"/>
  <c r="K63" i="432"/>
  <c r="F31" i="443"/>
  <c r="F80" i="432"/>
  <c r="S43" i="443"/>
  <c r="S85" i="432"/>
  <c r="L51" i="411"/>
  <c r="K51" i="443"/>
  <c r="K110" i="432"/>
  <c r="F77" i="443"/>
  <c r="F94" i="432"/>
  <c r="S111" i="443"/>
  <c r="S104" i="432"/>
  <c r="L115" i="411"/>
  <c r="K115" i="443"/>
  <c r="K131" i="432"/>
  <c r="K132" i="432" s="1"/>
  <c r="I16" i="97" s="1"/>
  <c r="S122" i="443"/>
  <c r="S16" i="432"/>
  <c r="S14" i="443"/>
  <c r="S25" i="432"/>
  <c r="L52" i="411"/>
  <c r="K52" i="443"/>
  <c r="K126" i="432"/>
  <c r="F19" i="443"/>
  <c r="F29" i="432"/>
  <c r="F63" i="411"/>
  <c r="D63" i="443"/>
  <c r="D89" i="432"/>
  <c r="S89" i="443"/>
  <c r="S111" i="432"/>
  <c r="S107" i="443"/>
  <c r="S56" i="432"/>
  <c r="S108" i="443"/>
  <c r="S102" i="432"/>
  <c r="S67" i="443"/>
  <c r="S91" i="432"/>
  <c r="F12" i="443"/>
  <c r="F113" i="432"/>
  <c r="S46" i="443"/>
  <c r="S86" i="432"/>
  <c r="L117" i="411"/>
  <c r="K117" i="443"/>
  <c r="K15" i="432"/>
  <c r="F5" i="443"/>
  <c r="F19" i="432"/>
  <c r="S9" i="443"/>
  <c r="S22" i="432"/>
  <c r="S18" i="443"/>
  <c r="S28" i="432"/>
  <c r="L30" i="411"/>
  <c r="K30" i="443"/>
  <c r="K79" i="432"/>
  <c r="F37" i="443"/>
  <c r="F83" i="432"/>
  <c r="S39" i="411"/>
  <c r="Q39" i="443"/>
  <c r="Q34" i="432"/>
  <c r="Q68" i="432" s="1"/>
  <c r="O8" i="97" s="1"/>
  <c r="L44" i="411"/>
  <c r="K44" i="443"/>
  <c r="K109" i="432"/>
  <c r="S49" i="443"/>
  <c r="S39" i="432"/>
  <c r="F58" i="443"/>
  <c r="F43" i="432"/>
  <c r="S62" i="443"/>
  <c r="S44" i="432"/>
  <c r="L78" i="411"/>
  <c r="K78" i="443"/>
  <c r="K95" i="432"/>
  <c r="F103" i="443"/>
  <c r="F127" i="432"/>
  <c r="K11" i="443"/>
  <c r="K24" i="432"/>
  <c r="F25" i="443"/>
  <c r="F108" i="432"/>
  <c r="S36" i="443"/>
  <c r="S33" i="432"/>
  <c r="L54" i="411"/>
  <c r="K54" i="443"/>
  <c r="K41" i="432"/>
  <c r="F64" i="443"/>
  <c r="F117" i="432"/>
  <c r="S79" i="443"/>
  <c r="S96" i="432"/>
  <c r="L83" i="411"/>
  <c r="K83" i="443"/>
  <c r="K62" i="432"/>
  <c r="F88" i="443"/>
  <c r="F119" i="432"/>
  <c r="S91" i="443"/>
  <c r="S112" i="432"/>
  <c r="L96" i="411"/>
  <c r="K96" i="443"/>
  <c r="K100" i="432"/>
  <c r="F101" i="443"/>
  <c r="F54" i="432"/>
  <c r="K106" i="443"/>
  <c r="K67" i="432"/>
  <c r="K7" i="443"/>
  <c r="K20" i="432"/>
  <c r="S17" i="443"/>
  <c r="S6" i="432"/>
  <c r="L60" i="411"/>
  <c r="K60" i="443"/>
  <c r="K88" i="432"/>
  <c r="F93" i="443"/>
  <c r="F12" i="432"/>
  <c r="K6" i="443"/>
  <c r="K74" i="432"/>
  <c r="K75" i="432" s="1"/>
  <c r="L13" i="411"/>
  <c r="K13" i="443"/>
  <c r="K70" i="432"/>
  <c r="F61" i="443"/>
  <c r="F65" i="432"/>
  <c r="S69" i="443"/>
  <c r="S45" i="432"/>
  <c r="L73" i="411"/>
  <c r="K73" i="443"/>
  <c r="K49" i="432"/>
  <c r="F87" i="443"/>
  <c r="F98" i="432"/>
  <c r="S100" i="443"/>
  <c r="S143" i="432"/>
  <c r="S145" i="432" s="1"/>
  <c r="D21" i="443"/>
  <c r="D8" i="432"/>
  <c r="S23" i="443"/>
  <c r="S63" i="432"/>
  <c r="L31" i="411"/>
  <c r="K31" i="443"/>
  <c r="K80" i="432"/>
  <c r="F45" i="443"/>
  <c r="F38" i="432"/>
  <c r="S51" i="443"/>
  <c r="S110" i="432"/>
  <c r="L77" i="411"/>
  <c r="K77" i="443"/>
  <c r="K94" i="432"/>
  <c r="F113" i="443"/>
  <c r="F59" i="432"/>
  <c r="S115" i="443"/>
  <c r="S131" i="432"/>
  <c r="S132" i="432" s="1"/>
  <c r="Q16" i="97" s="1"/>
  <c r="L118" i="411"/>
  <c r="K118" i="443"/>
  <c r="K122" i="432"/>
  <c r="F123" i="443"/>
  <c r="F60" i="432"/>
  <c r="V120" i="411"/>
  <c r="U120" i="443"/>
  <c r="U144" i="432"/>
  <c r="F34" i="443"/>
  <c r="F81" i="432"/>
  <c r="S59" i="443"/>
  <c r="S71" i="432"/>
  <c r="F99" i="411"/>
  <c r="D99" i="443"/>
  <c r="D121" i="432"/>
  <c r="L47" i="411"/>
  <c r="K47" i="443"/>
  <c r="K116" i="432"/>
  <c r="F86" i="443"/>
  <c r="F97" i="432"/>
  <c r="N104" i="443"/>
  <c r="N101" i="432"/>
  <c r="N105" i="432" s="1"/>
  <c r="L11" i="97" s="1"/>
  <c r="F85" i="443"/>
  <c r="F11" i="432"/>
  <c r="L71" i="411"/>
  <c r="K71" i="443"/>
  <c r="K47" i="432"/>
  <c r="L29" i="411"/>
  <c r="K29" i="443"/>
  <c r="K78" i="432"/>
  <c r="F111" i="443"/>
  <c r="F104" i="432"/>
  <c r="S114" i="443"/>
  <c r="S128" i="432"/>
  <c r="K5" i="443"/>
  <c r="K19" i="432"/>
  <c r="K124" i="411"/>
  <c r="F14" i="443"/>
  <c r="F25" i="432"/>
  <c r="F24" i="443"/>
  <c r="F107" i="432"/>
  <c r="S30" i="443"/>
  <c r="S79" i="432"/>
  <c r="L37" i="411"/>
  <c r="P37" i="411" s="1"/>
  <c r="K37" i="443"/>
  <c r="K83" i="432"/>
  <c r="F41" i="443"/>
  <c r="F36" i="432"/>
  <c r="N44" i="443"/>
  <c r="N109" i="432"/>
  <c r="N124" i="432" s="1"/>
  <c r="F50" i="443"/>
  <c r="F87" i="432"/>
  <c r="L58" i="411"/>
  <c r="K58" i="443"/>
  <c r="K43" i="432"/>
  <c r="F68" i="443"/>
  <c r="F92" i="432"/>
  <c r="S78" i="443"/>
  <c r="S95" i="432"/>
  <c r="K103" i="443"/>
  <c r="K127" i="432"/>
  <c r="S11" i="443"/>
  <c r="S24" i="432"/>
  <c r="L25" i="411"/>
  <c r="K25" i="443"/>
  <c r="K108" i="432"/>
  <c r="F40" i="443"/>
  <c r="F35" i="432"/>
  <c r="S54" i="443"/>
  <c r="S41" i="432"/>
  <c r="L64" i="411"/>
  <c r="K64" i="443"/>
  <c r="K117" i="432"/>
  <c r="F80" i="411"/>
  <c r="D80" i="443"/>
  <c r="D139" i="432"/>
  <c r="D141" i="432" s="1"/>
  <c r="S83" i="443"/>
  <c r="S62" i="432"/>
  <c r="L88" i="411"/>
  <c r="K88" i="443"/>
  <c r="K119" i="432"/>
  <c r="F92" i="443"/>
  <c r="F136" i="432"/>
  <c r="S96" i="443"/>
  <c r="S100" i="432"/>
  <c r="L101" i="411"/>
  <c r="K101" i="443"/>
  <c r="K54" i="432"/>
  <c r="S106" i="443"/>
  <c r="S67" i="432"/>
  <c r="N7" i="443"/>
  <c r="N20" i="432"/>
  <c r="N68" i="432" s="1"/>
  <c r="L8" i="97" s="1"/>
  <c r="F20" i="443"/>
  <c r="F7" i="432"/>
  <c r="S60" i="443"/>
  <c r="S88" i="432"/>
  <c r="L93" i="411"/>
  <c r="K93" i="443"/>
  <c r="K12" i="432"/>
  <c r="N6" i="443"/>
  <c r="N124" i="443" s="1"/>
  <c r="N74" i="432"/>
  <c r="N75" i="432" s="1"/>
  <c r="L10" i="97" s="1"/>
  <c r="N124" i="411"/>
  <c r="S13" i="443"/>
  <c r="S70" i="432"/>
  <c r="L61" i="411"/>
  <c r="K61" i="443"/>
  <c r="K65" i="432"/>
  <c r="F70" i="443"/>
  <c r="F46" i="432"/>
  <c r="S73" i="443"/>
  <c r="S49" i="432"/>
  <c r="L87" i="411"/>
  <c r="K87" i="443"/>
  <c r="K98" i="432"/>
  <c r="F105" i="443"/>
  <c r="F55" i="432"/>
  <c r="L21" i="411"/>
  <c r="K21" i="443"/>
  <c r="K8" i="432"/>
  <c r="F27" i="443"/>
  <c r="F114" i="432"/>
  <c r="S31" i="443"/>
  <c r="S80" i="432"/>
  <c r="L45" i="411"/>
  <c r="K45" i="443"/>
  <c r="K38" i="432"/>
  <c r="F57" i="443"/>
  <c r="F64" i="432"/>
  <c r="S77" i="443"/>
  <c r="S94" i="432"/>
  <c r="L113" i="411"/>
  <c r="K113" i="443"/>
  <c r="K59" i="432"/>
  <c r="F116" i="443"/>
  <c r="F14" i="432"/>
  <c r="S118" i="443"/>
  <c r="S122" i="432"/>
  <c r="L123" i="411"/>
  <c r="K123" i="443"/>
  <c r="K60" i="432"/>
  <c r="U119" i="411"/>
  <c r="T119" i="443"/>
  <c r="T123" i="432"/>
  <c r="L24" i="411"/>
  <c r="K24" i="443"/>
  <c r="K107" i="432"/>
  <c r="L68" i="411"/>
  <c r="K68" i="443"/>
  <c r="K92" i="432"/>
  <c r="F55" i="443"/>
  <c r="F42" i="432"/>
  <c r="L92" i="411"/>
  <c r="K92" i="443"/>
  <c r="K136" i="432"/>
  <c r="L20" i="411"/>
  <c r="K20" i="443"/>
  <c r="K7" i="432"/>
  <c r="F33" i="443"/>
  <c r="F115" i="432"/>
  <c r="S61" i="443"/>
  <c r="S65" i="432"/>
  <c r="L70" i="411"/>
  <c r="K70" i="443"/>
  <c r="K46" i="432"/>
  <c r="S87" i="443"/>
  <c r="S98" i="432"/>
  <c r="S21" i="443"/>
  <c r="S8" i="432"/>
  <c r="L27" i="411"/>
  <c r="K27" i="443"/>
  <c r="K114" i="432"/>
  <c r="F35" i="443"/>
  <c r="F82" i="432"/>
  <c r="S45" i="443"/>
  <c r="S38" i="432"/>
  <c r="L57" i="411"/>
  <c r="K57" i="443"/>
  <c r="K64" i="432"/>
  <c r="F81" i="443"/>
  <c r="F66" i="432"/>
  <c r="S113" i="443"/>
  <c r="S59" i="432"/>
  <c r="L116" i="411"/>
  <c r="K116" i="443"/>
  <c r="K14" i="432"/>
  <c r="F121" i="443"/>
  <c r="F140" i="432"/>
  <c r="S123" i="443"/>
  <c r="S60" i="432"/>
  <c r="L28" i="411"/>
  <c r="K28" i="443"/>
  <c r="K77" i="432"/>
  <c r="S5" i="443"/>
  <c r="S19" i="432"/>
  <c r="S37" i="443"/>
  <c r="S83" i="432"/>
  <c r="S44" i="443"/>
  <c r="S109" i="432"/>
  <c r="S58" i="443"/>
  <c r="S43" i="432"/>
  <c r="S103" i="443"/>
  <c r="S127" i="432"/>
  <c r="S25" i="443"/>
  <c r="S108" i="432"/>
  <c r="S64" i="443"/>
  <c r="S117" i="432"/>
  <c r="F84" i="443"/>
  <c r="F51" i="432"/>
  <c r="F97" i="443"/>
  <c r="F52" i="432"/>
  <c r="S7" i="443"/>
  <c r="S20" i="432"/>
  <c r="S93" i="443"/>
  <c r="S12" i="432"/>
  <c r="L105" i="411"/>
  <c r="K105" i="443"/>
  <c r="K55" i="432"/>
  <c r="L14" i="411"/>
  <c r="K14" i="443"/>
  <c r="K25" i="432"/>
  <c r="S24" i="443"/>
  <c r="S107" i="432"/>
  <c r="L32" i="411"/>
  <c r="K32" i="443"/>
  <c r="K32" i="432"/>
  <c r="F38" i="443"/>
  <c r="F84" i="432"/>
  <c r="S41" i="443"/>
  <c r="S36" i="432"/>
  <c r="F48" i="443"/>
  <c r="F134" i="432"/>
  <c r="F137" i="432" s="1"/>
  <c r="D14" i="97" s="1"/>
  <c r="S50" i="443"/>
  <c r="S87" i="432"/>
  <c r="F59" i="443"/>
  <c r="F71" i="432"/>
  <c r="S68" i="443"/>
  <c r="S92" i="432"/>
  <c r="L94" i="411"/>
  <c r="K94" i="443"/>
  <c r="K120" i="432"/>
  <c r="F110" i="443"/>
  <c r="F103" i="432"/>
  <c r="L16" i="411"/>
  <c r="K16" i="443"/>
  <c r="K27" i="432"/>
  <c r="F26" i="443"/>
  <c r="F31" i="432"/>
  <c r="S40" i="443"/>
  <c r="S35" i="432"/>
  <c r="L55" i="411"/>
  <c r="K55" i="443"/>
  <c r="K42" i="432"/>
  <c r="F72" i="443"/>
  <c r="F48" i="432"/>
  <c r="S80" i="443"/>
  <c r="S139" i="432"/>
  <c r="L84" i="411"/>
  <c r="K84" i="443"/>
  <c r="K51" i="432"/>
  <c r="D89" i="443"/>
  <c r="D111" i="432"/>
  <c r="S92" i="443"/>
  <c r="S136" i="432"/>
  <c r="L97" i="411"/>
  <c r="K97" i="443"/>
  <c r="K52" i="432"/>
  <c r="F104" i="443"/>
  <c r="F101" i="432"/>
  <c r="D107" i="443"/>
  <c r="D56" i="432"/>
  <c r="F10" i="443"/>
  <c r="F23" i="432"/>
  <c r="S20" i="443"/>
  <c r="S7" i="432"/>
  <c r="L66" i="411"/>
  <c r="K66" i="443"/>
  <c r="K10" i="432"/>
  <c r="F108" i="443"/>
  <c r="F102" i="432"/>
  <c r="AA6" i="443"/>
  <c r="AA74" i="432"/>
  <c r="AA75" i="432" s="1"/>
  <c r="Y10" i="97" s="1"/>
  <c r="L33" i="411"/>
  <c r="K33" i="443"/>
  <c r="K115" i="432"/>
  <c r="F67" i="443"/>
  <c r="F91" i="432"/>
  <c r="S70" i="443"/>
  <c r="S46" i="432"/>
  <c r="L74" i="411"/>
  <c r="K74" i="443"/>
  <c r="K50" i="432"/>
  <c r="F90" i="443"/>
  <c r="F135" i="432"/>
  <c r="S105" i="443"/>
  <c r="S55" i="432"/>
  <c r="F22" i="411"/>
  <c r="D22" i="443"/>
  <c r="D30" i="432"/>
  <c r="S27" i="443"/>
  <c r="S114" i="432"/>
  <c r="L35" i="411"/>
  <c r="K35" i="443"/>
  <c r="K82" i="432"/>
  <c r="F46" i="443"/>
  <c r="F86" i="432"/>
  <c r="S57" i="443"/>
  <c r="S64" i="432"/>
  <c r="L81" i="411"/>
  <c r="K81" i="443"/>
  <c r="K66" i="432"/>
  <c r="F114" i="443"/>
  <c r="F128" i="432"/>
  <c r="S116" i="443"/>
  <c r="S14" i="432"/>
  <c r="K121" i="443"/>
  <c r="K140" i="432"/>
  <c r="S38" i="443"/>
  <c r="S84" i="432"/>
  <c r="G14" i="443"/>
  <c r="G124" i="443" s="1"/>
  <c r="G25" i="432"/>
  <c r="G68" i="432" s="1"/>
  <c r="G124" i="411"/>
  <c r="F32" i="443"/>
  <c r="F32" i="432"/>
  <c r="L41" i="411"/>
  <c r="K41" i="443"/>
  <c r="K36" i="432"/>
  <c r="L50" i="411"/>
  <c r="K50" i="443"/>
  <c r="K87" i="432"/>
  <c r="F94" i="411"/>
  <c r="D94" i="443"/>
  <c r="D120" i="432"/>
  <c r="F16" i="443"/>
  <c r="F27" i="432"/>
  <c r="L40" i="411"/>
  <c r="K40" i="443"/>
  <c r="K35" i="432"/>
  <c r="L80" i="411"/>
  <c r="K80" i="443"/>
  <c r="K139" i="432"/>
  <c r="K141" i="432" s="1"/>
  <c r="S88" i="443"/>
  <c r="S119" i="432"/>
  <c r="S101" i="443"/>
  <c r="S54" i="432"/>
  <c r="U106" i="443"/>
  <c r="U67" i="432"/>
  <c r="D66" i="443"/>
  <c r="D10" i="432"/>
  <c r="S6" i="443"/>
  <c r="S74" i="432"/>
  <c r="S75" i="432" s="1"/>
  <c r="F74" i="443"/>
  <c r="F50" i="432"/>
  <c r="D15" i="443"/>
  <c r="D26" i="432"/>
  <c r="K15" i="443"/>
  <c r="K26" i="432"/>
  <c r="N14" i="443"/>
  <c r="N25" i="432"/>
  <c r="F28" i="443"/>
  <c r="F77" i="432"/>
  <c r="S32" i="443"/>
  <c r="S32" i="432"/>
  <c r="L38" i="411"/>
  <c r="K38" i="443"/>
  <c r="K84" i="432"/>
  <c r="F42" i="443"/>
  <c r="F37" i="432"/>
  <c r="L48" i="411"/>
  <c r="K48" i="443"/>
  <c r="K134" i="432"/>
  <c r="K137" i="432" s="1"/>
  <c r="I14" i="97" s="1"/>
  <c r="F52" i="443"/>
  <c r="F126" i="432"/>
  <c r="L59" i="411"/>
  <c r="K59" i="443"/>
  <c r="K71" i="432"/>
  <c r="F75" i="443"/>
  <c r="F93" i="432"/>
  <c r="S94" i="443"/>
  <c r="S120" i="432"/>
  <c r="K110" i="443"/>
  <c r="K103" i="432"/>
  <c r="S16" i="443"/>
  <c r="S27" i="432"/>
  <c r="L26" i="411"/>
  <c r="K26" i="443"/>
  <c r="K31" i="432"/>
  <c r="D47" i="443"/>
  <c r="D116" i="432"/>
  <c r="S55" i="443"/>
  <c r="S42" i="432"/>
  <c r="L72" i="411"/>
  <c r="K72" i="443"/>
  <c r="K48" i="432"/>
  <c r="F82" i="443"/>
  <c r="F61" i="432"/>
  <c r="S84" i="443"/>
  <c r="S51" i="432"/>
  <c r="L89" i="411"/>
  <c r="K89" i="443"/>
  <c r="K111" i="432"/>
  <c r="F95" i="443"/>
  <c r="F99" i="432"/>
  <c r="S97" i="443"/>
  <c r="S52" i="432"/>
  <c r="L104" i="411"/>
  <c r="K104" i="443"/>
  <c r="K101" i="432"/>
  <c r="K107" i="443"/>
  <c r="K56" i="432"/>
  <c r="L10" i="411"/>
  <c r="K10" i="443"/>
  <c r="K23" i="432"/>
  <c r="F56" i="443"/>
  <c r="F9" i="432"/>
  <c r="S66" i="443"/>
  <c r="S10" i="432"/>
  <c r="L108" i="411"/>
  <c r="K108" i="443"/>
  <c r="K102" i="432"/>
  <c r="F8" i="443"/>
  <c r="F21" i="432"/>
  <c r="S33" i="443"/>
  <c r="S115" i="432"/>
  <c r="L67" i="411"/>
  <c r="K67" i="443"/>
  <c r="K91" i="432"/>
  <c r="F71" i="443"/>
  <c r="F47" i="432"/>
  <c r="S74" i="443"/>
  <c r="S50" i="432"/>
  <c r="L90" i="411"/>
  <c r="K90" i="443"/>
  <c r="K135" i="432"/>
  <c r="V105" i="411"/>
  <c r="U105" i="443"/>
  <c r="U55" i="432"/>
  <c r="L22" i="411"/>
  <c r="K22" i="443"/>
  <c r="K30" i="432"/>
  <c r="F29" i="443"/>
  <c r="F78" i="432"/>
  <c r="S35" i="443"/>
  <c r="S82" i="432"/>
  <c r="L46" i="411"/>
  <c r="K46" i="443"/>
  <c r="K86" i="432"/>
  <c r="D65" i="443"/>
  <c r="D90" i="432"/>
  <c r="S81" i="443"/>
  <c r="S66" i="432"/>
  <c r="L114" i="411"/>
  <c r="K114" i="443"/>
  <c r="K128" i="432"/>
  <c r="S121" i="443"/>
  <c r="S140" i="432"/>
  <c r="O119" i="443"/>
  <c r="O123" i="432"/>
  <c r="F118" i="443"/>
  <c r="F122" i="432"/>
  <c r="F117" i="443"/>
  <c r="F15" i="432"/>
  <c r="F47" i="411"/>
  <c r="L6" i="411"/>
  <c r="L12" i="411"/>
  <c r="F21" i="411"/>
  <c r="F15" i="411"/>
  <c r="S65" i="411"/>
  <c r="F89" i="411"/>
  <c r="F107" i="411"/>
  <c r="L110" i="411"/>
  <c r="L107" i="411"/>
  <c r="V110" i="411"/>
  <c r="L86" i="411"/>
  <c r="V107" i="411"/>
  <c r="L85" i="411"/>
  <c r="L106" i="411"/>
  <c r="L103" i="411"/>
  <c r="V106" i="411"/>
  <c r="L121" i="411"/>
  <c r="S34" i="411"/>
  <c r="L5" i="411"/>
  <c r="C8" i="12"/>
  <c r="S82" i="411"/>
  <c r="P14" i="411"/>
  <c r="AA52" i="411"/>
  <c r="AA124" i="411" s="1"/>
  <c r="P91" i="411"/>
  <c r="P71" i="411"/>
  <c r="P39" i="411"/>
  <c r="P42" i="411"/>
  <c r="P48" i="411"/>
  <c r="P54" i="411"/>
  <c r="P28" i="411"/>
  <c r="P32" i="411"/>
  <c r="P58" i="411"/>
  <c r="P108" i="411"/>
  <c r="P18" i="411"/>
  <c r="P98" i="411"/>
  <c r="P34" i="411"/>
  <c r="P41" i="411"/>
  <c r="P52" i="411"/>
  <c r="P62" i="411"/>
  <c r="P75" i="411"/>
  <c r="P84" i="411"/>
  <c r="P59" i="411"/>
  <c r="P99" i="411"/>
  <c r="P47" i="411"/>
  <c r="P24" i="411"/>
  <c r="P36" i="411"/>
  <c r="P88" i="411"/>
  <c r="F49" i="411"/>
  <c r="P50" i="411"/>
  <c r="P26" i="411"/>
  <c r="P46" i="411"/>
  <c r="L11" i="411"/>
  <c r="P96" i="411"/>
  <c r="P60" i="411"/>
  <c r="P70" i="411"/>
  <c r="P82" i="411"/>
  <c r="P56" i="411"/>
  <c r="P53" i="411"/>
  <c r="P67" i="411"/>
  <c r="P73" i="411"/>
  <c r="P90" i="411"/>
  <c r="L9" i="411"/>
  <c r="P79" i="411"/>
  <c r="P92" i="411"/>
  <c r="F66" i="411"/>
  <c r="P35" i="411"/>
  <c r="L15" i="411"/>
  <c r="P72" i="411"/>
  <c r="F7" i="411"/>
  <c r="F124" i="411" s="1"/>
  <c r="P20" i="411"/>
  <c r="P61" i="411"/>
  <c r="P69" i="411"/>
  <c r="P87" i="411"/>
  <c r="P100" i="411"/>
  <c r="L7" i="411"/>
  <c r="P43" i="411"/>
  <c r="F65" i="411"/>
  <c r="L111" i="411"/>
  <c r="P37" i="443" l="1"/>
  <c r="P83" i="432"/>
  <c r="P92" i="443"/>
  <c r="P136" i="432"/>
  <c r="P48" i="443"/>
  <c r="P134" i="432"/>
  <c r="L86" i="443"/>
  <c r="L97" i="432"/>
  <c r="P80" i="411"/>
  <c r="L80" i="443"/>
  <c r="L139" i="432"/>
  <c r="P33" i="411"/>
  <c r="L33" i="443"/>
  <c r="L115" i="432"/>
  <c r="M20" i="411"/>
  <c r="P20" i="443"/>
  <c r="P7" i="432"/>
  <c r="P73" i="443"/>
  <c r="P49" i="432"/>
  <c r="P96" i="443"/>
  <c r="P100" i="432"/>
  <c r="P88" i="443"/>
  <c r="P119" i="432"/>
  <c r="P41" i="443"/>
  <c r="P36" i="432"/>
  <c r="P58" i="443"/>
  <c r="P43" i="432"/>
  <c r="P42" i="443"/>
  <c r="P37" i="432"/>
  <c r="S34" i="443"/>
  <c r="S81" i="432"/>
  <c r="V110" i="443"/>
  <c r="V103" i="432"/>
  <c r="L12" i="443"/>
  <c r="L113" i="432"/>
  <c r="L108" i="443"/>
  <c r="L102" i="432"/>
  <c r="P74" i="411"/>
  <c r="L74" i="443"/>
  <c r="L50" i="432"/>
  <c r="P55" i="411"/>
  <c r="L55" i="443"/>
  <c r="L42" i="432"/>
  <c r="L14" i="443"/>
  <c r="L25" i="432"/>
  <c r="S124" i="411"/>
  <c r="L20" i="443"/>
  <c r="L7" i="432"/>
  <c r="P68" i="411"/>
  <c r="L68" i="443"/>
  <c r="L92" i="432"/>
  <c r="P113" i="411"/>
  <c r="L113" i="443"/>
  <c r="L59" i="432"/>
  <c r="K124" i="443"/>
  <c r="L125" i="443" s="1"/>
  <c r="P125" i="443" s="1"/>
  <c r="P31" i="411"/>
  <c r="L31" i="443"/>
  <c r="L80" i="432"/>
  <c r="K72" i="432"/>
  <c r="I9" i="97" s="1"/>
  <c r="P23" i="411"/>
  <c r="L23" i="443"/>
  <c r="L63" i="432"/>
  <c r="U13" i="97"/>
  <c r="W146" i="432"/>
  <c r="P65" i="411"/>
  <c r="L65" i="443"/>
  <c r="L90" i="432"/>
  <c r="L98" i="443"/>
  <c r="L53" i="432"/>
  <c r="L34" i="443"/>
  <c r="L81" i="432"/>
  <c r="P90" i="443"/>
  <c r="P135" i="432"/>
  <c r="P66" i="411"/>
  <c r="L66" i="443"/>
  <c r="L10" i="432"/>
  <c r="P45" i="411"/>
  <c r="L45" i="443"/>
  <c r="L38" i="432"/>
  <c r="P29" i="411"/>
  <c r="L29" i="443"/>
  <c r="L78" i="432"/>
  <c r="P122" i="411"/>
  <c r="L122" i="443"/>
  <c r="L16" i="432"/>
  <c r="F65" i="443"/>
  <c r="F90" i="432"/>
  <c r="P67" i="443"/>
  <c r="P91" i="432"/>
  <c r="P36" i="443"/>
  <c r="P33" i="432"/>
  <c r="P34" i="443"/>
  <c r="P81" i="432"/>
  <c r="P39" i="443"/>
  <c r="P34" i="432"/>
  <c r="L121" i="443"/>
  <c r="L140" i="432"/>
  <c r="L107" i="443"/>
  <c r="L56" i="432"/>
  <c r="P6" i="411"/>
  <c r="L6" i="443"/>
  <c r="L74" i="432"/>
  <c r="L75" i="432" s="1"/>
  <c r="L67" i="443"/>
  <c r="L91" i="432"/>
  <c r="L26" i="443"/>
  <c r="L31" i="432"/>
  <c r="L48" i="443"/>
  <c r="L134" i="432"/>
  <c r="G146" i="432"/>
  <c r="E8" i="97"/>
  <c r="F22" i="443"/>
  <c r="F30" i="432"/>
  <c r="L84" i="443"/>
  <c r="L51" i="432"/>
  <c r="L70" i="443"/>
  <c r="L46" i="432"/>
  <c r="K124" i="432"/>
  <c r="I12" i="97" s="1"/>
  <c r="P123" i="411"/>
  <c r="L123" i="443"/>
  <c r="L60" i="432"/>
  <c r="F80" i="443"/>
  <c r="F139" i="432"/>
  <c r="F141" i="432" s="1"/>
  <c r="N146" i="432"/>
  <c r="L12" i="97"/>
  <c r="P77" i="411"/>
  <c r="L77" i="443"/>
  <c r="L94" i="432"/>
  <c r="L60" i="443"/>
  <c r="L88" i="432"/>
  <c r="S39" i="443"/>
  <c r="S34" i="432"/>
  <c r="S68" i="432" s="1"/>
  <c r="K129" i="432"/>
  <c r="I13" i="97" s="1"/>
  <c r="P51" i="411"/>
  <c r="L51" i="443"/>
  <c r="L110" i="432"/>
  <c r="P17" i="411"/>
  <c r="L17" i="443"/>
  <c r="L6" i="432"/>
  <c r="L39" i="443"/>
  <c r="L34" i="432"/>
  <c r="L18" i="443"/>
  <c r="L28" i="432"/>
  <c r="S137" i="432"/>
  <c r="Q14" i="97" s="1"/>
  <c r="L99" i="443"/>
  <c r="L121" i="432"/>
  <c r="L56" i="443"/>
  <c r="L9" i="432"/>
  <c r="P61" i="443"/>
  <c r="P65" i="432"/>
  <c r="M14" i="411"/>
  <c r="P14" i="443"/>
  <c r="P25" i="432"/>
  <c r="L5" i="443"/>
  <c r="L19" i="432"/>
  <c r="L124" i="411"/>
  <c r="V105" i="443"/>
  <c r="V55" i="432"/>
  <c r="P10" i="411"/>
  <c r="L10" i="443"/>
  <c r="L23" i="432"/>
  <c r="F94" i="443"/>
  <c r="F120" i="432"/>
  <c r="P16" i="411"/>
  <c r="L16" i="443"/>
  <c r="L27" i="432"/>
  <c r="K68" i="432"/>
  <c r="P98" i="443"/>
  <c r="P53" i="432"/>
  <c r="P110" i="411"/>
  <c r="L110" i="443"/>
  <c r="L103" i="432"/>
  <c r="F47" i="443"/>
  <c r="F116" i="432"/>
  <c r="L90" i="443"/>
  <c r="L135" i="432"/>
  <c r="L72" i="443"/>
  <c r="L48" i="432"/>
  <c r="P40" i="411"/>
  <c r="L40" i="443"/>
  <c r="L35" i="432"/>
  <c r="L50" i="443"/>
  <c r="L87" i="432"/>
  <c r="P97" i="411"/>
  <c r="L97" i="443"/>
  <c r="L52" i="432"/>
  <c r="S141" i="432"/>
  <c r="P27" i="411"/>
  <c r="L27" i="443"/>
  <c r="L114" i="432"/>
  <c r="L61" i="443"/>
  <c r="L65" i="432"/>
  <c r="P93" i="411"/>
  <c r="L93" i="443"/>
  <c r="L12" i="432"/>
  <c r="L71" i="443"/>
  <c r="L47" i="432"/>
  <c r="P118" i="411"/>
  <c r="L118" i="443"/>
  <c r="L122" i="432"/>
  <c r="P13" i="411"/>
  <c r="L13" i="443"/>
  <c r="L70" i="432"/>
  <c r="S17" i="432"/>
  <c r="L54" i="443"/>
  <c r="L41" i="432"/>
  <c r="P115" i="411"/>
  <c r="L115" i="443"/>
  <c r="L131" i="432"/>
  <c r="L132" i="432" s="1"/>
  <c r="J16" i="97" s="1"/>
  <c r="P60" i="443"/>
  <c r="P88" i="432"/>
  <c r="F21" i="443"/>
  <c r="F8" i="432"/>
  <c r="F72" i="432"/>
  <c r="D9" i="97" s="1"/>
  <c r="L76" i="443"/>
  <c r="L118" i="432"/>
  <c r="L11" i="443"/>
  <c r="L24" i="432"/>
  <c r="P24" i="443"/>
  <c r="P107" i="432"/>
  <c r="L7" i="443"/>
  <c r="L20" i="432"/>
  <c r="S82" i="443"/>
  <c r="S61" i="432"/>
  <c r="F107" i="443"/>
  <c r="F56" i="432"/>
  <c r="P89" i="411"/>
  <c r="L89" i="443"/>
  <c r="L111" i="432"/>
  <c r="L32" i="443"/>
  <c r="L32" i="432"/>
  <c r="P105" i="411"/>
  <c r="L105" i="443"/>
  <c r="L55" i="432"/>
  <c r="K105" i="432"/>
  <c r="I11" i="97" s="1"/>
  <c r="P57" i="411"/>
  <c r="L57" i="443"/>
  <c r="L64" i="432"/>
  <c r="L92" i="443"/>
  <c r="L136" i="432"/>
  <c r="L24" i="443"/>
  <c r="L107" i="432"/>
  <c r="L87" i="443"/>
  <c r="L98" i="432"/>
  <c r="S72" i="432"/>
  <c r="Q9" i="97" s="1"/>
  <c r="P25" i="411"/>
  <c r="L25" i="443"/>
  <c r="L108" i="432"/>
  <c r="L47" i="443"/>
  <c r="L116" i="432"/>
  <c r="D17" i="432"/>
  <c r="L73" i="443"/>
  <c r="L49" i="432"/>
  <c r="P83" i="411"/>
  <c r="L83" i="443"/>
  <c r="L62" i="432"/>
  <c r="L52" i="443"/>
  <c r="L126" i="432"/>
  <c r="L129" i="432" s="1"/>
  <c r="J13" i="97" s="1"/>
  <c r="I18" i="97"/>
  <c r="D68" i="432"/>
  <c r="L36" i="443"/>
  <c r="L33" i="432"/>
  <c r="O11" i="97"/>
  <c r="Q146" i="432"/>
  <c r="Q148" i="432" s="1"/>
  <c r="V108" i="443"/>
  <c r="V102" i="432"/>
  <c r="L75" i="443"/>
  <c r="L93" i="432"/>
  <c r="B15" i="97"/>
  <c r="P117" i="411"/>
  <c r="L117" i="443"/>
  <c r="L15" i="432"/>
  <c r="L8" i="443"/>
  <c r="L21" i="432"/>
  <c r="L111" i="443"/>
  <c r="L104" i="432"/>
  <c r="P79" i="443"/>
  <c r="P96" i="432"/>
  <c r="P53" i="443"/>
  <c r="P40" i="432"/>
  <c r="P84" i="443"/>
  <c r="P51" i="432"/>
  <c r="P76" i="411"/>
  <c r="P26" i="443"/>
  <c r="P31" i="432"/>
  <c r="P71" i="443"/>
  <c r="P47" i="432"/>
  <c r="L103" i="443"/>
  <c r="L127" i="432"/>
  <c r="P100" i="443"/>
  <c r="P143" i="432"/>
  <c r="P145" i="432" s="1"/>
  <c r="P15" i="411"/>
  <c r="L15" i="443"/>
  <c r="L26" i="432"/>
  <c r="P8" i="411"/>
  <c r="P50" i="443"/>
  <c r="P87" i="432"/>
  <c r="P99" i="443"/>
  <c r="P121" i="432"/>
  <c r="P75" i="443"/>
  <c r="P93" i="432"/>
  <c r="P18" i="443"/>
  <c r="P28" i="432"/>
  <c r="P28" i="443"/>
  <c r="P77" i="432"/>
  <c r="P91" i="443"/>
  <c r="P112" i="432"/>
  <c r="P106" i="411"/>
  <c r="L106" i="443"/>
  <c r="L67" i="432"/>
  <c r="F89" i="443"/>
  <c r="F111" i="432"/>
  <c r="F124" i="432" s="1"/>
  <c r="P22" i="411"/>
  <c r="L22" i="443"/>
  <c r="L30" i="432"/>
  <c r="P104" i="411"/>
  <c r="L104" i="443"/>
  <c r="L101" i="432"/>
  <c r="L59" i="443"/>
  <c r="L71" i="432"/>
  <c r="L35" i="443"/>
  <c r="L82" i="432"/>
  <c r="P94" i="411"/>
  <c r="L94" i="443"/>
  <c r="L120" i="432"/>
  <c r="S124" i="432"/>
  <c r="Q12" i="97" s="1"/>
  <c r="P116" i="411"/>
  <c r="L116" i="443"/>
  <c r="L14" i="432"/>
  <c r="L88" i="443"/>
  <c r="L119" i="432"/>
  <c r="P64" i="411"/>
  <c r="L64" i="443"/>
  <c r="L117" i="432"/>
  <c r="L96" i="443"/>
  <c r="L100" i="432"/>
  <c r="D105" i="432"/>
  <c r="B11" i="97" s="1"/>
  <c r="L69" i="443"/>
  <c r="L45" i="432"/>
  <c r="D124" i="443"/>
  <c r="F125" i="443" s="1"/>
  <c r="L79" i="443"/>
  <c r="L96" i="432"/>
  <c r="P49" i="411"/>
  <c r="L49" i="443"/>
  <c r="L39" i="432"/>
  <c r="Q124" i="443"/>
  <c r="Q126" i="443" s="1"/>
  <c r="P95" i="411"/>
  <c r="L95" i="443"/>
  <c r="L99" i="432"/>
  <c r="L43" i="443"/>
  <c r="L85" i="432"/>
  <c r="P19" i="411"/>
  <c r="L19" i="443"/>
  <c r="L29" i="432"/>
  <c r="L37" i="443"/>
  <c r="L83" i="432"/>
  <c r="F7" i="443"/>
  <c r="F124" i="443" s="1"/>
  <c r="F20" i="432"/>
  <c r="F68" i="432" s="1"/>
  <c r="P43" i="443"/>
  <c r="P85" i="432"/>
  <c r="P46" i="443"/>
  <c r="P86" i="432"/>
  <c r="V106" i="443"/>
  <c r="V67" i="432"/>
  <c r="P72" i="443"/>
  <c r="P48" i="432"/>
  <c r="P56" i="443"/>
  <c r="P9" i="432"/>
  <c r="P47" i="443"/>
  <c r="P116" i="432"/>
  <c r="P32" i="443"/>
  <c r="P32" i="432"/>
  <c r="P87" i="443"/>
  <c r="P98" i="432"/>
  <c r="P35" i="443"/>
  <c r="P82" i="432"/>
  <c r="P82" i="443"/>
  <c r="P61" i="432"/>
  <c r="F49" i="443"/>
  <c r="F39" i="432"/>
  <c r="P59" i="443"/>
  <c r="P71" i="432"/>
  <c r="P62" i="443"/>
  <c r="P44" i="432"/>
  <c r="M108" i="411"/>
  <c r="P108" i="443"/>
  <c r="P102" i="432"/>
  <c r="P54" i="443"/>
  <c r="P41" i="432"/>
  <c r="L85" i="443"/>
  <c r="L11" i="432"/>
  <c r="M65" i="411"/>
  <c r="S65" i="443"/>
  <c r="S124" i="443" s="1"/>
  <c r="S90" i="432"/>
  <c r="S105" i="432" s="1"/>
  <c r="L46" i="443"/>
  <c r="L86" i="432"/>
  <c r="F129" i="432"/>
  <c r="D13" i="97" s="1"/>
  <c r="L41" i="443"/>
  <c r="L36" i="432"/>
  <c r="P81" i="411"/>
  <c r="L81" i="443"/>
  <c r="L66" i="432"/>
  <c r="D124" i="432"/>
  <c r="B12" i="97" s="1"/>
  <c r="L28" i="443"/>
  <c r="L77" i="432"/>
  <c r="P101" i="411"/>
  <c r="L101" i="443"/>
  <c r="L54" i="432"/>
  <c r="V120" i="443"/>
  <c r="V144" i="432"/>
  <c r="Q18" i="97"/>
  <c r="P78" i="411"/>
  <c r="L78" i="443"/>
  <c r="L95" i="432"/>
  <c r="L100" i="443"/>
  <c r="L143" i="432"/>
  <c r="L145" i="432" s="1"/>
  <c r="L91" i="443"/>
  <c r="L112" i="432"/>
  <c r="P63" i="411"/>
  <c r="L63" i="443"/>
  <c r="L89" i="432"/>
  <c r="P69" i="443"/>
  <c r="P45" i="432"/>
  <c r="F66" i="443"/>
  <c r="F10" i="432"/>
  <c r="F17" i="432" s="1"/>
  <c r="L9" i="443"/>
  <c r="L22" i="432"/>
  <c r="P70" i="443"/>
  <c r="P46" i="432"/>
  <c r="P52" i="443"/>
  <c r="P126" i="432"/>
  <c r="AA52" i="443"/>
  <c r="AA124" i="443" s="1"/>
  <c r="AA126" i="432"/>
  <c r="AA129" i="432" s="1"/>
  <c r="V107" i="443"/>
  <c r="V56" i="432"/>
  <c r="F15" i="443"/>
  <c r="F26" i="432"/>
  <c r="P114" i="411"/>
  <c r="L114" i="443"/>
  <c r="L128" i="432"/>
  <c r="P38" i="411"/>
  <c r="L38" i="443"/>
  <c r="L84" i="432"/>
  <c r="V119" i="411"/>
  <c r="U119" i="443"/>
  <c r="U123" i="432"/>
  <c r="P21" i="411"/>
  <c r="L21" i="443"/>
  <c r="L8" i="432"/>
  <c r="L58" i="443"/>
  <c r="L43" i="432"/>
  <c r="F99" i="443"/>
  <c r="F121" i="432"/>
  <c r="P44" i="411"/>
  <c r="L44" i="443"/>
  <c r="L109" i="432"/>
  <c r="P30" i="411"/>
  <c r="L30" i="443"/>
  <c r="L79" i="432"/>
  <c r="F63" i="443"/>
  <c r="F89" i="432"/>
  <c r="F105" i="432" s="1"/>
  <c r="D11" i="97" s="1"/>
  <c r="L62" i="443"/>
  <c r="L44" i="432"/>
  <c r="L53" i="443"/>
  <c r="L40" i="432"/>
  <c r="S129" i="432"/>
  <c r="Q13" i="97" s="1"/>
  <c r="L82" i="443"/>
  <c r="L61" i="432"/>
  <c r="L42" i="443"/>
  <c r="L37" i="432"/>
  <c r="P5" i="411"/>
  <c r="P12" i="411"/>
  <c r="P103" i="411"/>
  <c r="P85" i="411"/>
  <c r="I8" i="12"/>
  <c r="M106" i="411"/>
  <c r="M110" i="411"/>
  <c r="P86" i="411"/>
  <c r="P107" i="411"/>
  <c r="P121" i="411"/>
  <c r="E8" i="12"/>
  <c r="W8" i="12"/>
  <c r="E15" i="68"/>
  <c r="V8" i="12"/>
  <c r="E14" i="68"/>
  <c r="T65" i="411"/>
  <c r="T14" i="411"/>
  <c r="M87" i="411"/>
  <c r="M15" i="411"/>
  <c r="M98" i="411"/>
  <c r="M69" i="411"/>
  <c r="M92" i="411"/>
  <c r="M73" i="411"/>
  <c r="M56" i="411"/>
  <c r="P11" i="411"/>
  <c r="M24" i="411"/>
  <c r="M99" i="411"/>
  <c r="M41" i="411"/>
  <c r="M32" i="411"/>
  <c r="M48" i="411"/>
  <c r="M72" i="411"/>
  <c r="M76" i="411"/>
  <c r="M50" i="411"/>
  <c r="M62" i="411"/>
  <c r="M71" i="411"/>
  <c r="M61" i="411"/>
  <c r="M8" i="411"/>
  <c r="M67" i="411"/>
  <c r="M70" i="411"/>
  <c r="M34" i="411"/>
  <c r="M28" i="411"/>
  <c r="M42" i="411"/>
  <c r="M91" i="411"/>
  <c r="O20" i="411"/>
  <c r="M6" i="411"/>
  <c r="M60" i="411"/>
  <c r="M59" i="411"/>
  <c r="M84" i="411"/>
  <c r="M35" i="411"/>
  <c r="M79" i="411"/>
  <c r="P9" i="411"/>
  <c r="M88" i="411"/>
  <c r="M52" i="411"/>
  <c r="M54" i="411"/>
  <c r="P7" i="411"/>
  <c r="M100" i="411"/>
  <c r="M82" i="411"/>
  <c r="M46" i="411"/>
  <c r="M47" i="411"/>
  <c r="M18" i="411"/>
  <c r="M39" i="411"/>
  <c r="M43" i="411"/>
  <c r="P111" i="411"/>
  <c r="M53" i="411"/>
  <c r="M36" i="411"/>
  <c r="M5" i="411"/>
  <c r="M90" i="411"/>
  <c r="M26" i="411"/>
  <c r="M58" i="411"/>
  <c r="M37" i="411"/>
  <c r="M96" i="411"/>
  <c r="M75" i="411"/>
  <c r="Q11" i="97" l="1"/>
  <c r="S146" i="432"/>
  <c r="D12" i="97"/>
  <c r="F146" i="432"/>
  <c r="O20" i="443"/>
  <c r="O7" i="432"/>
  <c r="O53" i="411"/>
  <c r="M53" i="443"/>
  <c r="M40" i="432"/>
  <c r="O28" i="411"/>
  <c r="M28" i="443"/>
  <c r="M77" i="432"/>
  <c r="O75" i="411"/>
  <c r="M75" i="443"/>
  <c r="M93" i="432"/>
  <c r="O52" i="411"/>
  <c r="M52" i="443"/>
  <c r="M126" i="432"/>
  <c r="M6" i="443"/>
  <c r="M74" i="432"/>
  <c r="M75" i="432" s="1"/>
  <c r="O8" i="411"/>
  <c r="M8" i="443"/>
  <c r="M21" i="432"/>
  <c r="O32" i="411"/>
  <c r="M32" i="443"/>
  <c r="M32" i="432"/>
  <c r="O69" i="411"/>
  <c r="M69" i="443"/>
  <c r="M45" i="432"/>
  <c r="M110" i="443"/>
  <c r="M103" i="432"/>
  <c r="P5" i="443"/>
  <c r="P19" i="432"/>
  <c r="P124" i="411"/>
  <c r="O65" i="411"/>
  <c r="M65" i="443"/>
  <c r="M90" i="432"/>
  <c r="P19" i="443"/>
  <c r="P29" i="432"/>
  <c r="M19" i="411"/>
  <c r="K146" i="432"/>
  <c r="L147" i="432" s="1"/>
  <c r="P147" i="432" s="1"/>
  <c r="P57" i="443"/>
  <c r="P64" i="432"/>
  <c r="M57" i="411"/>
  <c r="P27" i="443"/>
  <c r="P114" i="432"/>
  <c r="M27" i="411"/>
  <c r="P123" i="443"/>
  <c r="P60" i="432"/>
  <c r="M123" i="411"/>
  <c r="P29" i="443"/>
  <c r="P78" i="432"/>
  <c r="P105" i="432" s="1"/>
  <c r="N11" i="97" s="1"/>
  <c r="M29" i="411"/>
  <c r="P31" i="443"/>
  <c r="P80" i="432"/>
  <c r="M31" i="411"/>
  <c r="O36" i="411"/>
  <c r="M36" i="443"/>
  <c r="M33" i="432"/>
  <c r="M106" i="443"/>
  <c r="M67" i="432"/>
  <c r="V119" i="443"/>
  <c r="V123" i="432"/>
  <c r="P101" i="443"/>
  <c r="P54" i="432"/>
  <c r="M101" i="411"/>
  <c r="P49" i="443"/>
  <c r="P39" i="432"/>
  <c r="M49" i="411"/>
  <c r="P116" i="443"/>
  <c r="P14" i="432"/>
  <c r="M116" i="411"/>
  <c r="P89" i="443"/>
  <c r="P111" i="432"/>
  <c r="M89" i="411"/>
  <c r="L72" i="432"/>
  <c r="J9" i="97" s="1"/>
  <c r="P51" i="443"/>
  <c r="P110" i="432"/>
  <c r="M51" i="411"/>
  <c r="P77" i="443"/>
  <c r="P94" i="432"/>
  <c r="M77" i="411"/>
  <c r="M20" i="443"/>
  <c r="M7" i="432"/>
  <c r="O96" i="411"/>
  <c r="M96" i="443"/>
  <c r="M100" i="432"/>
  <c r="O61" i="411"/>
  <c r="M61" i="443"/>
  <c r="M65" i="432"/>
  <c r="O46" i="411"/>
  <c r="M46" i="443"/>
  <c r="M86" i="432"/>
  <c r="O71" i="411"/>
  <c r="M71" i="443"/>
  <c r="M47" i="432"/>
  <c r="O98" i="411"/>
  <c r="M98" i="443"/>
  <c r="M53" i="432"/>
  <c r="P78" i="443"/>
  <c r="P95" i="432"/>
  <c r="M78" i="411"/>
  <c r="L105" i="432"/>
  <c r="J11" i="97" s="1"/>
  <c r="P8" i="443"/>
  <c r="P21" i="432"/>
  <c r="L124" i="432"/>
  <c r="J12" i="97" s="1"/>
  <c r="P16" i="443"/>
  <c r="P27" i="432"/>
  <c r="M16" i="411"/>
  <c r="P74" i="443"/>
  <c r="P50" i="432"/>
  <c r="M74" i="411"/>
  <c r="P137" i="432"/>
  <c r="N14" i="97" s="1"/>
  <c r="O41" i="411"/>
  <c r="M41" i="443"/>
  <c r="M36" i="432"/>
  <c r="O91" i="411"/>
  <c r="M91" i="443"/>
  <c r="M112" i="432"/>
  <c r="O99" i="411"/>
  <c r="M99" i="443"/>
  <c r="M121" i="432"/>
  <c r="O37" i="411"/>
  <c r="M37" i="443"/>
  <c r="M83" i="432"/>
  <c r="O82" i="411"/>
  <c r="M82" i="443"/>
  <c r="M61" i="432"/>
  <c r="O79" i="411"/>
  <c r="M79" i="443"/>
  <c r="M96" i="432"/>
  <c r="O42" i="411"/>
  <c r="M42" i="443"/>
  <c r="M37" i="432"/>
  <c r="O62" i="411"/>
  <c r="M62" i="443"/>
  <c r="M44" i="432"/>
  <c r="O24" i="411"/>
  <c r="M24" i="443"/>
  <c r="M107" i="432"/>
  <c r="O15" i="411"/>
  <c r="M15" i="443"/>
  <c r="M26" i="432"/>
  <c r="P85" i="443"/>
  <c r="P11" i="432"/>
  <c r="P63" i="443"/>
  <c r="P89" i="432"/>
  <c r="M63" i="411"/>
  <c r="P117" i="443"/>
  <c r="P15" i="432"/>
  <c r="M117" i="411"/>
  <c r="P13" i="443"/>
  <c r="P70" i="432"/>
  <c r="P72" i="432" s="1"/>
  <c r="N9" i="97" s="1"/>
  <c r="M13" i="411"/>
  <c r="P93" i="443"/>
  <c r="P12" i="432"/>
  <c r="M93" i="411"/>
  <c r="P40" i="443"/>
  <c r="P35" i="432"/>
  <c r="M40" i="411"/>
  <c r="L68" i="432"/>
  <c r="P45" i="443"/>
  <c r="P38" i="432"/>
  <c r="M45" i="411"/>
  <c r="O100" i="411"/>
  <c r="M100" i="443"/>
  <c r="M143" i="432"/>
  <c r="M145" i="432" s="1"/>
  <c r="O87" i="411"/>
  <c r="M87" i="443"/>
  <c r="M98" i="432"/>
  <c r="P103" i="443"/>
  <c r="P127" i="432"/>
  <c r="P38" i="443"/>
  <c r="P84" i="432"/>
  <c r="M38" i="411"/>
  <c r="P64" i="443"/>
  <c r="P117" i="432"/>
  <c r="M64" i="411"/>
  <c r="P104" i="443"/>
  <c r="P101" i="432"/>
  <c r="M104" i="411"/>
  <c r="P105" i="443"/>
  <c r="P55" i="432"/>
  <c r="M105" i="411"/>
  <c r="P110" i="443"/>
  <c r="P103" i="432"/>
  <c r="L124" i="443"/>
  <c r="L17" i="432"/>
  <c r="L137" i="432"/>
  <c r="J14" i="97" s="1"/>
  <c r="P6" i="443"/>
  <c r="P74" i="432"/>
  <c r="P75" i="432" s="1"/>
  <c r="P23" i="443"/>
  <c r="P63" i="432"/>
  <c r="M23" i="411"/>
  <c r="P113" i="443"/>
  <c r="P59" i="432"/>
  <c r="M113" i="411"/>
  <c r="P33" i="443"/>
  <c r="P115" i="432"/>
  <c r="M33" i="411"/>
  <c r="P9" i="443"/>
  <c r="P22" i="432"/>
  <c r="O35" i="411"/>
  <c r="M35" i="443"/>
  <c r="M82" i="432"/>
  <c r="U14" i="411"/>
  <c r="T14" i="443"/>
  <c r="T25" i="432"/>
  <c r="P121" i="443"/>
  <c r="P140" i="432"/>
  <c r="P30" i="443"/>
  <c r="P79" i="432"/>
  <c r="M30" i="411"/>
  <c r="T30" i="411" s="1"/>
  <c r="O26" i="411"/>
  <c r="M26" i="443"/>
  <c r="M31" i="432"/>
  <c r="O43" i="411"/>
  <c r="M43" i="443"/>
  <c r="M85" i="432"/>
  <c r="P7" i="443"/>
  <c r="P20" i="432"/>
  <c r="O84" i="411"/>
  <c r="M84" i="443"/>
  <c r="M51" i="432"/>
  <c r="O34" i="411"/>
  <c r="M34" i="443"/>
  <c r="M81" i="432"/>
  <c r="O76" i="411"/>
  <c r="M76" i="443"/>
  <c r="M118" i="432"/>
  <c r="O56" i="411"/>
  <c r="M56" i="443"/>
  <c r="M9" i="432"/>
  <c r="U65" i="411"/>
  <c r="T65" i="443"/>
  <c r="T90" i="432"/>
  <c r="T101" i="411"/>
  <c r="Y13" i="97"/>
  <c r="AA146" i="432"/>
  <c r="P95" i="443"/>
  <c r="P99" i="432"/>
  <c r="M95" i="411"/>
  <c r="P94" i="443"/>
  <c r="P120" i="432"/>
  <c r="M94" i="411"/>
  <c r="P106" i="443"/>
  <c r="P67" i="432"/>
  <c r="P15" i="443"/>
  <c r="P26" i="432"/>
  <c r="D146" i="432"/>
  <c r="F147" i="432" s="1"/>
  <c r="P115" i="443"/>
  <c r="P131" i="432"/>
  <c r="P132" i="432" s="1"/>
  <c r="N16" i="97" s="1"/>
  <c r="M115" i="411"/>
  <c r="P97" i="443"/>
  <c r="P52" i="432"/>
  <c r="M97" i="411"/>
  <c r="P122" i="443"/>
  <c r="P16" i="432"/>
  <c r="M122" i="411"/>
  <c r="L141" i="432"/>
  <c r="O88" i="411"/>
  <c r="M88" i="443"/>
  <c r="M119" i="432"/>
  <c r="O58" i="411"/>
  <c r="M58" i="443"/>
  <c r="M43" i="432"/>
  <c r="O50" i="411"/>
  <c r="M50" i="443"/>
  <c r="M87" i="432"/>
  <c r="O90" i="411"/>
  <c r="M90" i="443"/>
  <c r="M135" i="432"/>
  <c r="O39" i="411"/>
  <c r="M39" i="443"/>
  <c r="M34" i="432"/>
  <c r="O59" i="411"/>
  <c r="M59" i="443"/>
  <c r="M71" i="432"/>
  <c r="O70" i="411"/>
  <c r="M70" i="443"/>
  <c r="M46" i="432"/>
  <c r="O72" i="411"/>
  <c r="M72" i="443"/>
  <c r="M48" i="432"/>
  <c r="O73" i="411"/>
  <c r="M73" i="443"/>
  <c r="M49" i="432"/>
  <c r="P107" i="443"/>
  <c r="P56" i="432"/>
  <c r="P12" i="443"/>
  <c r="P113" i="432"/>
  <c r="P21" i="443"/>
  <c r="P8" i="432"/>
  <c r="M21" i="411"/>
  <c r="J18" i="97"/>
  <c r="N18" i="97"/>
  <c r="P76" i="443"/>
  <c r="P118" i="432"/>
  <c r="P83" i="443"/>
  <c r="P62" i="432"/>
  <c r="M83" i="411"/>
  <c r="P25" i="443"/>
  <c r="P108" i="432"/>
  <c r="P124" i="432" s="1"/>
  <c r="N12" i="97" s="1"/>
  <c r="M25" i="411"/>
  <c r="P118" i="443"/>
  <c r="P122" i="432"/>
  <c r="M118" i="411"/>
  <c r="P17" i="443"/>
  <c r="P6" i="432"/>
  <c r="M17" i="411"/>
  <c r="P66" i="443"/>
  <c r="P10" i="432"/>
  <c r="M66" i="411"/>
  <c r="O47" i="411"/>
  <c r="M47" i="443"/>
  <c r="M116" i="432"/>
  <c r="P111" i="443"/>
  <c r="P104" i="432"/>
  <c r="P11" i="443"/>
  <c r="P24" i="432"/>
  <c r="M5" i="443"/>
  <c r="M19" i="432"/>
  <c r="O18" i="411"/>
  <c r="M18" i="443"/>
  <c r="M28" i="432"/>
  <c r="O54" i="411"/>
  <c r="M54" i="443"/>
  <c r="M41" i="432"/>
  <c r="O60" i="411"/>
  <c r="M60" i="443"/>
  <c r="M88" i="432"/>
  <c r="O67" i="411"/>
  <c r="M67" i="443"/>
  <c r="M91" i="432"/>
  <c r="O48" i="411"/>
  <c r="M48" i="443"/>
  <c r="M134" i="432"/>
  <c r="O92" i="411"/>
  <c r="M92" i="443"/>
  <c r="M136" i="432"/>
  <c r="P86" i="443"/>
  <c r="P97" i="432"/>
  <c r="P44" i="443"/>
  <c r="P109" i="432"/>
  <c r="M44" i="411"/>
  <c r="P114" i="443"/>
  <c r="P128" i="432"/>
  <c r="M114" i="411"/>
  <c r="P129" i="432"/>
  <c r="N13" i="97" s="1"/>
  <c r="P81" i="443"/>
  <c r="P66" i="432"/>
  <c r="M81" i="411"/>
  <c r="O108" i="411"/>
  <c r="M108" i="443"/>
  <c r="M102" i="432"/>
  <c r="P22" i="443"/>
  <c r="P30" i="432"/>
  <c r="M22" i="411"/>
  <c r="P10" i="443"/>
  <c r="P23" i="432"/>
  <c r="M10" i="411"/>
  <c r="O14" i="411"/>
  <c r="M14" i="443"/>
  <c r="M25" i="432"/>
  <c r="P65" i="443"/>
  <c r="P90" i="432"/>
  <c r="P68" i="443"/>
  <c r="P92" i="432"/>
  <c r="M68" i="411"/>
  <c r="P55" i="443"/>
  <c r="P42" i="432"/>
  <c r="M55" i="411"/>
  <c r="P80" i="443"/>
  <c r="P139" i="432"/>
  <c r="M80" i="411"/>
  <c r="T6" i="411"/>
  <c r="M12" i="411"/>
  <c r="L8" i="12"/>
  <c r="M107" i="411"/>
  <c r="O110" i="411"/>
  <c r="M85" i="411"/>
  <c r="M86" i="411"/>
  <c r="O106" i="411"/>
  <c r="M103" i="411"/>
  <c r="M121" i="411"/>
  <c r="T5" i="411"/>
  <c r="U8" i="12"/>
  <c r="E13" i="68"/>
  <c r="E16" i="68"/>
  <c r="X8" i="12"/>
  <c r="Q8" i="12"/>
  <c r="H8" i="12"/>
  <c r="F8" i="12"/>
  <c r="L125" i="411"/>
  <c r="P125" i="411" s="1"/>
  <c r="T15" i="411"/>
  <c r="T100" i="411"/>
  <c r="T54" i="411"/>
  <c r="T96" i="411"/>
  <c r="T18" i="411"/>
  <c r="T26" i="411"/>
  <c r="T48" i="411"/>
  <c r="T36" i="411"/>
  <c r="T88" i="411"/>
  <c r="T87" i="411"/>
  <c r="T53" i="411"/>
  <c r="T84" i="411"/>
  <c r="T41" i="411"/>
  <c r="T99" i="411"/>
  <c r="T24" i="411"/>
  <c r="T69" i="411"/>
  <c r="T61" i="411"/>
  <c r="T92" i="411"/>
  <c r="T98" i="411"/>
  <c r="T59" i="411"/>
  <c r="T58" i="411"/>
  <c r="T60" i="411"/>
  <c r="T34" i="411"/>
  <c r="T50" i="411"/>
  <c r="T75" i="411"/>
  <c r="T76" i="411"/>
  <c r="U6" i="411"/>
  <c r="T20" i="411"/>
  <c r="T32" i="411"/>
  <c r="M11" i="411"/>
  <c r="U5" i="411"/>
  <c r="T43" i="411"/>
  <c r="T47" i="411"/>
  <c r="M9" i="411"/>
  <c r="T35" i="411"/>
  <c r="T91" i="411"/>
  <c r="T70" i="411"/>
  <c r="T71" i="411"/>
  <c r="T72" i="411"/>
  <c r="T56" i="411"/>
  <c r="T39" i="411"/>
  <c r="T46" i="411"/>
  <c r="M7" i="411"/>
  <c r="T79" i="411"/>
  <c r="T42" i="411"/>
  <c r="T67" i="411"/>
  <c r="T62" i="411"/>
  <c r="T73" i="411"/>
  <c r="T37" i="411"/>
  <c r="T90" i="411"/>
  <c r="M111" i="411"/>
  <c r="T82" i="411"/>
  <c r="T52" i="411"/>
  <c r="O6" i="411"/>
  <c r="T28" i="411"/>
  <c r="T8" i="411"/>
  <c r="O5" i="411"/>
  <c r="U30" i="411" l="1"/>
  <c r="T30" i="443"/>
  <c r="T79" i="432"/>
  <c r="U98" i="411"/>
  <c r="T98" i="443"/>
  <c r="T53" i="432"/>
  <c r="U50" i="411"/>
  <c r="T50" i="443"/>
  <c r="T87" i="432"/>
  <c r="O67" i="443"/>
  <c r="O91" i="432"/>
  <c r="L146" i="432"/>
  <c r="O56" i="443"/>
  <c r="O9" i="432"/>
  <c r="K18" i="97"/>
  <c r="O31" i="411"/>
  <c r="M31" i="443"/>
  <c r="M80" i="432"/>
  <c r="T31" i="411"/>
  <c r="U52" i="411"/>
  <c r="T52" i="443"/>
  <c r="T126" i="432"/>
  <c r="U42" i="411"/>
  <c r="T42" i="443"/>
  <c r="T37" i="432"/>
  <c r="U70" i="411"/>
  <c r="T70" i="443"/>
  <c r="T46" i="432"/>
  <c r="U32" i="411"/>
  <c r="T32" i="443"/>
  <c r="T32" i="432"/>
  <c r="U58" i="411"/>
  <c r="T58" i="443"/>
  <c r="T43" i="432"/>
  <c r="U41" i="411"/>
  <c r="T41" i="443"/>
  <c r="T36" i="432"/>
  <c r="U18" i="411"/>
  <c r="T18" i="443"/>
  <c r="T28" i="432"/>
  <c r="M103" i="443"/>
  <c r="M127" i="432"/>
  <c r="T6" i="443"/>
  <c r="T74" i="432"/>
  <c r="T75" i="432" s="1"/>
  <c r="O68" i="411"/>
  <c r="M68" i="443"/>
  <c r="M92" i="432"/>
  <c r="T68" i="411"/>
  <c r="T10" i="411"/>
  <c r="M10" i="443"/>
  <c r="M23" i="432"/>
  <c r="O10" i="411"/>
  <c r="O108" i="443"/>
  <c r="O102" i="432"/>
  <c r="O44" i="411"/>
  <c r="M44" i="443"/>
  <c r="M109" i="432"/>
  <c r="T44" i="411"/>
  <c r="M137" i="432"/>
  <c r="K14" i="97" s="1"/>
  <c r="O60" i="443"/>
  <c r="O88" i="432"/>
  <c r="O47" i="443"/>
  <c r="O116" i="432"/>
  <c r="O59" i="443"/>
  <c r="O71" i="432"/>
  <c r="O76" i="443"/>
  <c r="O118" i="432"/>
  <c r="T45" i="411"/>
  <c r="M45" i="443"/>
  <c r="M38" i="432"/>
  <c r="O45" i="411"/>
  <c r="O63" i="411"/>
  <c r="M63" i="443"/>
  <c r="M89" i="432"/>
  <c r="T63" i="411"/>
  <c r="O42" i="443"/>
  <c r="O37" i="432"/>
  <c r="T49" i="411"/>
  <c r="M49" i="443"/>
  <c r="M39" i="432"/>
  <c r="O49" i="411"/>
  <c r="O29" i="411"/>
  <c r="M29" i="443"/>
  <c r="M78" i="432"/>
  <c r="M105" i="432" s="1"/>
  <c r="K11" i="97" s="1"/>
  <c r="T29" i="411"/>
  <c r="O53" i="443"/>
  <c r="O40" i="432"/>
  <c r="U54" i="411"/>
  <c r="T54" i="443"/>
  <c r="T41" i="432"/>
  <c r="U56" i="411"/>
  <c r="T56" i="443"/>
  <c r="T9" i="432"/>
  <c r="P17" i="432"/>
  <c r="O70" i="443"/>
  <c r="O46" i="432"/>
  <c r="U82" i="411"/>
  <c r="T82" i="443"/>
  <c r="T61" i="432"/>
  <c r="U79" i="411"/>
  <c r="T79" i="443"/>
  <c r="T96" i="432"/>
  <c r="U91" i="411"/>
  <c r="T91" i="443"/>
  <c r="T112" i="432"/>
  <c r="U20" i="411"/>
  <c r="T20" i="443"/>
  <c r="T7" i="432"/>
  <c r="U59" i="411"/>
  <c r="T59" i="443"/>
  <c r="T71" i="432"/>
  <c r="U84" i="411"/>
  <c r="T84" i="443"/>
  <c r="T51" i="432"/>
  <c r="U96" i="411"/>
  <c r="T96" i="443"/>
  <c r="T100" i="432"/>
  <c r="O106" i="443"/>
  <c r="O67" i="432"/>
  <c r="O81" i="411"/>
  <c r="M81" i="443"/>
  <c r="M66" i="432"/>
  <c r="T81" i="411"/>
  <c r="O66" i="411"/>
  <c r="M66" i="443"/>
  <c r="M10" i="432"/>
  <c r="T66" i="411"/>
  <c r="O50" i="443"/>
  <c r="O87" i="432"/>
  <c r="T122" i="411"/>
  <c r="M122" i="443"/>
  <c r="M16" i="432"/>
  <c r="O122" i="411"/>
  <c r="O35" i="443"/>
  <c r="O82" i="432"/>
  <c r="O37" i="443"/>
  <c r="O83" i="432"/>
  <c r="O46" i="443"/>
  <c r="O86" i="432"/>
  <c r="M7" i="443"/>
  <c r="M20" i="432"/>
  <c r="M86" i="443"/>
  <c r="M97" i="432"/>
  <c r="O72" i="443"/>
  <c r="O48" i="432"/>
  <c r="V65" i="411"/>
  <c r="U65" i="443"/>
  <c r="U90" i="432"/>
  <c r="T23" i="411"/>
  <c r="M23" i="443"/>
  <c r="M63" i="432"/>
  <c r="O23" i="411"/>
  <c r="O64" i="411"/>
  <c r="M64" i="443"/>
  <c r="M117" i="432"/>
  <c r="T64" i="411"/>
  <c r="O89" i="411"/>
  <c r="M89" i="443"/>
  <c r="M111" i="432"/>
  <c r="T89" i="411"/>
  <c r="O8" i="443"/>
  <c r="O21" i="432"/>
  <c r="U90" i="411"/>
  <c r="T90" i="443"/>
  <c r="T135" i="432"/>
  <c r="U46" i="411"/>
  <c r="T46" i="443"/>
  <c r="T86" i="432"/>
  <c r="M9" i="443"/>
  <c r="M22" i="432"/>
  <c r="U76" i="411"/>
  <c r="T76" i="443"/>
  <c r="T118" i="432"/>
  <c r="U92" i="411"/>
  <c r="T92" i="443"/>
  <c r="T136" i="432"/>
  <c r="U87" i="411"/>
  <c r="T87" i="443"/>
  <c r="T98" i="432"/>
  <c r="U100" i="411"/>
  <c r="T100" i="443"/>
  <c r="T143" i="432"/>
  <c r="T145" i="432" s="1"/>
  <c r="M85" i="443"/>
  <c r="M11" i="432"/>
  <c r="P141" i="432"/>
  <c r="O22" i="411"/>
  <c r="M22" i="443"/>
  <c r="M30" i="432"/>
  <c r="T22" i="411"/>
  <c r="O54" i="443"/>
  <c r="O41" i="432"/>
  <c r="O39" i="443"/>
  <c r="O34" i="432"/>
  <c r="O34" i="443"/>
  <c r="O81" i="432"/>
  <c r="O43" i="443"/>
  <c r="O85" i="432"/>
  <c r="O79" i="443"/>
  <c r="O96" i="432"/>
  <c r="O98" i="443"/>
  <c r="O53" i="432"/>
  <c r="T77" i="411"/>
  <c r="M77" i="443"/>
  <c r="M94" i="432"/>
  <c r="O77" i="411"/>
  <c r="O101" i="411"/>
  <c r="M101" i="443"/>
  <c r="M54" i="432"/>
  <c r="T123" i="411"/>
  <c r="M123" i="443"/>
  <c r="M60" i="432"/>
  <c r="M68" i="432" s="1"/>
  <c r="O123" i="411"/>
  <c r="U6" i="443"/>
  <c r="U74" i="432"/>
  <c r="U75" i="432" s="1"/>
  <c r="O48" i="443"/>
  <c r="O134" i="432"/>
  <c r="T13" i="411"/>
  <c r="M13" i="443"/>
  <c r="M124" i="443" s="1"/>
  <c r="T125" i="443" s="1"/>
  <c r="U125" i="443" s="1"/>
  <c r="M70" i="432"/>
  <c r="M72" i="432" s="1"/>
  <c r="K9" i="97" s="1"/>
  <c r="O13" i="411"/>
  <c r="O24" i="443"/>
  <c r="O107" i="432"/>
  <c r="O41" i="443"/>
  <c r="O36" i="432"/>
  <c r="O57" i="411"/>
  <c r="M57" i="443"/>
  <c r="M64" i="432"/>
  <c r="T57" i="411"/>
  <c r="O75" i="443"/>
  <c r="O93" i="432"/>
  <c r="O5" i="443"/>
  <c r="O19" i="432"/>
  <c r="U37" i="411"/>
  <c r="T37" i="443"/>
  <c r="T83" i="432"/>
  <c r="U39" i="411"/>
  <c r="T39" i="443"/>
  <c r="T34" i="432"/>
  <c r="U47" i="411"/>
  <c r="T47" i="443"/>
  <c r="T116" i="432"/>
  <c r="U75" i="411"/>
  <c r="T75" i="443"/>
  <c r="T93" i="432"/>
  <c r="U61" i="411"/>
  <c r="T61" i="443"/>
  <c r="T65" i="432"/>
  <c r="U88" i="411"/>
  <c r="T88" i="443"/>
  <c r="T119" i="432"/>
  <c r="U15" i="411"/>
  <c r="T15" i="443"/>
  <c r="T26" i="432"/>
  <c r="O110" i="443"/>
  <c r="O103" i="432"/>
  <c r="T17" i="411"/>
  <c r="M17" i="443"/>
  <c r="M6" i="432"/>
  <c r="M17" i="432" s="1"/>
  <c r="O17" i="411"/>
  <c r="O58" i="443"/>
  <c r="O43" i="432"/>
  <c r="O97" i="411"/>
  <c r="M97" i="443"/>
  <c r="M52" i="432"/>
  <c r="T97" i="411"/>
  <c r="T33" i="411"/>
  <c r="M33" i="443"/>
  <c r="M115" i="432"/>
  <c r="O33" i="411"/>
  <c r="O105" i="411"/>
  <c r="M105" i="443"/>
  <c r="M55" i="432"/>
  <c r="O87" i="443"/>
  <c r="O98" i="432"/>
  <c r="T40" i="411"/>
  <c r="M40" i="443"/>
  <c r="M35" i="432"/>
  <c r="O40" i="411"/>
  <c r="O99" i="443"/>
  <c r="O121" i="432"/>
  <c r="T74" i="411"/>
  <c r="M74" i="443"/>
  <c r="M50" i="432"/>
  <c r="O74" i="411"/>
  <c r="O61" i="443"/>
  <c r="O65" i="432"/>
  <c r="O36" i="443"/>
  <c r="O33" i="432"/>
  <c r="O65" i="443"/>
  <c r="O90" i="432"/>
  <c r="O69" i="443"/>
  <c r="O45" i="432"/>
  <c r="U35" i="411"/>
  <c r="T35" i="443"/>
  <c r="T82" i="432"/>
  <c r="U8" i="411"/>
  <c r="T8" i="443"/>
  <c r="T21" i="432"/>
  <c r="T116" i="411"/>
  <c r="M116" i="443"/>
  <c r="M14" i="432"/>
  <c r="O116" i="411"/>
  <c r="O28" i="443"/>
  <c r="O77" i="432"/>
  <c r="M111" i="443"/>
  <c r="M104" i="432"/>
  <c r="O95" i="411"/>
  <c r="M95" i="443"/>
  <c r="M99" i="432"/>
  <c r="T95" i="411"/>
  <c r="U73" i="411"/>
  <c r="T73" i="443"/>
  <c r="T49" i="432"/>
  <c r="U69" i="411"/>
  <c r="T69" i="443"/>
  <c r="T45" i="432"/>
  <c r="M107" i="443"/>
  <c r="M56" i="432"/>
  <c r="T55" i="411"/>
  <c r="M55" i="443"/>
  <c r="M42" i="432"/>
  <c r="O55" i="411"/>
  <c r="O114" i="411"/>
  <c r="M114" i="443"/>
  <c r="M128" i="432"/>
  <c r="M129" i="432" s="1"/>
  <c r="K13" i="97" s="1"/>
  <c r="T114" i="411"/>
  <c r="O83" i="411"/>
  <c r="M83" i="443"/>
  <c r="M62" i="432"/>
  <c r="T83" i="411"/>
  <c r="T117" i="411"/>
  <c r="M117" i="443"/>
  <c r="M15" i="432"/>
  <c r="O117" i="411"/>
  <c r="U28" i="411"/>
  <c r="T28" i="443"/>
  <c r="T77" i="432"/>
  <c r="U62" i="411"/>
  <c r="T62" i="443"/>
  <c r="T44" i="432"/>
  <c r="U72" i="411"/>
  <c r="T72" i="443"/>
  <c r="T48" i="432"/>
  <c r="U5" i="443"/>
  <c r="U19" i="432"/>
  <c r="U34" i="411"/>
  <c r="T34" i="443"/>
  <c r="T81" i="432"/>
  <c r="U24" i="411"/>
  <c r="T24" i="443"/>
  <c r="T107" i="432"/>
  <c r="U48" i="411"/>
  <c r="T48" i="443"/>
  <c r="T134" i="432"/>
  <c r="T137" i="432" s="1"/>
  <c r="R14" i="97" s="1"/>
  <c r="T5" i="443"/>
  <c r="T19" i="432"/>
  <c r="O18" i="443"/>
  <c r="O28" i="432"/>
  <c r="O21" i="411"/>
  <c r="M21" i="443"/>
  <c r="M8" i="432"/>
  <c r="T21" i="411"/>
  <c r="O90" i="443"/>
  <c r="O135" i="432"/>
  <c r="O84" i="443"/>
  <c r="O51" i="432"/>
  <c r="O26" i="443"/>
  <c r="O31" i="432"/>
  <c r="V14" i="411"/>
  <c r="U14" i="443"/>
  <c r="U25" i="432"/>
  <c r="O82" i="443"/>
  <c r="O61" i="432"/>
  <c r="O78" i="411"/>
  <c r="M78" i="443"/>
  <c r="M95" i="432"/>
  <c r="T78" i="411"/>
  <c r="O71" i="443"/>
  <c r="O47" i="432"/>
  <c r="T51" i="411"/>
  <c r="M51" i="443"/>
  <c r="M110" i="432"/>
  <c r="O51" i="411"/>
  <c r="O27" i="411"/>
  <c r="M27" i="443"/>
  <c r="M114" i="432"/>
  <c r="T27" i="411"/>
  <c r="P68" i="432"/>
  <c r="U53" i="411"/>
  <c r="T53" i="443"/>
  <c r="T40" i="432"/>
  <c r="O80" i="411"/>
  <c r="M80" i="443"/>
  <c r="M139" i="432"/>
  <c r="T80" i="411"/>
  <c r="O25" i="411"/>
  <c r="M25" i="443"/>
  <c r="M108" i="432"/>
  <c r="M124" i="432" s="1"/>
  <c r="K12" i="97" s="1"/>
  <c r="T25" i="411"/>
  <c r="U43" i="411"/>
  <c r="T43" i="443"/>
  <c r="T85" i="432"/>
  <c r="U36" i="411"/>
  <c r="T36" i="443"/>
  <c r="T33" i="432"/>
  <c r="T38" i="411"/>
  <c r="M38" i="443"/>
  <c r="M84" i="432"/>
  <c r="O38" i="411"/>
  <c r="O62" i="443"/>
  <c r="O44" i="432"/>
  <c r="O6" i="443"/>
  <c r="O74" i="432"/>
  <c r="O75" i="432" s="1"/>
  <c r="U67" i="411"/>
  <c r="T67" i="443"/>
  <c r="T91" i="432"/>
  <c r="U71" i="411"/>
  <c r="T71" i="443"/>
  <c r="T47" i="432"/>
  <c r="M11" i="443"/>
  <c r="M24" i="432"/>
  <c r="U60" i="411"/>
  <c r="T60" i="443"/>
  <c r="T88" i="432"/>
  <c r="U99" i="411"/>
  <c r="T99" i="443"/>
  <c r="T121" i="432"/>
  <c r="U26" i="411"/>
  <c r="T26" i="443"/>
  <c r="T31" i="432"/>
  <c r="M121" i="443"/>
  <c r="M140" i="432"/>
  <c r="M12" i="443"/>
  <c r="M113" i="432"/>
  <c r="O14" i="443"/>
  <c r="O25" i="432"/>
  <c r="O92" i="443"/>
  <c r="O136" i="432"/>
  <c r="M124" i="411"/>
  <c r="T118" i="411"/>
  <c r="M118" i="443"/>
  <c r="M122" i="432"/>
  <c r="O118" i="411"/>
  <c r="O73" i="443"/>
  <c r="O49" i="432"/>
  <c r="O88" i="443"/>
  <c r="O119" i="432"/>
  <c r="T115" i="411"/>
  <c r="M115" i="443"/>
  <c r="M131" i="432"/>
  <c r="M132" i="432" s="1"/>
  <c r="K16" i="97" s="1"/>
  <c r="O115" i="411"/>
  <c r="T94" i="411"/>
  <c r="M94" i="443"/>
  <c r="M120" i="432"/>
  <c r="O94" i="411"/>
  <c r="U101" i="411"/>
  <c r="T101" i="443"/>
  <c r="T54" i="432"/>
  <c r="O30" i="411"/>
  <c r="M30" i="443"/>
  <c r="M79" i="432"/>
  <c r="T113" i="411"/>
  <c r="M113" i="443"/>
  <c r="M59" i="432"/>
  <c r="O113" i="411"/>
  <c r="T104" i="411"/>
  <c r="M104" i="443"/>
  <c r="M101" i="432"/>
  <c r="O104" i="411"/>
  <c r="O100" i="443"/>
  <c r="O143" i="432"/>
  <c r="O145" i="432" s="1"/>
  <c r="M18" i="97" s="1"/>
  <c r="T93" i="411"/>
  <c r="M93" i="443"/>
  <c r="M12" i="432"/>
  <c r="O93" i="411"/>
  <c r="O15" i="443"/>
  <c r="O26" i="432"/>
  <c r="O91" i="443"/>
  <c r="O112" i="432"/>
  <c r="O16" i="411"/>
  <c r="M16" i="443"/>
  <c r="M27" i="432"/>
  <c r="T16" i="411"/>
  <c r="O96" i="443"/>
  <c r="O100" i="432"/>
  <c r="T19" i="411"/>
  <c r="M19" i="443"/>
  <c r="M29" i="432"/>
  <c r="O19" i="411"/>
  <c r="P124" i="443"/>
  <c r="M125" i="443" s="1"/>
  <c r="O32" i="443"/>
  <c r="O32" i="432"/>
  <c r="O52" i="443"/>
  <c r="O126" i="432"/>
  <c r="T9" i="411"/>
  <c r="T11" i="411"/>
  <c r="T12" i="411"/>
  <c r="O12" i="411"/>
  <c r="J8" i="12"/>
  <c r="O86" i="411"/>
  <c r="T86" i="411"/>
  <c r="O103" i="411"/>
  <c r="T103" i="411"/>
  <c r="O85" i="411"/>
  <c r="T85" i="411"/>
  <c r="O107" i="411"/>
  <c r="O121" i="411"/>
  <c r="T121" i="411"/>
  <c r="F125" i="411"/>
  <c r="D8" i="12"/>
  <c r="G8" i="12"/>
  <c r="O8" i="12"/>
  <c r="P8" i="12"/>
  <c r="V56" i="411"/>
  <c r="V82" i="411"/>
  <c r="O111" i="411"/>
  <c r="O7" i="411"/>
  <c r="O124" i="411" s="1"/>
  <c r="V6" i="411"/>
  <c r="T7" i="411"/>
  <c r="T124" i="411" s="1"/>
  <c r="V5" i="411"/>
  <c r="O11" i="411"/>
  <c r="O9" i="411"/>
  <c r="T111" i="411"/>
  <c r="U19" i="411" l="1"/>
  <c r="T19" i="443"/>
  <c r="T29" i="432"/>
  <c r="V67" i="411"/>
  <c r="U67" i="443"/>
  <c r="U91" i="432"/>
  <c r="T85" i="443"/>
  <c r="T11" i="432"/>
  <c r="V53" i="411"/>
  <c r="U53" i="443"/>
  <c r="U40" i="432"/>
  <c r="V28" i="411"/>
  <c r="U28" i="443"/>
  <c r="U77" i="432"/>
  <c r="O83" i="443"/>
  <c r="O62" i="432"/>
  <c r="U55" i="411"/>
  <c r="T55" i="443"/>
  <c r="T42" i="432"/>
  <c r="V73" i="411"/>
  <c r="U73" i="443"/>
  <c r="U49" i="432"/>
  <c r="U74" i="411"/>
  <c r="T74" i="443"/>
  <c r="T50" i="432"/>
  <c r="U97" i="411"/>
  <c r="T97" i="443"/>
  <c r="T52" i="432"/>
  <c r="V37" i="411"/>
  <c r="E13" i="99"/>
  <c r="U37" i="443"/>
  <c r="U83" i="432"/>
  <c r="O57" i="443"/>
  <c r="O64" i="432"/>
  <c r="U13" i="411"/>
  <c r="T13" i="443"/>
  <c r="T70" i="432"/>
  <c r="T72" i="432" s="1"/>
  <c r="R9" i="97" s="1"/>
  <c r="U77" i="411"/>
  <c r="T77" i="443"/>
  <c r="T94" i="432"/>
  <c r="O22" i="443"/>
  <c r="O30" i="432"/>
  <c r="V65" i="443"/>
  <c r="V90" i="432"/>
  <c r="U122" i="411"/>
  <c r="T122" i="443"/>
  <c r="T16" i="432"/>
  <c r="U81" i="411"/>
  <c r="T81" i="443"/>
  <c r="T66" i="432"/>
  <c r="V96" i="411"/>
  <c r="U96" i="443"/>
  <c r="U100" i="432"/>
  <c r="U56" i="443"/>
  <c r="U9" i="432"/>
  <c r="U45" i="411"/>
  <c r="T45" i="443"/>
  <c r="T38" i="432"/>
  <c r="O68" i="443"/>
  <c r="O92" i="432"/>
  <c r="V32" i="411"/>
  <c r="U32" i="443"/>
  <c r="U32" i="432"/>
  <c r="O11" i="443"/>
  <c r="O24" i="432"/>
  <c r="O104" i="443"/>
  <c r="O101" i="432"/>
  <c r="O85" i="443"/>
  <c r="O11" i="432"/>
  <c r="U11" i="411"/>
  <c r="T11" i="443"/>
  <c r="T24" i="432"/>
  <c r="U94" i="411"/>
  <c r="T94" i="443"/>
  <c r="T120" i="432"/>
  <c r="V26" i="411"/>
  <c r="U26" i="443"/>
  <c r="U31" i="432"/>
  <c r="O25" i="443"/>
  <c r="O108" i="432"/>
  <c r="U51" i="411"/>
  <c r="T51" i="443"/>
  <c r="T110" i="432"/>
  <c r="V24" i="411"/>
  <c r="U24" i="443"/>
  <c r="U107" i="432"/>
  <c r="O15" i="432"/>
  <c r="O117" i="443"/>
  <c r="U114" i="411"/>
  <c r="T114" i="443"/>
  <c r="T128" i="432"/>
  <c r="U95" i="411"/>
  <c r="T95" i="443"/>
  <c r="T99" i="432"/>
  <c r="V8" i="411"/>
  <c r="U8" i="443"/>
  <c r="U21" i="432"/>
  <c r="U17" i="411"/>
  <c r="T17" i="443"/>
  <c r="T6" i="432"/>
  <c r="V88" i="411"/>
  <c r="U88" i="443"/>
  <c r="U119" i="432"/>
  <c r="O137" i="432"/>
  <c r="M14" i="97" s="1"/>
  <c r="U123" i="411"/>
  <c r="T123" i="443"/>
  <c r="T60" i="432"/>
  <c r="P146" i="432"/>
  <c r="M147" i="432" s="1"/>
  <c r="V87" i="411"/>
  <c r="U87" i="443"/>
  <c r="U98" i="432"/>
  <c r="O64" i="443"/>
  <c r="O117" i="432"/>
  <c r="V20" i="411"/>
  <c r="U20" i="443"/>
  <c r="U7" i="432"/>
  <c r="O78" i="432"/>
  <c r="O29" i="443"/>
  <c r="U63" i="411"/>
  <c r="T63" i="443"/>
  <c r="T89" i="432"/>
  <c r="O10" i="443"/>
  <c r="O23" i="432"/>
  <c r="V52" i="411"/>
  <c r="E16" i="99"/>
  <c r="U52" i="443"/>
  <c r="U126" i="432"/>
  <c r="O107" i="443"/>
  <c r="O56" i="432"/>
  <c r="V50" i="411"/>
  <c r="E12" i="99"/>
  <c r="U50" i="443"/>
  <c r="U87" i="432"/>
  <c r="T12" i="443"/>
  <c r="T113" i="432"/>
  <c r="U9" i="411"/>
  <c r="T9" i="443"/>
  <c r="T22" i="432"/>
  <c r="U16" i="411"/>
  <c r="T16" i="443"/>
  <c r="T27" i="432"/>
  <c r="O93" i="443"/>
  <c r="O12" i="432"/>
  <c r="O30" i="443"/>
  <c r="O79" i="432"/>
  <c r="O115" i="443"/>
  <c r="O131" i="432"/>
  <c r="O132" i="432" s="1"/>
  <c r="M16" i="97" s="1"/>
  <c r="O118" i="443"/>
  <c r="O122" i="432"/>
  <c r="V36" i="411"/>
  <c r="U36" i="443"/>
  <c r="U33" i="432"/>
  <c r="U80" i="411"/>
  <c r="T80" i="443"/>
  <c r="T139" i="432"/>
  <c r="U27" i="411"/>
  <c r="T27" i="443"/>
  <c r="T114" i="432"/>
  <c r="V72" i="411"/>
  <c r="U72" i="443"/>
  <c r="U48" i="432"/>
  <c r="V47" i="411"/>
  <c r="U47" i="443"/>
  <c r="U116" i="432"/>
  <c r="U89" i="411"/>
  <c r="T89" i="443"/>
  <c r="T111" i="432"/>
  <c r="O23" i="443"/>
  <c r="O63" i="432"/>
  <c r="U82" i="443"/>
  <c r="U61" i="432"/>
  <c r="O49" i="443"/>
  <c r="O39" i="432"/>
  <c r="V41" i="411"/>
  <c r="U41" i="443"/>
  <c r="U36" i="432"/>
  <c r="U31" i="411"/>
  <c r="T31" i="443"/>
  <c r="T80" i="432"/>
  <c r="V98" i="411"/>
  <c r="U98" i="443"/>
  <c r="U53" i="432"/>
  <c r="O9" i="443"/>
  <c r="O22" i="432"/>
  <c r="U113" i="411"/>
  <c r="T113" i="443"/>
  <c r="T59" i="432"/>
  <c r="U38" i="411"/>
  <c r="T38" i="443"/>
  <c r="T84" i="432"/>
  <c r="V5" i="443"/>
  <c r="V19" i="432"/>
  <c r="T7" i="443"/>
  <c r="T20" i="432"/>
  <c r="T68" i="432" s="1"/>
  <c r="T103" i="443"/>
  <c r="T127" i="432"/>
  <c r="T129" i="432" s="1"/>
  <c r="R13" i="97" s="1"/>
  <c r="V6" i="443"/>
  <c r="V74" i="432"/>
  <c r="V75" i="432" s="1"/>
  <c r="O103" i="443"/>
  <c r="O127" i="432"/>
  <c r="O129" i="432" s="1"/>
  <c r="M13" i="97" s="1"/>
  <c r="U104" i="411"/>
  <c r="T104" i="443"/>
  <c r="T101" i="432"/>
  <c r="M141" i="432"/>
  <c r="M146" i="432" s="1"/>
  <c r="T147" i="432" s="1"/>
  <c r="U147" i="432" s="1"/>
  <c r="U21" i="411"/>
  <c r="T21" i="443"/>
  <c r="T8" i="432"/>
  <c r="O116" i="443"/>
  <c r="O14" i="432"/>
  <c r="O40" i="443"/>
  <c r="O35" i="432"/>
  <c r="O105" i="443"/>
  <c r="O55" i="432"/>
  <c r="O97" i="443"/>
  <c r="O52" i="432"/>
  <c r="U66" i="411"/>
  <c r="T66" i="443"/>
  <c r="T10" i="432"/>
  <c r="O81" i="443"/>
  <c r="O66" i="432"/>
  <c r="V84" i="411"/>
  <c r="E15" i="99"/>
  <c r="U84" i="443"/>
  <c r="U51" i="432"/>
  <c r="V54" i="411"/>
  <c r="U54" i="443"/>
  <c r="U41" i="432"/>
  <c r="U44" i="411"/>
  <c r="T44" i="443"/>
  <c r="T109" i="432"/>
  <c r="V70" i="411"/>
  <c r="U70" i="443"/>
  <c r="U46" i="432"/>
  <c r="V60" i="411"/>
  <c r="U60" i="443"/>
  <c r="U88" i="432"/>
  <c r="V79" i="411"/>
  <c r="U79" i="443"/>
  <c r="U96" i="432"/>
  <c r="O7" i="443"/>
  <c r="O20" i="432"/>
  <c r="O68" i="432" s="1"/>
  <c r="O19" i="443"/>
  <c r="O29" i="432"/>
  <c r="O113" i="443"/>
  <c r="O59" i="432"/>
  <c r="V99" i="411"/>
  <c r="U99" i="443"/>
  <c r="U121" i="432"/>
  <c r="V71" i="411"/>
  <c r="U71" i="443"/>
  <c r="U47" i="432"/>
  <c r="O38" i="443"/>
  <c r="O84" i="432"/>
  <c r="U78" i="411"/>
  <c r="T78" i="443"/>
  <c r="T95" i="432"/>
  <c r="V14" i="443"/>
  <c r="V25" i="432"/>
  <c r="V34" i="411"/>
  <c r="U34" i="443"/>
  <c r="U81" i="432"/>
  <c r="U117" i="411"/>
  <c r="T117" i="443"/>
  <c r="T15" i="432"/>
  <c r="O114" i="443"/>
  <c r="O128" i="432"/>
  <c r="O95" i="443"/>
  <c r="O99" i="432"/>
  <c r="V35" i="411"/>
  <c r="U35" i="443"/>
  <c r="U82" i="432"/>
  <c r="O33" i="443"/>
  <c r="O115" i="432"/>
  <c r="V61" i="411"/>
  <c r="U61" i="443"/>
  <c r="U65" i="432"/>
  <c r="O101" i="443"/>
  <c r="O54" i="432"/>
  <c r="R18" i="97"/>
  <c r="V92" i="411"/>
  <c r="U92" i="443"/>
  <c r="U136" i="432"/>
  <c r="V46" i="411"/>
  <c r="U46" i="443"/>
  <c r="U86" i="432"/>
  <c r="V91" i="411"/>
  <c r="E14" i="99"/>
  <c r="U91" i="443"/>
  <c r="U112" i="432"/>
  <c r="O63" i="443"/>
  <c r="O89" i="432"/>
  <c r="U10" i="411"/>
  <c r="T10" i="443"/>
  <c r="T124" i="443" s="1"/>
  <c r="T23" i="432"/>
  <c r="O12" i="443"/>
  <c r="O113" i="432"/>
  <c r="U33" i="411"/>
  <c r="T33" i="443"/>
  <c r="T115" i="432"/>
  <c r="V76" i="411"/>
  <c r="U76" i="443"/>
  <c r="U118" i="432"/>
  <c r="V18" i="411"/>
  <c r="U18" i="443"/>
  <c r="U28" i="432"/>
  <c r="O86" i="443"/>
  <c r="O97" i="432"/>
  <c r="U93" i="411"/>
  <c r="T93" i="443"/>
  <c r="T12" i="432"/>
  <c r="U115" i="411"/>
  <c r="T115" i="443"/>
  <c r="T131" i="432"/>
  <c r="T132" i="432" s="1"/>
  <c r="R16" i="97" s="1"/>
  <c r="U118" i="411"/>
  <c r="T118" i="443"/>
  <c r="T122" i="432"/>
  <c r="V43" i="411"/>
  <c r="U43" i="443"/>
  <c r="U85" i="432"/>
  <c r="O80" i="443"/>
  <c r="O139" i="432"/>
  <c r="O27" i="443"/>
  <c r="O114" i="432"/>
  <c r="V62" i="411"/>
  <c r="E10" i="99"/>
  <c r="U62" i="443"/>
  <c r="U44" i="432"/>
  <c r="U83" i="411"/>
  <c r="T83" i="443"/>
  <c r="T62" i="432"/>
  <c r="O55" i="443"/>
  <c r="O42" i="432"/>
  <c r="V69" i="411"/>
  <c r="U69" i="443"/>
  <c r="U45" i="432"/>
  <c r="O74" i="443"/>
  <c r="O50" i="432"/>
  <c r="V39" i="411"/>
  <c r="U39" i="443"/>
  <c r="U34" i="432"/>
  <c r="U57" i="411"/>
  <c r="T57" i="443"/>
  <c r="T64" i="432"/>
  <c r="O13" i="443"/>
  <c r="O70" i="432"/>
  <c r="O72" i="432" s="1"/>
  <c r="M9" i="97" s="1"/>
  <c r="O77" i="443"/>
  <c r="O94" i="432"/>
  <c r="U22" i="411"/>
  <c r="T22" i="443"/>
  <c r="T30" i="432"/>
  <c r="O89" i="443"/>
  <c r="O111" i="432"/>
  <c r="U23" i="411"/>
  <c r="T23" i="443"/>
  <c r="T63" i="432"/>
  <c r="O122" i="443"/>
  <c r="O16" i="432"/>
  <c r="U49" i="411"/>
  <c r="T49" i="443"/>
  <c r="T39" i="432"/>
  <c r="O45" i="443"/>
  <c r="O38" i="432"/>
  <c r="U68" i="411"/>
  <c r="T68" i="443"/>
  <c r="T92" i="432"/>
  <c r="V58" i="411"/>
  <c r="U58" i="443"/>
  <c r="U43" i="432"/>
  <c r="O31" i="443"/>
  <c r="O80" i="432"/>
  <c r="O105" i="432" s="1"/>
  <c r="M11" i="97" s="1"/>
  <c r="V56" i="443"/>
  <c r="V9" i="432"/>
  <c r="O78" i="443"/>
  <c r="O95" i="432"/>
  <c r="V75" i="411"/>
  <c r="E7" i="99"/>
  <c r="U75" i="443"/>
  <c r="U93" i="432"/>
  <c r="V90" i="411"/>
  <c r="U90" i="443"/>
  <c r="U135" i="432"/>
  <c r="T86" i="443"/>
  <c r="T97" i="432"/>
  <c r="O111" i="443"/>
  <c r="O104" i="432"/>
  <c r="T121" i="443"/>
  <c r="T140" i="432"/>
  <c r="O16" i="443"/>
  <c r="O27" i="432"/>
  <c r="V101" i="411"/>
  <c r="U101" i="443"/>
  <c r="U54" i="432"/>
  <c r="T111" i="443"/>
  <c r="T104" i="432"/>
  <c r="V82" i="443"/>
  <c r="V61" i="432"/>
  <c r="O121" i="443"/>
  <c r="O140" i="432"/>
  <c r="O94" i="443"/>
  <c r="O120" i="432"/>
  <c r="U25" i="411"/>
  <c r="T25" i="443"/>
  <c r="T108" i="432"/>
  <c r="T124" i="432" s="1"/>
  <c r="R12" i="97" s="1"/>
  <c r="O51" i="443"/>
  <c r="O110" i="432"/>
  <c r="O21" i="443"/>
  <c r="O8" i="432"/>
  <c r="V48" i="411"/>
  <c r="U48" i="443"/>
  <c r="U134" i="432"/>
  <c r="U116" i="411"/>
  <c r="T116" i="443"/>
  <c r="T14" i="432"/>
  <c r="U40" i="411"/>
  <c r="T40" i="443"/>
  <c r="T35" i="432"/>
  <c r="O17" i="443"/>
  <c r="O6" i="432"/>
  <c r="V15" i="411"/>
  <c r="U15" i="443"/>
  <c r="U26" i="432"/>
  <c r="O123" i="443"/>
  <c r="O60" i="432"/>
  <c r="V100" i="411"/>
  <c r="U100" i="443"/>
  <c r="U143" i="432"/>
  <c r="U145" i="432" s="1"/>
  <c r="U64" i="411"/>
  <c r="T64" i="443"/>
  <c r="T117" i="432"/>
  <c r="O66" i="443"/>
  <c r="O10" i="432"/>
  <c r="V59" i="411"/>
  <c r="U59" i="443"/>
  <c r="U71" i="432"/>
  <c r="U29" i="411"/>
  <c r="T29" i="443"/>
  <c r="T78" i="432"/>
  <c r="T105" i="432" s="1"/>
  <c r="R11" i="97" s="1"/>
  <c r="O44" i="443"/>
  <c r="O109" i="432"/>
  <c r="V42" i="411"/>
  <c r="U42" i="443"/>
  <c r="U37" i="432"/>
  <c r="V30" i="411"/>
  <c r="U30" i="443"/>
  <c r="U79" i="432"/>
  <c r="U12" i="411"/>
  <c r="U85" i="411"/>
  <c r="U103" i="411"/>
  <c r="U86" i="411"/>
  <c r="U121" i="411"/>
  <c r="B8" i="12"/>
  <c r="Q126" i="411"/>
  <c r="Y8" i="12"/>
  <c r="E17" i="68"/>
  <c r="U7" i="411"/>
  <c r="U111" i="411"/>
  <c r="V11" i="411"/>
  <c r="V9" i="411"/>
  <c r="V101" i="443" l="1"/>
  <c r="V54" i="432"/>
  <c r="V115" i="411"/>
  <c r="U115" i="443"/>
  <c r="U131" i="432"/>
  <c r="U132" i="432" s="1"/>
  <c r="S16" i="97" s="1"/>
  <c r="V18" i="443"/>
  <c r="V28" i="432"/>
  <c r="U66" i="443"/>
  <c r="U10" i="432"/>
  <c r="V66" i="411"/>
  <c r="V104" i="411"/>
  <c r="U104" i="443"/>
  <c r="U101" i="432"/>
  <c r="V47" i="443"/>
  <c r="V116" i="432"/>
  <c r="T141" i="432"/>
  <c r="T146" i="432" s="1"/>
  <c r="V16" i="411"/>
  <c r="U16" i="443"/>
  <c r="U27" i="432"/>
  <c r="T17" i="432"/>
  <c r="V95" i="411"/>
  <c r="U95" i="443"/>
  <c r="U99" i="432"/>
  <c r="V24" i="443"/>
  <c r="V107" i="432"/>
  <c r="V26" i="443"/>
  <c r="V31" i="432"/>
  <c r="V77" i="411"/>
  <c r="U77" i="443"/>
  <c r="U94" i="432"/>
  <c r="V52" i="443"/>
  <c r="V126" i="432"/>
  <c r="V30" i="443"/>
  <c r="V79" i="432"/>
  <c r="V29" i="411"/>
  <c r="U29" i="443"/>
  <c r="U78" i="432"/>
  <c r="U105" i="432" s="1"/>
  <c r="S11" i="97" s="1"/>
  <c r="V64" i="411"/>
  <c r="U64" i="443"/>
  <c r="U117" i="432"/>
  <c r="V15" i="443"/>
  <c r="V26" i="432"/>
  <c r="V116" i="411"/>
  <c r="U116" i="443"/>
  <c r="U14" i="432"/>
  <c r="V58" i="443"/>
  <c r="V43" i="432"/>
  <c r="V49" i="411"/>
  <c r="U49" i="443"/>
  <c r="U39" i="432"/>
  <c r="V91" i="443"/>
  <c r="V112" i="432"/>
  <c r="V70" i="443"/>
  <c r="V46" i="432"/>
  <c r="V113" i="411"/>
  <c r="U113" i="443"/>
  <c r="U59" i="432"/>
  <c r="V31" i="411"/>
  <c r="U31" i="443"/>
  <c r="U80" i="432"/>
  <c r="V50" i="443"/>
  <c r="V87" i="432"/>
  <c r="V20" i="443"/>
  <c r="V7" i="432"/>
  <c r="V32" i="443"/>
  <c r="V32" i="432"/>
  <c r="V122" i="411"/>
  <c r="U122" i="443"/>
  <c r="U16" i="432"/>
  <c r="V37" i="443"/>
  <c r="V83" i="432"/>
  <c r="V92" i="443"/>
  <c r="V136" i="432"/>
  <c r="S18" i="97"/>
  <c r="V57" i="411"/>
  <c r="U57" i="443"/>
  <c r="U64" i="432"/>
  <c r="V69" i="443"/>
  <c r="V45" i="432"/>
  <c r="V43" i="443"/>
  <c r="V85" i="432"/>
  <c r="V117" i="411"/>
  <c r="U117" i="443"/>
  <c r="U15" i="432"/>
  <c r="V78" i="411"/>
  <c r="E11" i="99"/>
  <c r="U78" i="443"/>
  <c r="U95" i="432"/>
  <c r="V99" i="443"/>
  <c r="V121" i="432"/>
  <c r="V80" i="411"/>
  <c r="U80" i="443"/>
  <c r="U139" i="432"/>
  <c r="U141" i="432" s="1"/>
  <c r="V123" i="411"/>
  <c r="U123" i="443"/>
  <c r="U60" i="432"/>
  <c r="V17" i="411"/>
  <c r="U17" i="443"/>
  <c r="U6" i="432"/>
  <c r="V73" i="443"/>
  <c r="V49" i="432"/>
  <c r="V28" i="443"/>
  <c r="V77" i="432"/>
  <c r="V88" i="443"/>
  <c r="V119" i="432"/>
  <c r="U121" i="443"/>
  <c r="U140" i="432"/>
  <c r="V90" i="443"/>
  <c r="V135" i="432"/>
  <c r="V22" i="411"/>
  <c r="U22" i="443"/>
  <c r="U30" i="432"/>
  <c r="V62" i="443"/>
  <c r="V44" i="432"/>
  <c r="V93" i="411"/>
  <c r="U93" i="443"/>
  <c r="U12" i="432"/>
  <c r="V76" i="443"/>
  <c r="V118" i="432"/>
  <c r="V10" i="411"/>
  <c r="U10" i="443"/>
  <c r="U23" i="432"/>
  <c r="V35" i="443"/>
  <c r="V82" i="432"/>
  <c r="V79" i="443"/>
  <c r="V96" i="432"/>
  <c r="V84" i="443"/>
  <c r="V51" i="432"/>
  <c r="V72" i="443"/>
  <c r="V48" i="432"/>
  <c r="U9" i="443"/>
  <c r="U22" i="432"/>
  <c r="V114" i="411"/>
  <c r="U114" i="443"/>
  <c r="U128" i="432"/>
  <c r="V51" i="411"/>
  <c r="U51" i="443"/>
  <c r="U110" i="432"/>
  <c r="V94" i="411"/>
  <c r="E8" i="99"/>
  <c r="U94" i="443"/>
  <c r="U120" i="432"/>
  <c r="V96" i="443"/>
  <c r="V100" i="432"/>
  <c r="V13" i="411"/>
  <c r="U13" i="443"/>
  <c r="U70" i="432"/>
  <c r="U72" i="432" s="1"/>
  <c r="S9" i="97" s="1"/>
  <c r="V67" i="443"/>
  <c r="V91" i="432"/>
  <c r="V54" i="443"/>
  <c r="V41" i="432"/>
  <c r="V27" i="411"/>
  <c r="U27" i="443"/>
  <c r="U114" i="432"/>
  <c r="V9" i="443"/>
  <c r="V22" i="432"/>
  <c r="V11" i="443"/>
  <c r="V24" i="432"/>
  <c r="U86" i="443"/>
  <c r="U97" i="432"/>
  <c r="U111" i="443"/>
  <c r="U104" i="432"/>
  <c r="U103" i="443"/>
  <c r="U127" i="432"/>
  <c r="V42" i="443"/>
  <c r="V37" i="432"/>
  <c r="V59" i="443"/>
  <c r="V71" i="432"/>
  <c r="V100" i="443"/>
  <c r="V143" i="432"/>
  <c r="V145" i="432" s="1"/>
  <c r="U137" i="432"/>
  <c r="S14" i="97" s="1"/>
  <c r="V68" i="411"/>
  <c r="U68" i="443"/>
  <c r="U92" i="432"/>
  <c r="V46" i="443"/>
  <c r="V86" i="432"/>
  <c r="V44" i="411"/>
  <c r="U44" i="443"/>
  <c r="U109" i="432"/>
  <c r="V21" i="411"/>
  <c r="U21" i="443"/>
  <c r="U8" i="432"/>
  <c r="V41" i="443"/>
  <c r="V36" i="432"/>
  <c r="U129" i="432"/>
  <c r="S13" i="97" s="1"/>
  <c r="V63" i="411"/>
  <c r="U63" i="443"/>
  <c r="U89" i="432"/>
  <c r="O124" i="443"/>
  <c r="D125" i="443" s="1"/>
  <c r="V97" i="411"/>
  <c r="E9" i="99"/>
  <c r="U97" i="443"/>
  <c r="U52" i="432"/>
  <c r="V75" i="443"/>
  <c r="V93" i="432"/>
  <c r="V71" i="443"/>
  <c r="V47" i="432"/>
  <c r="V25" i="411"/>
  <c r="U25" i="443"/>
  <c r="U108" i="432"/>
  <c r="V39" i="443"/>
  <c r="V34" i="432"/>
  <c r="V118" i="411"/>
  <c r="U122" i="432"/>
  <c r="U118" i="443"/>
  <c r="V34" i="443"/>
  <c r="V81" i="432"/>
  <c r="V89" i="411"/>
  <c r="U89" i="443"/>
  <c r="U111" i="432"/>
  <c r="V36" i="443"/>
  <c r="V33" i="432"/>
  <c r="V8" i="443"/>
  <c r="V21" i="432"/>
  <c r="O17" i="432"/>
  <c r="U55" i="443"/>
  <c r="U42" i="432"/>
  <c r="V55" i="411"/>
  <c r="V53" i="443"/>
  <c r="V40" i="432"/>
  <c r="V83" i="411"/>
  <c r="U83" i="443"/>
  <c r="U62" i="432"/>
  <c r="U74" i="443"/>
  <c r="U50" i="432"/>
  <c r="V74" i="411"/>
  <c r="U7" i="443"/>
  <c r="U20" i="432"/>
  <c r="U124" i="411"/>
  <c r="U85" i="443"/>
  <c r="U11" i="432"/>
  <c r="U12" i="443"/>
  <c r="U113" i="432"/>
  <c r="V40" i="411"/>
  <c r="U40" i="443"/>
  <c r="U35" i="432"/>
  <c r="V48" i="443"/>
  <c r="V134" i="432"/>
  <c r="V137" i="432" s="1"/>
  <c r="T14" i="97" s="1"/>
  <c r="V23" i="411"/>
  <c r="U23" i="443"/>
  <c r="U63" i="432"/>
  <c r="O141" i="432"/>
  <c r="O146" i="432" s="1"/>
  <c r="D147" i="432" s="1"/>
  <c r="V33" i="411"/>
  <c r="U33" i="443"/>
  <c r="U115" i="432"/>
  <c r="V61" i="443"/>
  <c r="V65" i="432"/>
  <c r="V60" i="443"/>
  <c r="V88" i="432"/>
  <c r="V38" i="411"/>
  <c r="U38" i="443"/>
  <c r="U84" i="432"/>
  <c r="V98" i="443"/>
  <c r="V53" i="432"/>
  <c r="O124" i="432"/>
  <c r="M12" i="97" s="1"/>
  <c r="V87" i="443"/>
  <c r="V98" i="432"/>
  <c r="U11" i="443"/>
  <c r="U24" i="432"/>
  <c r="V45" i="411"/>
  <c r="U45" i="443"/>
  <c r="U38" i="432"/>
  <c r="V81" i="411"/>
  <c r="U81" i="443"/>
  <c r="U66" i="432"/>
  <c r="V19" i="411"/>
  <c r="U19" i="443"/>
  <c r="U29" i="432"/>
  <c r="V12" i="411"/>
  <c r="M8" i="12"/>
  <c r="K8" i="12"/>
  <c r="V103" i="411"/>
  <c r="V86" i="411"/>
  <c r="M125" i="411"/>
  <c r="V85" i="411"/>
  <c r="V121" i="411"/>
  <c r="V111" i="411"/>
  <c r="V7" i="411"/>
  <c r="V114" i="443" l="1"/>
  <c r="V128" i="432"/>
  <c r="V78" i="443"/>
  <c r="V95" i="432"/>
  <c r="V83" i="443"/>
  <c r="V62" i="432"/>
  <c r="U124" i="443"/>
  <c r="V121" i="443"/>
  <c r="V140" i="432"/>
  <c r="V45" i="443"/>
  <c r="V38" i="432"/>
  <c r="U68" i="432"/>
  <c r="U124" i="432"/>
  <c r="S12" i="97" s="1"/>
  <c r="V21" i="443"/>
  <c r="V8" i="432"/>
  <c r="V68" i="443"/>
  <c r="V92" i="432"/>
  <c r="V64" i="443"/>
  <c r="V117" i="432"/>
  <c r="V111" i="443"/>
  <c r="V104" i="432"/>
  <c r="V85" i="443"/>
  <c r="V11" i="432"/>
  <c r="V33" i="443"/>
  <c r="V115" i="432"/>
  <c r="V122" i="432"/>
  <c r="V118" i="443"/>
  <c r="V94" i="443"/>
  <c r="V120" i="432"/>
  <c r="V93" i="443"/>
  <c r="V12" i="432"/>
  <c r="U17" i="432"/>
  <c r="U146" i="432" s="1"/>
  <c r="V80" i="443"/>
  <c r="V139" i="432"/>
  <c r="V141" i="432" s="1"/>
  <c r="V57" i="443"/>
  <c r="V64" i="432"/>
  <c r="V40" i="443"/>
  <c r="V35" i="432"/>
  <c r="V74" i="443"/>
  <c r="V50" i="432"/>
  <c r="V55" i="443"/>
  <c r="V42" i="432"/>
  <c r="V63" i="443"/>
  <c r="V89" i="432"/>
  <c r="T18" i="97"/>
  <c r="V117" i="443"/>
  <c r="V15" i="432"/>
  <c r="V122" i="443"/>
  <c r="V16" i="432"/>
  <c r="V95" i="443"/>
  <c r="V99" i="432"/>
  <c r="V44" i="443"/>
  <c r="V109" i="432"/>
  <c r="V13" i="443"/>
  <c r="V70" i="432"/>
  <c r="V72" i="432" s="1"/>
  <c r="T9" i="97" s="1"/>
  <c r="V17" i="443"/>
  <c r="V6" i="432"/>
  <c r="V31" i="443"/>
  <c r="V80" i="432"/>
  <c r="V116" i="443"/>
  <c r="V14" i="432"/>
  <c r="V29" i="443"/>
  <c r="V78" i="432"/>
  <c r="V105" i="432" s="1"/>
  <c r="T11" i="97" s="1"/>
  <c r="V77" i="443"/>
  <c r="V94" i="432"/>
  <c r="V38" i="443"/>
  <c r="V84" i="432"/>
  <c r="V103" i="443"/>
  <c r="V127" i="432"/>
  <c r="V89" i="443"/>
  <c r="V111" i="432"/>
  <c r="V27" i="443"/>
  <c r="V114" i="432"/>
  <c r="V51" i="443"/>
  <c r="V110" i="432"/>
  <c r="V10" i="443"/>
  <c r="V23" i="432"/>
  <c r="V104" i="443"/>
  <c r="V101" i="432"/>
  <c r="V115" i="443"/>
  <c r="V131" i="432"/>
  <c r="V132" i="432" s="1"/>
  <c r="T16" i="97" s="1"/>
  <c r="V12" i="443"/>
  <c r="V113" i="432"/>
  <c r="V86" i="443"/>
  <c r="V97" i="432"/>
  <c r="V81" i="443"/>
  <c r="V66" i="432"/>
  <c r="V23" i="443"/>
  <c r="V63" i="432"/>
  <c r="V66" i="443"/>
  <c r="V10" i="432"/>
  <c r="V19" i="443"/>
  <c r="V29" i="432"/>
  <c r="V7" i="443"/>
  <c r="V20" i="432"/>
  <c r="V124" i="411"/>
  <c r="V25" i="443"/>
  <c r="V108" i="432"/>
  <c r="V97" i="443"/>
  <c r="V52" i="432"/>
  <c r="V22" i="443"/>
  <c r="V30" i="432"/>
  <c r="V123" i="443"/>
  <c r="V60" i="432"/>
  <c r="V113" i="443"/>
  <c r="V59" i="432"/>
  <c r="V49" i="443"/>
  <c r="V39" i="432"/>
  <c r="V129" i="432"/>
  <c r="T13" i="97" s="1"/>
  <c r="V16" i="443"/>
  <c r="V27" i="432"/>
  <c r="D125" i="411"/>
  <c r="T125" i="411"/>
  <c r="U125" i="411" s="1"/>
  <c r="N8" i="12"/>
  <c r="R8" i="12"/>
  <c r="V124" i="443" l="1"/>
  <c r="V17" i="432"/>
  <c r="V124" i="432"/>
  <c r="T12" i="97" s="1"/>
  <c r="V68" i="432"/>
  <c r="S8" i="12"/>
  <c r="F5" i="68"/>
  <c r="U51" i="410"/>
  <c r="O51" i="410"/>
  <c r="F51" i="410"/>
  <c r="U50" i="410"/>
  <c r="O50" i="410"/>
  <c r="F50" i="410"/>
  <c r="S48" i="410"/>
  <c r="K48" i="410"/>
  <c r="F48" i="410"/>
  <c r="S31" i="410"/>
  <c r="K31" i="410"/>
  <c r="F31" i="410"/>
  <c r="S24" i="410"/>
  <c r="K24" i="410"/>
  <c r="D24" i="410"/>
  <c r="S13" i="410"/>
  <c r="K13" i="410"/>
  <c r="F13" i="410"/>
  <c r="S9" i="410"/>
  <c r="K9" i="410"/>
  <c r="F9" i="410"/>
  <c r="S45" i="410"/>
  <c r="K45" i="410"/>
  <c r="F45" i="410"/>
  <c r="S39" i="410"/>
  <c r="K39" i="410"/>
  <c r="F39" i="410"/>
  <c r="S38" i="410"/>
  <c r="K38" i="410"/>
  <c r="F38" i="410"/>
  <c r="S35" i="410"/>
  <c r="K35" i="410"/>
  <c r="D35" i="410"/>
  <c r="S43" i="410"/>
  <c r="K43" i="410"/>
  <c r="F43" i="410"/>
  <c r="S42" i="410"/>
  <c r="K42" i="410"/>
  <c r="F42" i="410"/>
  <c r="S41" i="410"/>
  <c r="K41" i="410"/>
  <c r="D41" i="410"/>
  <c r="S40" i="410"/>
  <c r="K40" i="410"/>
  <c r="F40" i="410"/>
  <c r="S34" i="410"/>
  <c r="K34" i="410"/>
  <c r="F34" i="410"/>
  <c r="S33" i="410"/>
  <c r="K33" i="410"/>
  <c r="F33" i="410"/>
  <c r="S32" i="410"/>
  <c r="K32" i="410"/>
  <c r="D32" i="410"/>
  <c r="S28" i="410"/>
  <c r="K28" i="410"/>
  <c r="F28" i="410"/>
  <c r="S27" i="410"/>
  <c r="K27" i="410"/>
  <c r="F27" i="410"/>
  <c r="S26" i="410"/>
  <c r="K26" i="410"/>
  <c r="F26" i="410"/>
  <c r="S23" i="410"/>
  <c r="K23" i="410"/>
  <c r="F23" i="410"/>
  <c r="S21" i="410"/>
  <c r="J21" i="410"/>
  <c r="D21" i="410"/>
  <c r="S20" i="410"/>
  <c r="K20" i="410"/>
  <c r="F20" i="410"/>
  <c r="S18" i="410"/>
  <c r="K18" i="410"/>
  <c r="F18" i="410"/>
  <c r="S17" i="410"/>
  <c r="K17" i="410"/>
  <c r="F17" i="410"/>
  <c r="S16" i="410"/>
  <c r="K16" i="410"/>
  <c r="F16" i="410"/>
  <c r="S15" i="410"/>
  <c r="K15" i="410"/>
  <c r="F15" i="410"/>
  <c r="S14" i="410"/>
  <c r="K14" i="410"/>
  <c r="F14" i="410"/>
  <c r="S12" i="410"/>
  <c r="K12" i="410"/>
  <c r="F12" i="410"/>
  <c r="S11" i="410"/>
  <c r="K11" i="410"/>
  <c r="D11" i="410"/>
  <c r="S10" i="410"/>
  <c r="K10" i="410"/>
  <c r="F10" i="410"/>
  <c r="S7" i="410"/>
  <c r="J7" i="410"/>
  <c r="D7" i="410"/>
  <c r="S6" i="410"/>
  <c r="K6" i="410"/>
  <c r="D6" i="410"/>
  <c r="U47" i="410"/>
  <c r="S47" i="410"/>
  <c r="S46" i="410"/>
  <c r="K46" i="410"/>
  <c r="D46" i="410"/>
  <c r="S44" i="410"/>
  <c r="K44" i="410"/>
  <c r="F44" i="410"/>
  <c r="S37" i="410"/>
  <c r="K37" i="410"/>
  <c r="F37" i="410"/>
  <c r="S36" i="410"/>
  <c r="K36" i="410"/>
  <c r="D36" i="410"/>
  <c r="S30" i="410"/>
  <c r="K30" i="410"/>
  <c r="F30" i="410"/>
  <c r="S29" i="410"/>
  <c r="K29" i="410"/>
  <c r="D29" i="410"/>
  <c r="S25" i="410"/>
  <c r="K25" i="410"/>
  <c r="F25" i="410"/>
  <c r="S19" i="410"/>
  <c r="J19" i="410"/>
  <c r="F19" i="410"/>
  <c r="S5" i="410"/>
  <c r="K5" i="410"/>
  <c r="F5" i="410"/>
  <c r="F37" i="442" l="1"/>
  <c r="F44" i="431"/>
  <c r="S33" i="442"/>
  <c r="S21" i="431"/>
  <c r="L37" i="410"/>
  <c r="K37" i="442"/>
  <c r="K44" i="431"/>
  <c r="S37" i="442"/>
  <c r="S44" i="431"/>
  <c r="E9" i="163"/>
  <c r="U47" i="442"/>
  <c r="V47" i="410"/>
  <c r="U47" i="431"/>
  <c r="L10" i="410"/>
  <c r="K10" i="442"/>
  <c r="K34" i="431"/>
  <c r="F14" i="442"/>
  <c r="F10" i="431"/>
  <c r="S16" i="442"/>
  <c r="S12" i="431"/>
  <c r="L20" i="410"/>
  <c r="K20" i="442"/>
  <c r="K37" i="431"/>
  <c r="F26" i="442"/>
  <c r="F17" i="431"/>
  <c r="S28" i="442"/>
  <c r="S19" i="431"/>
  <c r="L34" i="410"/>
  <c r="K34" i="442"/>
  <c r="K22" i="431"/>
  <c r="F42" i="442"/>
  <c r="F26" i="431"/>
  <c r="S35" i="442"/>
  <c r="S23" i="431"/>
  <c r="L45" i="410"/>
  <c r="K45" i="442"/>
  <c r="K45" i="431"/>
  <c r="F24" i="410"/>
  <c r="D24" i="442"/>
  <c r="D16" i="431"/>
  <c r="S48" i="442"/>
  <c r="S28" i="431"/>
  <c r="S7" i="442"/>
  <c r="S6" i="431"/>
  <c r="F28" i="442"/>
  <c r="F19" i="431"/>
  <c r="F35" i="410"/>
  <c r="D35" i="442"/>
  <c r="D23" i="431"/>
  <c r="S29" i="442"/>
  <c r="S40" i="431"/>
  <c r="L16" i="410"/>
  <c r="K16" i="442"/>
  <c r="K12" i="431"/>
  <c r="L35" i="410"/>
  <c r="K35" i="442"/>
  <c r="K23" i="431"/>
  <c r="F30" i="442"/>
  <c r="F20" i="431"/>
  <c r="S19" i="442"/>
  <c r="S36" i="431"/>
  <c r="L30" i="410"/>
  <c r="K30" i="442"/>
  <c r="K20" i="431"/>
  <c r="F44" i="442"/>
  <c r="F57" i="431"/>
  <c r="D6" i="442"/>
  <c r="D49" i="431"/>
  <c r="S10" i="442"/>
  <c r="S34" i="431"/>
  <c r="L14" i="410"/>
  <c r="K14" i="442"/>
  <c r="K10" i="431"/>
  <c r="F17" i="442"/>
  <c r="F54" i="431"/>
  <c r="F55" i="431" s="1"/>
  <c r="D10" i="97" s="1"/>
  <c r="S20" i="442"/>
  <c r="S37" i="431"/>
  <c r="L26" i="410"/>
  <c r="K26" i="442"/>
  <c r="K17" i="431"/>
  <c r="F32" i="410"/>
  <c r="D32" i="442"/>
  <c r="D42" i="431"/>
  <c r="S34" i="442"/>
  <c r="S22" i="431"/>
  <c r="L42" i="410"/>
  <c r="K42" i="442"/>
  <c r="K26" i="431"/>
  <c r="F38" i="442"/>
  <c r="F50" i="431"/>
  <c r="S45" i="442"/>
  <c r="S45" i="431"/>
  <c r="L24" i="410"/>
  <c r="K24" i="442"/>
  <c r="K16" i="431"/>
  <c r="F50" i="442"/>
  <c r="F29" i="431"/>
  <c r="S5" i="442"/>
  <c r="S32" i="431"/>
  <c r="F16" i="442"/>
  <c r="F12" i="431"/>
  <c r="L41" i="410"/>
  <c r="K41" i="442"/>
  <c r="K25" i="431"/>
  <c r="U51" i="442"/>
  <c r="V51" i="410"/>
  <c r="U58" i="431"/>
  <c r="F10" i="442"/>
  <c r="F34" i="431"/>
  <c r="L28" i="410"/>
  <c r="K28" i="442"/>
  <c r="K19" i="431"/>
  <c r="K48" i="442"/>
  <c r="K28" i="431"/>
  <c r="F25" i="442"/>
  <c r="F39" i="431"/>
  <c r="S30" i="442"/>
  <c r="S20" i="431"/>
  <c r="L44" i="410"/>
  <c r="K44" i="442"/>
  <c r="K57" i="431"/>
  <c r="K59" i="431" s="1"/>
  <c r="K6" i="442"/>
  <c r="K49" i="431"/>
  <c r="F11" i="410"/>
  <c r="D11" i="442"/>
  <c r="D8" i="431"/>
  <c r="S14" i="442"/>
  <c r="S10" i="431"/>
  <c r="L17" i="410"/>
  <c r="K17" i="442"/>
  <c r="K54" i="431"/>
  <c r="K55" i="431" s="1"/>
  <c r="I10" i="97" s="1"/>
  <c r="F21" i="410"/>
  <c r="D21" i="442"/>
  <c r="D14" i="431"/>
  <c r="S26" i="442"/>
  <c r="S17" i="431"/>
  <c r="L32" i="410"/>
  <c r="K32" i="442"/>
  <c r="K42" i="431"/>
  <c r="F40" i="442"/>
  <c r="F24" i="431"/>
  <c r="S42" i="442"/>
  <c r="S26" i="431"/>
  <c r="L38" i="410"/>
  <c r="K38" i="442"/>
  <c r="K50" i="431"/>
  <c r="F9" i="442"/>
  <c r="F7" i="431"/>
  <c r="S24" i="442"/>
  <c r="S16" i="431"/>
  <c r="O50" i="442"/>
  <c r="O29" i="431"/>
  <c r="S18" i="442"/>
  <c r="S13" i="431"/>
  <c r="F48" i="442"/>
  <c r="F28" i="431"/>
  <c r="F20" i="442"/>
  <c r="F37" i="431"/>
  <c r="S13" i="442"/>
  <c r="S9" i="431"/>
  <c r="J19" i="442"/>
  <c r="J36" i="431"/>
  <c r="J52" i="431" s="1"/>
  <c r="L25" i="410"/>
  <c r="K25" i="442"/>
  <c r="K39" i="431"/>
  <c r="F36" i="410"/>
  <c r="D36" i="442"/>
  <c r="D43" i="431"/>
  <c r="S44" i="442"/>
  <c r="S57" i="431"/>
  <c r="S59" i="431" s="1"/>
  <c r="S6" i="442"/>
  <c r="S49" i="431"/>
  <c r="L11" i="410"/>
  <c r="K11" i="442"/>
  <c r="K8" i="431"/>
  <c r="F15" i="442"/>
  <c r="F11" i="431"/>
  <c r="S17" i="442"/>
  <c r="S54" i="431"/>
  <c r="S55" i="431" s="1"/>
  <c r="Q10" i="97" s="1"/>
  <c r="K21" i="410"/>
  <c r="J21" i="442"/>
  <c r="J14" i="431"/>
  <c r="F27" i="442"/>
  <c r="F18" i="431"/>
  <c r="S32" i="442"/>
  <c r="S42" i="431"/>
  <c r="L40" i="410"/>
  <c r="K40" i="442"/>
  <c r="K24" i="431"/>
  <c r="F43" i="442"/>
  <c r="F27" i="431"/>
  <c r="S38" i="442"/>
  <c r="S50" i="431"/>
  <c r="L9" i="410"/>
  <c r="K9" i="442"/>
  <c r="K7" i="431"/>
  <c r="F31" i="442"/>
  <c r="F41" i="431"/>
  <c r="U50" i="442"/>
  <c r="U29" i="431"/>
  <c r="V50" i="410"/>
  <c r="L12" i="410"/>
  <c r="K12" i="442"/>
  <c r="K35" i="431"/>
  <c r="S39" i="442"/>
  <c r="S51" i="431"/>
  <c r="S12" i="442"/>
  <c r="S35" i="431"/>
  <c r="S41" i="442"/>
  <c r="S25" i="431"/>
  <c r="F5" i="442"/>
  <c r="F32" i="431"/>
  <c r="S25" i="442"/>
  <c r="S39" i="431"/>
  <c r="L36" i="410"/>
  <c r="K36" i="442"/>
  <c r="K43" i="431"/>
  <c r="D46" i="442"/>
  <c r="D46" i="431"/>
  <c r="F7" i="410"/>
  <c r="D7" i="442"/>
  <c r="D6" i="431"/>
  <c r="S11" i="442"/>
  <c r="S8" i="431"/>
  <c r="L15" i="410"/>
  <c r="K15" i="442"/>
  <c r="K11" i="431"/>
  <c r="F18" i="442"/>
  <c r="F13" i="431"/>
  <c r="S21" i="442"/>
  <c r="S14" i="431"/>
  <c r="L27" i="410"/>
  <c r="K27" i="442"/>
  <c r="K18" i="431"/>
  <c r="F33" i="442"/>
  <c r="F21" i="431"/>
  <c r="S40" i="442"/>
  <c r="S24" i="431"/>
  <c r="L43" i="410"/>
  <c r="K43" i="442"/>
  <c r="K27" i="431"/>
  <c r="F39" i="442"/>
  <c r="F51" i="431"/>
  <c r="S9" i="442"/>
  <c r="S7" i="431"/>
  <c r="L31" i="410"/>
  <c r="K31" i="442"/>
  <c r="K41" i="431"/>
  <c r="F51" i="442"/>
  <c r="F58" i="431"/>
  <c r="L29" i="410"/>
  <c r="K29" i="442"/>
  <c r="K40" i="431"/>
  <c r="S46" i="442"/>
  <c r="S46" i="431"/>
  <c r="L23" i="410"/>
  <c r="K23" i="442"/>
  <c r="K38" i="431"/>
  <c r="L13" i="410"/>
  <c r="K13" i="442"/>
  <c r="K9" i="431"/>
  <c r="F19" i="442"/>
  <c r="F36" i="431"/>
  <c r="M47" i="410"/>
  <c r="S47" i="442"/>
  <c r="S47" i="431"/>
  <c r="S23" i="442"/>
  <c r="S38" i="431"/>
  <c r="F34" i="442"/>
  <c r="F22" i="431"/>
  <c r="F45" i="442"/>
  <c r="F45" i="431"/>
  <c r="K5" i="442"/>
  <c r="K32" i="431"/>
  <c r="D29" i="442"/>
  <c r="D40" i="431"/>
  <c r="S36" i="442"/>
  <c r="S43" i="431"/>
  <c r="L46" i="410"/>
  <c r="K46" i="442"/>
  <c r="K46" i="431"/>
  <c r="J7" i="442"/>
  <c r="J52" i="442" s="1"/>
  <c r="J6" i="431"/>
  <c r="J30" i="431" s="1"/>
  <c r="H7" i="97" s="1"/>
  <c r="F12" i="442"/>
  <c r="F35" i="431"/>
  <c r="S15" i="442"/>
  <c r="S11" i="431"/>
  <c r="L18" i="410"/>
  <c r="K18" i="442"/>
  <c r="K13" i="431"/>
  <c r="F23" i="442"/>
  <c r="F38" i="431"/>
  <c r="S27" i="442"/>
  <c r="S18" i="431"/>
  <c r="L33" i="410"/>
  <c r="K33" i="442"/>
  <c r="K21" i="431"/>
  <c r="F41" i="410"/>
  <c r="D41" i="442"/>
  <c r="D25" i="431"/>
  <c r="S43" i="442"/>
  <c r="S27" i="431"/>
  <c r="L39" i="410"/>
  <c r="K39" i="442"/>
  <c r="K51" i="431"/>
  <c r="F13" i="442"/>
  <c r="F9" i="431"/>
  <c r="S31" i="442"/>
  <c r="S41" i="431"/>
  <c r="O51" i="442"/>
  <c r="O58" i="431"/>
  <c r="V146" i="432"/>
  <c r="F6" i="410"/>
  <c r="D52" i="410"/>
  <c r="F53" i="410" s="1"/>
  <c r="J52" i="410"/>
  <c r="H7" i="12" s="1"/>
  <c r="S52" i="410"/>
  <c r="L5" i="410"/>
  <c r="F29" i="410"/>
  <c r="T8" i="12"/>
  <c r="E12" i="68"/>
  <c r="C7" i="12"/>
  <c r="E7" i="12"/>
  <c r="X7" i="12"/>
  <c r="P39" i="410"/>
  <c r="P37" i="410"/>
  <c r="O15" i="410"/>
  <c r="P15" i="410"/>
  <c r="P30" i="410"/>
  <c r="P10" i="410"/>
  <c r="P20" i="410"/>
  <c r="P33" i="410"/>
  <c r="P11" i="410"/>
  <c r="P28" i="410"/>
  <c r="V7" i="12"/>
  <c r="P13" i="410"/>
  <c r="K19" i="410"/>
  <c r="F46" i="410"/>
  <c r="L6" i="410"/>
  <c r="W7" i="12"/>
  <c r="K7" i="410"/>
  <c r="P44" i="410"/>
  <c r="G7" i="12"/>
  <c r="L48" i="410"/>
  <c r="O47" i="410" l="1"/>
  <c r="M47" i="442"/>
  <c r="M47" i="431"/>
  <c r="L44" i="442"/>
  <c r="L57" i="431"/>
  <c r="L59" i="431" s="1"/>
  <c r="P14" i="410"/>
  <c r="L14" i="442"/>
  <c r="L10" i="431"/>
  <c r="P35" i="410"/>
  <c r="L35" i="442"/>
  <c r="L23" i="431"/>
  <c r="F35" i="442"/>
  <c r="F23" i="431"/>
  <c r="L39" i="442"/>
  <c r="L51" i="431"/>
  <c r="L43" i="442"/>
  <c r="L27" i="431"/>
  <c r="L7" i="410"/>
  <c r="K7" i="442"/>
  <c r="K6" i="431"/>
  <c r="P10" i="442"/>
  <c r="P34" i="431"/>
  <c r="P37" i="442"/>
  <c r="P44" i="431"/>
  <c r="F52" i="410"/>
  <c r="F29" i="442"/>
  <c r="F40" i="431"/>
  <c r="P31" i="410"/>
  <c r="L31" i="442"/>
  <c r="L41" i="431"/>
  <c r="D30" i="431"/>
  <c r="B7" i="97" s="1"/>
  <c r="F36" i="442"/>
  <c r="F43" i="431"/>
  <c r="L28" i="442"/>
  <c r="L19" i="431"/>
  <c r="P41" i="410"/>
  <c r="L41" i="442"/>
  <c r="L25" i="431"/>
  <c r="P42" i="410"/>
  <c r="L42" i="442"/>
  <c r="L26" i="431"/>
  <c r="P26" i="410"/>
  <c r="L26" i="442"/>
  <c r="L17" i="431"/>
  <c r="L30" i="442"/>
  <c r="L20" i="431"/>
  <c r="F24" i="442"/>
  <c r="F16" i="431"/>
  <c r="L10" i="442"/>
  <c r="L34" i="431"/>
  <c r="P44" i="442"/>
  <c r="P57" i="431"/>
  <c r="P59" i="431" s="1"/>
  <c r="P46" i="410"/>
  <c r="L46" i="442"/>
  <c r="L46" i="431"/>
  <c r="L36" i="442"/>
  <c r="L43" i="431"/>
  <c r="M28" i="410"/>
  <c r="P28" i="442"/>
  <c r="P19" i="431"/>
  <c r="L5" i="442"/>
  <c r="L32" i="431"/>
  <c r="L11" i="442"/>
  <c r="L8" i="431"/>
  <c r="P24" i="410"/>
  <c r="L24" i="442"/>
  <c r="L16" i="431"/>
  <c r="L20" i="442"/>
  <c r="L37" i="431"/>
  <c r="L37" i="442"/>
  <c r="L44" i="431"/>
  <c r="P13" i="442"/>
  <c r="P9" i="431"/>
  <c r="L18" i="442"/>
  <c r="L13" i="431"/>
  <c r="P38" i="410"/>
  <c r="L38" i="442"/>
  <c r="L50" i="431"/>
  <c r="P18" i="410"/>
  <c r="L33" i="442"/>
  <c r="L21" i="431"/>
  <c r="P11" i="442"/>
  <c r="P8" i="431"/>
  <c r="P30" i="442"/>
  <c r="P20" i="431"/>
  <c r="P36" i="410"/>
  <c r="D52" i="431"/>
  <c r="F7" i="442"/>
  <c r="F6" i="431"/>
  <c r="L21" i="410"/>
  <c r="K21" i="442"/>
  <c r="K14" i="431"/>
  <c r="F21" i="442"/>
  <c r="F14" i="431"/>
  <c r="F11" i="442"/>
  <c r="F8" i="431"/>
  <c r="P16" i="410"/>
  <c r="L16" i="442"/>
  <c r="L12" i="431"/>
  <c r="S30" i="431"/>
  <c r="Q7" i="97" s="1"/>
  <c r="P34" i="410"/>
  <c r="L34" i="442"/>
  <c r="L22" i="431"/>
  <c r="V47" i="442"/>
  <c r="V47" i="431"/>
  <c r="P27" i="410"/>
  <c r="L27" i="442"/>
  <c r="L18" i="431"/>
  <c r="M33" i="410"/>
  <c r="P33" i="442"/>
  <c r="P21" i="431"/>
  <c r="P29" i="410"/>
  <c r="L29" i="442"/>
  <c r="L40" i="431"/>
  <c r="P40" i="410"/>
  <c r="L40" i="442"/>
  <c r="L24" i="431"/>
  <c r="L25" i="442"/>
  <c r="L39" i="431"/>
  <c r="S52" i="431"/>
  <c r="Q8" i="97" s="1"/>
  <c r="D52" i="442"/>
  <c r="F53" i="442" s="1"/>
  <c r="P45" i="410"/>
  <c r="L45" i="442"/>
  <c r="L45" i="431"/>
  <c r="F46" i="442"/>
  <c r="F46" i="431"/>
  <c r="P12" i="410"/>
  <c r="L12" i="442"/>
  <c r="L35" i="431"/>
  <c r="P9" i="410"/>
  <c r="L9" i="442"/>
  <c r="L7" i="431"/>
  <c r="S60" i="431"/>
  <c r="Q15" i="97"/>
  <c r="H8" i="97"/>
  <c r="J60" i="431"/>
  <c r="V51" i="442"/>
  <c r="V58" i="431"/>
  <c r="S52" i="442"/>
  <c r="F59" i="431"/>
  <c r="L23" i="442"/>
  <c r="L38" i="431"/>
  <c r="L6" i="442"/>
  <c r="L49" i="431"/>
  <c r="P39" i="442"/>
  <c r="P51" i="431"/>
  <c r="L13" i="442"/>
  <c r="L9" i="431"/>
  <c r="P20" i="442"/>
  <c r="P37" i="431"/>
  <c r="T15" i="410"/>
  <c r="P15" i="442"/>
  <c r="P11" i="431"/>
  <c r="P43" i="410"/>
  <c r="F41" i="442"/>
  <c r="F25" i="431"/>
  <c r="K52" i="431"/>
  <c r="I8" i="97" s="1"/>
  <c r="L48" i="442"/>
  <c r="L28" i="431"/>
  <c r="K19" i="442"/>
  <c r="K36" i="431"/>
  <c r="P25" i="410"/>
  <c r="O15" i="442"/>
  <c r="O11" i="431"/>
  <c r="P23" i="410"/>
  <c r="F6" i="442"/>
  <c r="F52" i="442" s="1"/>
  <c r="F49" i="431"/>
  <c r="K52" i="442"/>
  <c r="L53" i="442" s="1"/>
  <c r="P53" i="442" s="1"/>
  <c r="L15" i="442"/>
  <c r="L11" i="431"/>
  <c r="V50" i="442"/>
  <c r="V29" i="431"/>
  <c r="P32" i="410"/>
  <c r="L32" i="442"/>
  <c r="L42" i="431"/>
  <c r="P17" i="410"/>
  <c r="L17" i="442"/>
  <c r="L54" i="431"/>
  <c r="L55" i="431" s="1"/>
  <c r="J10" i="97" s="1"/>
  <c r="I15" i="97"/>
  <c r="F32" i="442"/>
  <c r="F42" i="431"/>
  <c r="F52" i="431" s="1"/>
  <c r="D8" i="97" s="1"/>
  <c r="K52" i="410"/>
  <c r="L53" i="410" s="1"/>
  <c r="P53" i="410" s="1"/>
  <c r="B7" i="12"/>
  <c r="P5" i="410"/>
  <c r="P7" i="12"/>
  <c r="E15" i="67"/>
  <c r="Y7" i="12"/>
  <c r="Q7" i="12"/>
  <c r="E13" i="67"/>
  <c r="U7" i="12"/>
  <c r="M18" i="410"/>
  <c r="M36" i="410"/>
  <c r="L19" i="410"/>
  <c r="T33" i="410"/>
  <c r="O33" i="410"/>
  <c r="M10" i="410"/>
  <c r="M30" i="410"/>
  <c r="M37" i="410"/>
  <c r="M20" i="410"/>
  <c r="P48" i="410"/>
  <c r="M44" i="410"/>
  <c r="M25" i="410"/>
  <c r="M39" i="410"/>
  <c r="M13" i="410"/>
  <c r="F7" i="12"/>
  <c r="D7" i="12"/>
  <c r="P6" i="410"/>
  <c r="M43" i="410"/>
  <c r="P7" i="410"/>
  <c r="O28" i="410"/>
  <c r="T28" i="410"/>
  <c r="M11" i="410"/>
  <c r="F25" i="100"/>
  <c r="F11" i="100" s="1"/>
  <c r="G10" i="42"/>
  <c r="G9" i="42"/>
  <c r="F8" i="61"/>
  <c r="F9" i="61"/>
  <c r="K13" i="44"/>
  <c r="H11" i="44"/>
  <c r="B10" i="44"/>
  <c r="O25" i="410" l="1"/>
  <c r="M25" i="442"/>
  <c r="M39" i="431"/>
  <c r="O28" i="442"/>
  <c r="O19" i="431"/>
  <c r="O39" i="410"/>
  <c r="M39" i="442"/>
  <c r="M51" i="431"/>
  <c r="O10" i="410"/>
  <c r="M10" i="442"/>
  <c r="M34" i="431"/>
  <c r="P32" i="442"/>
  <c r="P42" i="431"/>
  <c r="M32" i="410"/>
  <c r="P23" i="442"/>
  <c r="P38" i="431"/>
  <c r="B8" i="97"/>
  <c r="D60" i="431"/>
  <c r="F61" i="431" s="1"/>
  <c r="P18" i="442"/>
  <c r="P13" i="431"/>
  <c r="P42" i="442"/>
  <c r="P26" i="431"/>
  <c r="M42" i="410"/>
  <c r="O33" i="442"/>
  <c r="O21" i="431"/>
  <c r="O43" i="410"/>
  <c r="M43" i="442"/>
  <c r="M27" i="431"/>
  <c r="U33" i="410"/>
  <c r="T33" i="442"/>
  <c r="T21" i="431"/>
  <c r="D15" i="97"/>
  <c r="M33" i="442"/>
  <c r="M21" i="431"/>
  <c r="P34" i="442"/>
  <c r="P22" i="431"/>
  <c r="M34" i="410"/>
  <c r="P36" i="442"/>
  <c r="P43" i="431"/>
  <c r="L52" i="431"/>
  <c r="J8" i="97" s="1"/>
  <c r="P14" i="442"/>
  <c r="P10" i="431"/>
  <c r="M14" i="410"/>
  <c r="P7" i="442"/>
  <c r="P6" i="431"/>
  <c r="P5" i="442"/>
  <c r="P32" i="431"/>
  <c r="P40" i="442"/>
  <c r="P24" i="431"/>
  <c r="M40" i="410"/>
  <c r="L52" i="442"/>
  <c r="P46" i="442"/>
  <c r="P46" i="431"/>
  <c r="M46" i="410"/>
  <c r="J15" i="97"/>
  <c r="L52" i="410"/>
  <c r="L19" i="442"/>
  <c r="L36" i="431"/>
  <c r="P6" i="442"/>
  <c r="P49" i="431"/>
  <c r="P48" i="442"/>
  <c r="P28" i="431"/>
  <c r="O36" i="410"/>
  <c r="M36" i="442"/>
  <c r="M43" i="431"/>
  <c r="T32" i="410"/>
  <c r="P25" i="442"/>
  <c r="P39" i="431"/>
  <c r="P43" i="442"/>
  <c r="P27" i="431"/>
  <c r="P9" i="442"/>
  <c r="P7" i="431"/>
  <c r="M9" i="410"/>
  <c r="P45" i="442"/>
  <c r="P45" i="431"/>
  <c r="M45" i="410"/>
  <c r="P38" i="442"/>
  <c r="P50" i="431"/>
  <c r="M38" i="410"/>
  <c r="N15" i="97"/>
  <c r="P41" i="442"/>
  <c r="P25" i="431"/>
  <c r="M41" i="410"/>
  <c r="P31" i="442"/>
  <c r="P41" i="431"/>
  <c r="M31" i="410"/>
  <c r="K30" i="431"/>
  <c r="O11" i="410"/>
  <c r="M11" i="442"/>
  <c r="M8" i="431"/>
  <c r="O20" i="410"/>
  <c r="M20" i="442"/>
  <c r="M37" i="431"/>
  <c r="O18" i="410"/>
  <c r="M18" i="442"/>
  <c r="M13" i="431"/>
  <c r="P27" i="442"/>
  <c r="P18" i="431"/>
  <c r="M27" i="410"/>
  <c r="L21" i="442"/>
  <c r="L14" i="431"/>
  <c r="P21" i="410"/>
  <c r="M23" i="410"/>
  <c r="O37" i="410"/>
  <c r="M37" i="442"/>
  <c r="M44" i="431"/>
  <c r="P17" i="442"/>
  <c r="P54" i="431"/>
  <c r="P55" i="431" s="1"/>
  <c r="N10" i="97" s="1"/>
  <c r="M17" i="410"/>
  <c r="P16" i="442"/>
  <c r="P12" i="431"/>
  <c r="M16" i="410"/>
  <c r="M28" i="442"/>
  <c r="M19" i="431"/>
  <c r="P26" i="442"/>
  <c r="P17" i="431"/>
  <c r="M26" i="410"/>
  <c r="L7" i="442"/>
  <c r="L6" i="431"/>
  <c r="O44" i="410"/>
  <c r="M44" i="442"/>
  <c r="M57" i="431"/>
  <c r="M59" i="431" s="1"/>
  <c r="U28" i="410"/>
  <c r="T28" i="442"/>
  <c r="T19" i="431"/>
  <c r="O13" i="410"/>
  <c r="M13" i="442"/>
  <c r="M9" i="431"/>
  <c r="O30" i="410"/>
  <c r="M30" i="442"/>
  <c r="M20" i="431"/>
  <c r="U15" i="410"/>
  <c r="T15" i="442"/>
  <c r="T11" i="431"/>
  <c r="P12" i="442"/>
  <c r="P35" i="431"/>
  <c r="M12" i="410"/>
  <c r="P29" i="442"/>
  <c r="P40" i="431"/>
  <c r="M29" i="410"/>
  <c r="F30" i="431"/>
  <c r="D7" i="97" s="1"/>
  <c r="P24" i="442"/>
  <c r="P16" i="431"/>
  <c r="M24" i="410"/>
  <c r="P35" i="442"/>
  <c r="P23" i="431"/>
  <c r="M35" i="410"/>
  <c r="O47" i="442"/>
  <c r="O47" i="431"/>
  <c r="M5" i="410"/>
  <c r="O7" i="12"/>
  <c r="L7" i="12"/>
  <c r="T43" i="410"/>
  <c r="T44" i="410"/>
  <c r="T30" i="410"/>
  <c r="T11" i="410"/>
  <c r="T18" i="410"/>
  <c r="T23" i="410"/>
  <c r="T13" i="410"/>
  <c r="T10" i="410"/>
  <c r="T39" i="410"/>
  <c r="T36" i="410"/>
  <c r="M7" i="410"/>
  <c r="T25" i="410"/>
  <c r="T37" i="410"/>
  <c r="M48" i="410"/>
  <c r="M6" i="410"/>
  <c r="T20" i="410"/>
  <c r="P19" i="410"/>
  <c r="J7" i="12"/>
  <c r="P21" i="442" l="1"/>
  <c r="P14" i="431"/>
  <c r="M21" i="410"/>
  <c r="O10" i="442"/>
  <c r="O34" i="431"/>
  <c r="O7" i="410"/>
  <c r="M7" i="442"/>
  <c r="M6" i="431"/>
  <c r="U11" i="410"/>
  <c r="T11" i="442"/>
  <c r="T8" i="431"/>
  <c r="T29" i="410"/>
  <c r="M29" i="442"/>
  <c r="M40" i="431"/>
  <c r="O29" i="410"/>
  <c r="E11" i="163"/>
  <c r="U15" i="442"/>
  <c r="V15" i="410"/>
  <c r="U11" i="431"/>
  <c r="T17" i="410"/>
  <c r="M17" i="442"/>
  <c r="M54" i="431"/>
  <c r="M55" i="431" s="1"/>
  <c r="K10" i="97" s="1"/>
  <c r="O17" i="410"/>
  <c r="F60" i="431"/>
  <c r="O18" i="442"/>
  <c r="O13" i="431"/>
  <c r="O36" i="442"/>
  <c r="O43" i="431"/>
  <c r="O25" i="442"/>
  <c r="O39" i="431"/>
  <c r="U36" i="410"/>
  <c r="T36" i="442"/>
  <c r="T43" i="431"/>
  <c r="U30" i="410"/>
  <c r="T30" i="442"/>
  <c r="T20" i="431"/>
  <c r="O35" i="410"/>
  <c r="M35" i="442"/>
  <c r="M23" i="431"/>
  <c r="T35" i="410"/>
  <c r="U28" i="442"/>
  <c r="V28" i="410"/>
  <c r="U19" i="431"/>
  <c r="T46" i="410"/>
  <c r="M46" i="442"/>
  <c r="M46" i="431"/>
  <c r="O46" i="410"/>
  <c r="O42" i="410"/>
  <c r="M42" i="442"/>
  <c r="M26" i="431"/>
  <c r="T42" i="410"/>
  <c r="U25" i="410"/>
  <c r="T25" i="442"/>
  <c r="T39" i="431"/>
  <c r="T26" i="410"/>
  <c r="M26" i="442"/>
  <c r="M17" i="431"/>
  <c r="O26" i="410"/>
  <c r="O38" i="410"/>
  <c r="M38" i="442"/>
  <c r="M50" i="431"/>
  <c r="T38" i="410"/>
  <c r="P52" i="410"/>
  <c r="M53" i="410" s="1"/>
  <c r="P19" i="442"/>
  <c r="P52" i="442" s="1"/>
  <c r="M53" i="442" s="1"/>
  <c r="P36" i="431"/>
  <c r="P52" i="431" s="1"/>
  <c r="U39" i="410"/>
  <c r="T39" i="442"/>
  <c r="T51" i="431"/>
  <c r="U44" i="410"/>
  <c r="T44" i="442"/>
  <c r="T57" i="431"/>
  <c r="T59" i="431" s="1"/>
  <c r="K15" i="97"/>
  <c r="O27" i="410"/>
  <c r="M27" i="442"/>
  <c r="M18" i="431"/>
  <c r="T27" i="410"/>
  <c r="O20" i="442"/>
  <c r="O37" i="431"/>
  <c r="O41" i="410"/>
  <c r="M41" i="442"/>
  <c r="M25" i="431"/>
  <c r="T41" i="410"/>
  <c r="O45" i="410"/>
  <c r="M45" i="442"/>
  <c r="M45" i="431"/>
  <c r="T45" i="410"/>
  <c r="P30" i="431"/>
  <c r="N7" i="97" s="1"/>
  <c r="T34" i="410"/>
  <c r="M34" i="442"/>
  <c r="M22" i="431"/>
  <c r="O34" i="410"/>
  <c r="O32" i="410"/>
  <c r="M32" i="442"/>
  <c r="M42" i="431"/>
  <c r="O39" i="442"/>
  <c r="O51" i="431"/>
  <c r="U18" i="410"/>
  <c r="T18" i="442"/>
  <c r="T13" i="431"/>
  <c r="T31" i="410"/>
  <c r="M31" i="442"/>
  <c r="M41" i="431"/>
  <c r="O31" i="410"/>
  <c r="U20" i="410"/>
  <c r="T20" i="442"/>
  <c r="T37" i="431"/>
  <c r="U10" i="410"/>
  <c r="T10" i="442"/>
  <c r="T34" i="431"/>
  <c r="U43" i="410"/>
  <c r="T43" i="442"/>
  <c r="T27" i="431"/>
  <c r="O12" i="410"/>
  <c r="M12" i="442"/>
  <c r="M35" i="431"/>
  <c r="T12" i="410"/>
  <c r="O30" i="442"/>
  <c r="O20" i="431"/>
  <c r="U33" i="442"/>
  <c r="V33" i="410"/>
  <c r="U21" i="431"/>
  <c r="U13" i="410"/>
  <c r="T13" i="442"/>
  <c r="T9" i="431"/>
  <c r="T24" i="410"/>
  <c r="M24" i="442"/>
  <c r="M16" i="431"/>
  <c r="O24" i="410"/>
  <c r="T16" i="410"/>
  <c r="M16" i="442"/>
  <c r="M12" i="431"/>
  <c r="O16" i="410"/>
  <c r="T14" i="410"/>
  <c r="M14" i="442"/>
  <c r="M10" i="431"/>
  <c r="O14" i="410"/>
  <c r="M48" i="442"/>
  <c r="M28" i="431"/>
  <c r="T21" i="410"/>
  <c r="L30" i="431"/>
  <c r="J7" i="97" s="1"/>
  <c r="O37" i="442"/>
  <c r="O44" i="431"/>
  <c r="O11" i="442"/>
  <c r="O8" i="431"/>
  <c r="O9" i="410"/>
  <c r="M9" i="442"/>
  <c r="M7" i="431"/>
  <c r="T9" i="410"/>
  <c r="O40" i="410"/>
  <c r="M40" i="442"/>
  <c r="M24" i="431"/>
  <c r="T40" i="410"/>
  <c r="T6" i="410"/>
  <c r="M6" i="442"/>
  <c r="M49" i="431"/>
  <c r="O44" i="442"/>
  <c r="O57" i="431"/>
  <c r="O59" i="431" s="1"/>
  <c r="U32" i="410"/>
  <c r="T32" i="442"/>
  <c r="T42" i="431"/>
  <c r="U37" i="410"/>
  <c r="T37" i="442"/>
  <c r="T44" i="431"/>
  <c r="U23" i="410"/>
  <c r="T23" i="442"/>
  <c r="T38" i="431"/>
  <c r="M5" i="442"/>
  <c r="M32" i="431"/>
  <c r="O13" i="442"/>
  <c r="O9" i="431"/>
  <c r="O23" i="410"/>
  <c r="M23" i="442"/>
  <c r="M38" i="431"/>
  <c r="I7" i="97"/>
  <c r="K60" i="431"/>
  <c r="L61" i="431" s="1"/>
  <c r="P61" i="431" s="1"/>
  <c r="O43" i="442"/>
  <c r="O27" i="431"/>
  <c r="T48" i="410"/>
  <c r="O5" i="410"/>
  <c r="T5" i="410"/>
  <c r="I7" i="12"/>
  <c r="O48" i="410"/>
  <c r="M19" i="410"/>
  <c r="O6" i="410"/>
  <c r="T7" i="410"/>
  <c r="N8" i="97" l="1"/>
  <c r="P60" i="431"/>
  <c r="M61" i="431" s="1"/>
  <c r="O31" i="442"/>
  <c r="O41" i="431"/>
  <c r="O23" i="442"/>
  <c r="O38" i="431"/>
  <c r="U21" i="410"/>
  <c r="T21" i="442"/>
  <c r="T14" i="431"/>
  <c r="O16" i="442"/>
  <c r="O12" i="431"/>
  <c r="U12" i="410"/>
  <c r="T12" i="442"/>
  <c r="T35" i="431"/>
  <c r="U31" i="410"/>
  <c r="T31" i="442"/>
  <c r="T41" i="431"/>
  <c r="O32" i="442"/>
  <c r="O42" i="431"/>
  <c r="U27" i="410"/>
  <c r="T27" i="442"/>
  <c r="T18" i="431"/>
  <c r="U44" i="442"/>
  <c r="V44" i="410"/>
  <c r="U57" i="431"/>
  <c r="U59" i="431" s="1"/>
  <c r="L60" i="431"/>
  <c r="T6" i="442"/>
  <c r="T49" i="431"/>
  <c r="U41" i="410"/>
  <c r="T41" i="442"/>
  <c r="T25" i="431"/>
  <c r="U7" i="410"/>
  <c r="T7" i="442"/>
  <c r="T6" i="431"/>
  <c r="T48" i="442"/>
  <c r="T28" i="431"/>
  <c r="O6" i="442"/>
  <c r="O49" i="431"/>
  <c r="U10" i="442"/>
  <c r="U34" i="431"/>
  <c r="V10" i="410"/>
  <c r="O34" i="442"/>
  <c r="O22" i="431"/>
  <c r="O45" i="442"/>
  <c r="O45" i="431"/>
  <c r="U25" i="442"/>
  <c r="V25" i="410"/>
  <c r="U39" i="431"/>
  <c r="O35" i="442"/>
  <c r="O23" i="431"/>
  <c r="O17" i="442"/>
  <c r="O54" i="431"/>
  <c r="O55" i="431" s="1"/>
  <c r="M10" i="97" s="1"/>
  <c r="O29" i="442"/>
  <c r="O40" i="431"/>
  <c r="O9" i="442"/>
  <c r="O7" i="431"/>
  <c r="U42" i="410"/>
  <c r="T42" i="442"/>
  <c r="T26" i="431"/>
  <c r="U46" i="410"/>
  <c r="T46" i="442"/>
  <c r="T46" i="431"/>
  <c r="O7" i="442"/>
  <c r="O6" i="431"/>
  <c r="U6" i="410"/>
  <c r="U40" i="410"/>
  <c r="T40" i="442"/>
  <c r="T24" i="431"/>
  <c r="O14" i="442"/>
  <c r="O10" i="431"/>
  <c r="U16" i="410"/>
  <c r="T16" i="442"/>
  <c r="T12" i="431"/>
  <c r="O12" i="442"/>
  <c r="O35" i="431"/>
  <c r="U18" i="442"/>
  <c r="V18" i="410"/>
  <c r="U13" i="431"/>
  <c r="O27" i="442"/>
  <c r="O18" i="431"/>
  <c r="U39" i="442"/>
  <c r="V39" i="410"/>
  <c r="U51" i="431"/>
  <c r="O26" i="442"/>
  <c r="O17" i="431"/>
  <c r="U37" i="442"/>
  <c r="V37" i="410"/>
  <c r="U44" i="431"/>
  <c r="O38" i="442"/>
  <c r="O50" i="431"/>
  <c r="O48" i="442"/>
  <c r="O28" i="431"/>
  <c r="O24" i="442"/>
  <c r="O16" i="431"/>
  <c r="V33" i="442"/>
  <c r="V21" i="431"/>
  <c r="U20" i="442"/>
  <c r="U37" i="431"/>
  <c r="V20" i="410"/>
  <c r="U34" i="410"/>
  <c r="T34" i="442"/>
  <c r="T22" i="431"/>
  <c r="V28" i="442"/>
  <c r="V19" i="431"/>
  <c r="U30" i="442"/>
  <c r="U20" i="431"/>
  <c r="V30" i="410"/>
  <c r="U17" i="410"/>
  <c r="T17" i="442"/>
  <c r="T54" i="431"/>
  <c r="T55" i="431" s="1"/>
  <c r="R10" i="97" s="1"/>
  <c r="U29" i="410"/>
  <c r="T29" i="442"/>
  <c r="T40" i="431"/>
  <c r="O42" i="442"/>
  <c r="O26" i="431"/>
  <c r="O21" i="410"/>
  <c r="M21" i="442"/>
  <c r="M14" i="431"/>
  <c r="M30" i="431" s="1"/>
  <c r="K7" i="97" s="1"/>
  <c r="O41" i="442"/>
  <c r="O25" i="431"/>
  <c r="T5" i="442"/>
  <c r="T32" i="431"/>
  <c r="M15" i="97"/>
  <c r="O40" i="442"/>
  <c r="O24" i="431"/>
  <c r="U14" i="410"/>
  <c r="T14" i="442"/>
  <c r="T10" i="431"/>
  <c r="U43" i="442"/>
  <c r="U27" i="431"/>
  <c r="V43" i="410"/>
  <c r="U45" i="410"/>
  <c r="T45" i="442"/>
  <c r="T45" i="431"/>
  <c r="R15" i="97"/>
  <c r="U26" i="410"/>
  <c r="T26" i="442"/>
  <c r="T17" i="431"/>
  <c r="U35" i="410"/>
  <c r="T35" i="442"/>
  <c r="T23" i="431"/>
  <c r="V15" i="442"/>
  <c r="V11" i="431"/>
  <c r="T19" i="410"/>
  <c r="M19" i="442"/>
  <c r="M52" i="442" s="1"/>
  <c r="M36" i="431"/>
  <c r="M52" i="431" s="1"/>
  <c r="U13" i="442"/>
  <c r="V13" i="410"/>
  <c r="U9" i="431"/>
  <c r="U32" i="442"/>
  <c r="U42" i="431"/>
  <c r="V32" i="410"/>
  <c r="O5" i="442"/>
  <c r="O32" i="431"/>
  <c r="U23" i="442"/>
  <c r="U38" i="431"/>
  <c r="V23" i="410"/>
  <c r="U9" i="410"/>
  <c r="T9" i="442"/>
  <c r="T7" i="431"/>
  <c r="U24" i="410"/>
  <c r="T24" i="442"/>
  <c r="T16" i="431"/>
  <c r="U38" i="410"/>
  <c r="T38" i="442"/>
  <c r="T50" i="431"/>
  <c r="O46" i="442"/>
  <c r="O46" i="431"/>
  <c r="U36" i="442"/>
  <c r="V36" i="410"/>
  <c r="U43" i="431"/>
  <c r="U11" i="442"/>
  <c r="V11" i="410"/>
  <c r="U8" i="431"/>
  <c r="T52" i="410"/>
  <c r="M52" i="410"/>
  <c r="U48" i="410"/>
  <c r="U5" i="410"/>
  <c r="N7" i="12"/>
  <c r="O19" i="410"/>
  <c r="AB16" i="409"/>
  <c r="AA16" i="409"/>
  <c r="Z16" i="409"/>
  <c r="Y16" i="409"/>
  <c r="X16" i="409"/>
  <c r="W16" i="409"/>
  <c r="R16" i="409"/>
  <c r="Q16" i="409"/>
  <c r="N16" i="409"/>
  <c r="J16" i="409"/>
  <c r="I16" i="409"/>
  <c r="H16" i="409"/>
  <c r="G16" i="409"/>
  <c r="E16" i="409"/>
  <c r="S15" i="409"/>
  <c r="K15" i="409"/>
  <c r="L15" i="409" s="1"/>
  <c r="F15" i="409"/>
  <c r="S14" i="409"/>
  <c r="K14" i="409"/>
  <c r="L14" i="409" s="1"/>
  <c r="F14" i="409"/>
  <c r="S12" i="409"/>
  <c r="K12" i="409"/>
  <c r="L12" i="409" s="1"/>
  <c r="P12" i="409" s="1"/>
  <c r="F12" i="409"/>
  <c r="S11" i="409"/>
  <c r="K11" i="409"/>
  <c r="L11" i="409" s="1"/>
  <c r="P11" i="409" s="1"/>
  <c r="F11" i="409"/>
  <c r="S10" i="409"/>
  <c r="K10" i="409"/>
  <c r="L10" i="409" s="1"/>
  <c r="F10" i="409"/>
  <c r="S9" i="409"/>
  <c r="K9" i="409"/>
  <c r="L9" i="409" s="1"/>
  <c r="P9" i="409" s="1"/>
  <c r="D9" i="409"/>
  <c r="F9" i="409" s="1"/>
  <c r="S8" i="409"/>
  <c r="K8" i="409"/>
  <c r="L8" i="409" s="1"/>
  <c r="P8" i="409" s="1"/>
  <c r="D8" i="409"/>
  <c r="S7" i="409"/>
  <c r="K7" i="409"/>
  <c r="L7" i="409" s="1"/>
  <c r="P7" i="409" s="1"/>
  <c r="F7" i="409"/>
  <c r="S6" i="409"/>
  <c r="K6" i="409"/>
  <c r="L6" i="409" s="1"/>
  <c r="F6" i="409"/>
  <c r="A6" i="409"/>
  <c r="S5" i="409"/>
  <c r="K5" i="409"/>
  <c r="L5" i="409" s="1"/>
  <c r="F5" i="409"/>
  <c r="T53" i="442" l="1"/>
  <c r="U53" i="442" s="1"/>
  <c r="K8" i="97"/>
  <c r="M60" i="431"/>
  <c r="T61" i="431" s="1"/>
  <c r="U61" i="431" s="1"/>
  <c r="U48" i="442"/>
  <c r="U28" i="431"/>
  <c r="V48" i="410"/>
  <c r="U24" i="442"/>
  <c r="V24" i="410"/>
  <c r="U16" i="431"/>
  <c r="U17" i="442"/>
  <c r="V17" i="410"/>
  <c r="U54" i="431"/>
  <c r="U55" i="431" s="1"/>
  <c r="S10" i="97" s="1"/>
  <c r="U34" i="442"/>
  <c r="U22" i="431"/>
  <c r="V34" i="410"/>
  <c r="V25" i="442"/>
  <c r="V39" i="431"/>
  <c r="V44" i="442"/>
  <c r="V57" i="431"/>
  <c r="V59" i="431" s="1"/>
  <c r="V32" i="442"/>
  <c r="V42" i="431"/>
  <c r="T19" i="442"/>
  <c r="T52" i="442" s="1"/>
  <c r="T36" i="431"/>
  <c r="U26" i="442"/>
  <c r="V26" i="410"/>
  <c r="U17" i="431"/>
  <c r="T52" i="431"/>
  <c r="V30" i="442"/>
  <c r="V20" i="431"/>
  <c r="V20" i="442"/>
  <c r="V37" i="431"/>
  <c r="V18" i="442"/>
  <c r="V13" i="431"/>
  <c r="U31" i="442"/>
  <c r="V31" i="410"/>
  <c r="U41" i="431"/>
  <c r="U21" i="442"/>
  <c r="V21" i="410"/>
  <c r="U14" i="431"/>
  <c r="U9" i="442"/>
  <c r="V9" i="410"/>
  <c r="U7" i="431"/>
  <c r="U46" i="442"/>
  <c r="U46" i="431"/>
  <c r="V46" i="410"/>
  <c r="O52" i="410"/>
  <c r="O19" i="442"/>
  <c r="O36" i="431"/>
  <c r="V11" i="442"/>
  <c r="V8" i="431"/>
  <c r="V23" i="442"/>
  <c r="V38" i="431"/>
  <c r="U14" i="442"/>
  <c r="U10" i="431"/>
  <c r="V14" i="410"/>
  <c r="V39" i="442"/>
  <c r="V51" i="431"/>
  <c r="U40" i="442"/>
  <c r="U24" i="431"/>
  <c r="V40" i="410"/>
  <c r="U27" i="442"/>
  <c r="V27" i="410"/>
  <c r="U18" i="431"/>
  <c r="U12" i="442"/>
  <c r="V12" i="410"/>
  <c r="U35" i="431"/>
  <c r="U19" i="410"/>
  <c r="U38" i="442"/>
  <c r="U50" i="431"/>
  <c r="V38" i="410"/>
  <c r="V13" i="442"/>
  <c r="V9" i="431"/>
  <c r="U29" i="442"/>
  <c r="V29" i="410"/>
  <c r="U40" i="431"/>
  <c r="T30" i="431"/>
  <c r="R7" i="97" s="1"/>
  <c r="U41" i="442"/>
  <c r="V41" i="410"/>
  <c r="U25" i="431"/>
  <c r="U35" i="442"/>
  <c r="U23" i="431"/>
  <c r="V35" i="410"/>
  <c r="U45" i="442"/>
  <c r="V45" i="410"/>
  <c r="U45" i="431"/>
  <c r="U6" i="442"/>
  <c r="V6" i="410"/>
  <c r="U49" i="431"/>
  <c r="U42" i="442"/>
  <c r="U26" i="431"/>
  <c r="V42" i="410"/>
  <c r="V10" i="442"/>
  <c r="V34" i="431"/>
  <c r="U5" i="442"/>
  <c r="U32" i="431"/>
  <c r="V36" i="442"/>
  <c r="V43" i="431"/>
  <c r="O52" i="431"/>
  <c r="V43" i="442"/>
  <c r="V27" i="431"/>
  <c r="O21" i="442"/>
  <c r="O52" i="442" s="1"/>
  <c r="D53" i="442" s="1"/>
  <c r="O14" i="431"/>
  <c r="O30" i="431" s="1"/>
  <c r="M7" i="97" s="1"/>
  <c r="V37" i="442"/>
  <c r="V44" i="431"/>
  <c r="U16" i="442"/>
  <c r="U12" i="431"/>
  <c r="V16" i="410"/>
  <c r="E8" i="163"/>
  <c r="U7" i="442"/>
  <c r="V7" i="410"/>
  <c r="U6" i="431"/>
  <c r="S15" i="97"/>
  <c r="D53" i="410"/>
  <c r="T53" i="410"/>
  <c r="U53" i="410" s="1"/>
  <c r="U52" i="410"/>
  <c r="K7" i="12"/>
  <c r="M7" i="12"/>
  <c r="V5" i="410"/>
  <c r="R7" i="12"/>
  <c r="L17" i="409"/>
  <c r="P17" i="409" s="1"/>
  <c r="S16" i="409"/>
  <c r="M12" i="409"/>
  <c r="T12" i="409" s="1"/>
  <c r="U12" i="409" s="1"/>
  <c r="V12" i="409" s="1"/>
  <c r="M8" i="409"/>
  <c r="T8" i="409" s="1"/>
  <c r="U8" i="409" s="1"/>
  <c r="V8" i="409" s="1"/>
  <c r="P6" i="409"/>
  <c r="P5" i="409"/>
  <c r="L16" i="409"/>
  <c r="P10" i="409"/>
  <c r="M7" i="409"/>
  <c r="O7" i="409" s="1"/>
  <c r="P14" i="409"/>
  <c r="M9" i="409"/>
  <c r="O9" i="409" s="1"/>
  <c r="P15" i="409"/>
  <c r="M11" i="409"/>
  <c r="O11" i="409" s="1"/>
  <c r="K16" i="409"/>
  <c r="D16" i="409"/>
  <c r="F8" i="409"/>
  <c r="F16" i="409" s="1"/>
  <c r="A7" i="409"/>
  <c r="A8" i="409" s="1"/>
  <c r="A9" i="409" s="1"/>
  <c r="A10" i="409" s="1"/>
  <c r="A11" i="409" s="1"/>
  <c r="A12" i="409" s="1"/>
  <c r="V46" i="442" l="1"/>
  <c r="V46" i="431"/>
  <c r="V16" i="442"/>
  <c r="V12" i="431"/>
  <c r="V45" i="442"/>
  <c r="V45" i="431"/>
  <c r="V40" i="442"/>
  <c r="V24" i="431"/>
  <c r="V48" i="442"/>
  <c r="V28" i="431"/>
  <c r="M8" i="97"/>
  <c r="O60" i="431"/>
  <c r="D61" i="431" s="1"/>
  <c r="V42" i="442"/>
  <c r="V26" i="431"/>
  <c r="U19" i="442"/>
  <c r="V19" i="410"/>
  <c r="U36" i="431"/>
  <c r="V31" i="442"/>
  <c r="V41" i="431"/>
  <c r="R8" i="97"/>
  <c r="T60" i="431"/>
  <c r="V35" i="442"/>
  <c r="V23" i="431"/>
  <c r="V29" i="442"/>
  <c r="V40" i="431"/>
  <c r="T15" i="97"/>
  <c r="V17" i="442"/>
  <c r="V54" i="431"/>
  <c r="V55" i="431" s="1"/>
  <c r="T10" i="97" s="1"/>
  <c r="V5" i="442"/>
  <c r="V32" i="431"/>
  <c r="U30" i="431"/>
  <c r="S7" i="97" s="1"/>
  <c r="V12" i="442"/>
  <c r="V35" i="431"/>
  <c r="V9" i="442"/>
  <c r="V7" i="431"/>
  <c r="V26" i="442"/>
  <c r="V17" i="431"/>
  <c r="V7" i="442"/>
  <c r="V6" i="431"/>
  <c r="U52" i="431"/>
  <c r="U52" i="442"/>
  <c r="V6" i="442"/>
  <c r="V49" i="431"/>
  <c r="V14" i="442"/>
  <c r="V10" i="431"/>
  <c r="V41" i="442"/>
  <c r="V25" i="431"/>
  <c r="V38" i="442"/>
  <c r="V50" i="431"/>
  <c r="V27" i="442"/>
  <c r="V18" i="431"/>
  <c r="V21" i="442"/>
  <c r="V14" i="431"/>
  <c r="V34" i="442"/>
  <c r="V22" i="431"/>
  <c r="V24" i="442"/>
  <c r="V16" i="431"/>
  <c r="A14" i="409"/>
  <c r="A15" i="409" s="1"/>
  <c r="A13" i="409"/>
  <c r="O8" i="409"/>
  <c r="O12" i="409"/>
  <c r="T11" i="409"/>
  <c r="U11" i="409" s="1"/>
  <c r="V11" i="409" s="1"/>
  <c r="F17" i="409"/>
  <c r="M6" i="409"/>
  <c r="O6" i="409" s="1"/>
  <c r="M15" i="409"/>
  <c r="O15" i="409" s="1"/>
  <c r="T7" i="409"/>
  <c r="U7" i="409" s="1"/>
  <c r="V7" i="409" s="1"/>
  <c r="P16" i="409"/>
  <c r="M5" i="409"/>
  <c r="T5" i="409" s="1"/>
  <c r="M10" i="409"/>
  <c r="O10" i="409" s="1"/>
  <c r="T9" i="409"/>
  <c r="U9" i="409" s="1"/>
  <c r="V9" i="409" s="1"/>
  <c r="A16" i="409"/>
  <c r="A129" i="409" s="1"/>
  <c r="A132" i="409" s="1"/>
  <c r="M14" i="409"/>
  <c r="O14" i="409" s="1"/>
  <c r="V19" i="442" l="1"/>
  <c r="V36" i="431"/>
  <c r="V52" i="442"/>
  <c r="V52" i="410"/>
  <c r="E12" i="67" s="1"/>
  <c r="V52" i="431"/>
  <c r="T8" i="97" s="1"/>
  <c r="S8" i="97"/>
  <c r="U60" i="431"/>
  <c r="V30" i="431"/>
  <c r="T7" i="97" s="1"/>
  <c r="H5" i="67"/>
  <c r="S7" i="12"/>
  <c r="T14" i="409"/>
  <c r="U14" i="409" s="1"/>
  <c r="V14" i="409" s="1"/>
  <c r="T10" i="409"/>
  <c r="U10" i="409" s="1"/>
  <c r="V10" i="409" s="1"/>
  <c r="T6" i="409"/>
  <c r="U6" i="409" s="1"/>
  <c r="V6" i="409" s="1"/>
  <c r="M16" i="409"/>
  <c r="O5" i="409"/>
  <c r="O16" i="409" s="1"/>
  <c r="U5" i="409"/>
  <c r="T15" i="409"/>
  <c r="U15" i="409" s="1"/>
  <c r="V15" i="409" s="1"/>
  <c r="V60" i="431" l="1"/>
  <c r="T7" i="12"/>
  <c r="V5" i="409"/>
  <c r="V16" i="409" s="1"/>
  <c r="U16" i="409"/>
  <c r="T16" i="409"/>
  <c r="T17" i="409"/>
  <c r="U17" i="409" s="1"/>
  <c r="D17" i="409"/>
  <c r="E16" i="12" l="1"/>
  <c r="S13" i="408"/>
  <c r="K13" i="408"/>
  <c r="L13" i="408" s="1"/>
  <c r="F13" i="408"/>
  <c r="S12" i="408"/>
  <c r="K12" i="408"/>
  <c r="L12" i="408" s="1"/>
  <c r="F12" i="408"/>
  <c r="S11" i="408"/>
  <c r="K11" i="408"/>
  <c r="L11" i="408" s="1"/>
  <c r="F11" i="408"/>
  <c r="S10" i="408"/>
  <c r="K10" i="408"/>
  <c r="L10" i="408" s="1"/>
  <c r="F10" i="408"/>
  <c r="S9" i="408"/>
  <c r="K9" i="408"/>
  <c r="L9" i="408" s="1"/>
  <c r="P9" i="408" s="1"/>
  <c r="F9" i="408"/>
  <c r="S8" i="408"/>
  <c r="K8" i="408"/>
  <c r="L8" i="408" s="1"/>
  <c r="F8" i="408"/>
  <c r="S7" i="408"/>
  <c r="K7" i="408"/>
  <c r="L7" i="408" s="1"/>
  <c r="F7" i="408"/>
  <c r="S6" i="408"/>
  <c r="K6" i="408"/>
  <c r="L6" i="408" s="1"/>
  <c r="F6" i="408"/>
  <c r="A6" i="408"/>
  <c r="S5" i="408"/>
  <c r="K5" i="408"/>
  <c r="F5" i="408"/>
  <c r="F14" i="408" l="1"/>
  <c r="S14" i="408"/>
  <c r="K14" i="408"/>
  <c r="A14" i="408"/>
  <c r="M9" i="408"/>
  <c r="O9" i="408" s="1"/>
  <c r="B16" i="12"/>
  <c r="O16" i="12"/>
  <c r="V16" i="12"/>
  <c r="W16" i="12"/>
  <c r="Q16" i="12"/>
  <c r="P16" i="12"/>
  <c r="G16" i="12"/>
  <c r="X16" i="12"/>
  <c r="H16" i="12"/>
  <c r="D16" i="12"/>
  <c r="P12" i="408"/>
  <c r="P13" i="408"/>
  <c r="P10" i="408"/>
  <c r="P6" i="408"/>
  <c r="P11" i="408"/>
  <c r="P8" i="408"/>
  <c r="P7" i="408"/>
  <c r="L5" i="408"/>
  <c r="L14" i="408" s="1"/>
  <c r="T9" i="408"/>
  <c r="U9" i="408" s="1"/>
  <c r="V9" i="408" s="1"/>
  <c r="A7" i="408"/>
  <c r="A8" i="408" s="1"/>
  <c r="A9" i="408" s="1"/>
  <c r="A10" i="408" s="1"/>
  <c r="A11" i="408" s="1"/>
  <c r="A12" i="408" s="1"/>
  <c r="A13" i="408" s="1"/>
  <c r="F16" i="12" l="1"/>
  <c r="L15" i="408"/>
  <c r="P15" i="408" s="1"/>
  <c r="L16" i="12"/>
  <c r="C16" i="12"/>
  <c r="F15" i="408"/>
  <c r="I16" i="12"/>
  <c r="U16" i="12"/>
  <c r="E12" i="81"/>
  <c r="Y16" i="12"/>
  <c r="E13" i="81"/>
  <c r="Z16" i="12"/>
  <c r="P5" i="408"/>
  <c r="P14" i="408" s="1"/>
  <c r="M11" i="408"/>
  <c r="O11" i="408" s="1"/>
  <c r="M7" i="408"/>
  <c r="O7" i="408" s="1"/>
  <c r="M13" i="408"/>
  <c r="T13" i="408" s="1"/>
  <c r="M8" i="408"/>
  <c r="O8" i="408" s="1"/>
  <c r="M6" i="408"/>
  <c r="O6" i="408" s="1"/>
  <c r="M10" i="408"/>
  <c r="O10" i="408" s="1"/>
  <c r="M12" i="408"/>
  <c r="O12" i="408" s="1"/>
  <c r="T7" i="408" l="1"/>
  <c r="U7" i="408" s="1"/>
  <c r="V7" i="408" s="1"/>
  <c r="J16" i="12"/>
  <c r="T6" i="408"/>
  <c r="U6" i="408" s="1"/>
  <c r="V6" i="408" s="1"/>
  <c r="A116" i="408"/>
  <c r="A119" i="408" s="1"/>
  <c r="T11" i="408"/>
  <c r="U11" i="408" s="1"/>
  <c r="V11" i="408" s="1"/>
  <c r="T8" i="408"/>
  <c r="U8" i="408" s="1"/>
  <c r="V8" i="408" s="1"/>
  <c r="U13" i="408"/>
  <c r="M5" i="408"/>
  <c r="M14" i="408" s="1"/>
  <c r="N16" i="12"/>
  <c r="T12" i="408"/>
  <c r="U12" i="408" s="1"/>
  <c r="V12" i="408" s="1"/>
  <c r="T10" i="408"/>
  <c r="U10" i="408" s="1"/>
  <c r="V10" i="408" s="1"/>
  <c r="O13" i="408"/>
  <c r="O5" i="408" l="1"/>
  <c r="T5" i="408"/>
  <c r="T14" i="408" s="1"/>
  <c r="V13" i="408"/>
  <c r="O14" i="408" l="1"/>
  <c r="D15" i="408" s="1"/>
  <c r="K16" i="12"/>
  <c r="T15" i="408"/>
  <c r="U5" i="408"/>
  <c r="U14" i="408" s="1"/>
  <c r="M16" i="12" l="1"/>
  <c r="V5" i="408"/>
  <c r="V14" i="408" s="1"/>
  <c r="R16" i="12" l="1"/>
  <c r="U15" i="408"/>
  <c r="S16" i="12"/>
  <c r="F6" i="81"/>
  <c r="T16" i="12"/>
  <c r="E11" i="81"/>
  <c r="X14" i="12"/>
  <c r="P14" i="12"/>
  <c r="H14" i="12"/>
  <c r="S16" i="406"/>
  <c r="K16" i="406"/>
  <c r="L16" i="406" s="1"/>
  <c r="F16" i="406"/>
  <c r="S15" i="406"/>
  <c r="N15" i="406"/>
  <c r="U15" i="406" s="1"/>
  <c r="W15" i="406" s="1"/>
  <c r="K15" i="406"/>
  <c r="L15" i="406" s="1"/>
  <c r="P15" i="406" s="1"/>
  <c r="D15" i="406"/>
  <c r="S14" i="406"/>
  <c r="N14" i="406"/>
  <c r="K14" i="406"/>
  <c r="L14" i="406" s="1"/>
  <c r="P14" i="406" s="1"/>
  <c r="D14" i="406"/>
  <c r="F14" i="406" s="1"/>
  <c r="S13" i="406"/>
  <c r="K13" i="406"/>
  <c r="L13" i="406" s="1"/>
  <c r="F13" i="406"/>
  <c r="S12" i="406"/>
  <c r="K12" i="406"/>
  <c r="L12" i="406" s="1"/>
  <c r="F12" i="406"/>
  <c r="S11" i="406"/>
  <c r="K11" i="406"/>
  <c r="L11" i="406" s="1"/>
  <c r="F11" i="406"/>
  <c r="S10" i="406"/>
  <c r="K10" i="406"/>
  <c r="L10" i="406" s="1"/>
  <c r="F10" i="406"/>
  <c r="S9" i="406"/>
  <c r="K9" i="406"/>
  <c r="L9" i="406" s="1"/>
  <c r="F9" i="406"/>
  <c r="S8" i="406"/>
  <c r="K8" i="406"/>
  <c r="L8" i="406" s="1"/>
  <c r="F8" i="406"/>
  <c r="S7" i="406"/>
  <c r="K7" i="406"/>
  <c r="L7" i="406" s="1"/>
  <c r="P7" i="406" s="1"/>
  <c r="D7" i="406"/>
  <c r="D18" i="406" s="1"/>
  <c r="S6" i="406"/>
  <c r="K6" i="406"/>
  <c r="L6" i="406" s="1"/>
  <c r="F6" i="406"/>
  <c r="A6" i="406"/>
  <c r="S5" i="406"/>
  <c r="K5" i="406"/>
  <c r="F5" i="406"/>
  <c r="A7" i="406" l="1"/>
  <c r="A8" i="406" s="1"/>
  <c r="A9" i="406" s="1"/>
  <c r="A10" i="406" s="1"/>
  <c r="A11" i="406" s="1"/>
  <c r="A12" i="406" s="1"/>
  <c r="A13" i="406" s="1"/>
  <c r="S18" i="406"/>
  <c r="Q14" i="12" s="1"/>
  <c r="M14" i="406"/>
  <c r="O14" i="406" s="1"/>
  <c r="K18" i="406"/>
  <c r="U14" i="406"/>
  <c r="W14" i="406" s="1"/>
  <c r="N18" i="406"/>
  <c r="O14" i="12"/>
  <c r="Y14" i="12"/>
  <c r="E17" i="78"/>
  <c r="C14" i="12"/>
  <c r="I14" i="12"/>
  <c r="E14" i="12"/>
  <c r="V14" i="12"/>
  <c r="W14" i="12"/>
  <c r="G14" i="12"/>
  <c r="M15" i="406"/>
  <c r="O15" i="406" s="1"/>
  <c r="P12" i="406"/>
  <c r="M12" i="406" s="1"/>
  <c r="P11" i="406"/>
  <c r="P16" i="406"/>
  <c r="P9" i="406"/>
  <c r="P6" i="406"/>
  <c r="P13" i="406"/>
  <c r="F7" i="406"/>
  <c r="F18" i="406" s="1"/>
  <c r="P8" i="406"/>
  <c r="P10" i="406"/>
  <c r="F15" i="406"/>
  <c r="L5" i="406"/>
  <c r="L18" i="406" s="1"/>
  <c r="M7" i="406"/>
  <c r="U7" i="406" s="1"/>
  <c r="W7" i="406" s="1"/>
  <c r="B14" i="12" l="1"/>
  <c r="F19" i="406"/>
  <c r="F14" i="12"/>
  <c r="L19" i="406"/>
  <c r="P19" i="406" s="1"/>
  <c r="A14" i="406"/>
  <c r="A15" i="406" s="1"/>
  <c r="A16" i="406" s="1"/>
  <c r="O7" i="406"/>
  <c r="L14" i="12"/>
  <c r="D14" i="12"/>
  <c r="M6" i="406"/>
  <c r="O6" i="406" s="1"/>
  <c r="M9" i="406"/>
  <c r="O9" i="406" s="1"/>
  <c r="M16" i="406"/>
  <c r="O16" i="406" s="1"/>
  <c r="M11" i="406"/>
  <c r="O11" i="406" s="1"/>
  <c r="P5" i="406"/>
  <c r="M10" i="406"/>
  <c r="O10" i="406" s="1"/>
  <c r="M8" i="406"/>
  <c r="O8" i="406" s="1"/>
  <c r="M13" i="406"/>
  <c r="O13" i="406" s="1"/>
  <c r="O12" i="406"/>
  <c r="A17" i="406" l="1"/>
  <c r="A18" i="406"/>
  <c r="Z14" i="12" s="1"/>
  <c r="M5" i="406"/>
  <c r="M18" i="406" s="1"/>
  <c r="P18" i="406"/>
  <c r="A115" i="406"/>
  <c r="A118" i="406" s="1"/>
  <c r="F9" i="78"/>
  <c r="T9" i="406"/>
  <c r="U9" i="406" s="1"/>
  <c r="W9" i="406" s="1"/>
  <c r="T10" i="406"/>
  <c r="U10" i="406" s="1"/>
  <c r="W10" i="406" s="1"/>
  <c r="T13" i="406"/>
  <c r="U13" i="406" s="1"/>
  <c r="W13" i="406" s="1"/>
  <c r="T11" i="406"/>
  <c r="U11" i="406" s="1"/>
  <c r="T12" i="406"/>
  <c r="U12" i="406" s="1"/>
  <c r="W12" i="406" s="1"/>
  <c r="T6" i="406"/>
  <c r="U6" i="406" s="1"/>
  <c r="W6" i="406" s="1"/>
  <c r="T16" i="406"/>
  <c r="U16" i="406" s="1"/>
  <c r="W16" i="406" s="1"/>
  <c r="T8" i="406"/>
  <c r="U8" i="406" s="1"/>
  <c r="V8" i="406" s="1"/>
  <c r="T5" i="406" l="1"/>
  <c r="T18" i="406" s="1"/>
  <c r="J14" i="12"/>
  <c r="U5" i="406"/>
  <c r="U18" i="406" s="1"/>
  <c r="N14" i="12"/>
  <c r="O5" i="406"/>
  <c r="O18" i="406" s="1"/>
  <c r="D19" i="406" s="1"/>
  <c r="M14" i="12" l="1"/>
  <c r="R14" i="12"/>
  <c r="W5" i="406"/>
  <c r="K14" i="12" l="1"/>
  <c r="T19" i="406"/>
  <c r="U19" i="406" s="1"/>
  <c r="S14" i="12" l="1"/>
  <c r="F7" i="78"/>
  <c r="U12" i="405"/>
  <c r="V12" i="405" s="1"/>
  <c r="M12" i="405"/>
  <c r="K12" i="405"/>
  <c r="L12" i="405" s="1"/>
  <c r="F12" i="405"/>
  <c r="U11" i="405"/>
  <c r="V11" i="405" s="1"/>
  <c r="M11" i="405"/>
  <c r="K11" i="405"/>
  <c r="L11" i="405" s="1"/>
  <c r="F11" i="405"/>
  <c r="S10" i="405"/>
  <c r="K10" i="405"/>
  <c r="F10" i="405"/>
  <c r="O13" i="12"/>
  <c r="S9" i="405"/>
  <c r="K9" i="405"/>
  <c r="L9" i="405" s="1"/>
  <c r="P9" i="405" s="1"/>
  <c r="D9" i="405"/>
  <c r="D13" i="405" s="1"/>
  <c r="S8" i="405"/>
  <c r="K8" i="405"/>
  <c r="L8" i="405" s="1"/>
  <c r="F8" i="405"/>
  <c r="S7" i="405"/>
  <c r="K7" i="405"/>
  <c r="L7" i="405" s="1"/>
  <c r="F7" i="405"/>
  <c r="S6" i="405"/>
  <c r="K6" i="405"/>
  <c r="L6" i="405" s="1"/>
  <c r="F6" i="405"/>
  <c r="A6" i="405"/>
  <c r="S5" i="405"/>
  <c r="K5" i="405"/>
  <c r="G5" i="405"/>
  <c r="G13" i="405" s="1"/>
  <c r="F5" i="405"/>
  <c r="K13" i="405" l="1"/>
  <c r="S13" i="405"/>
  <c r="F14" i="405"/>
  <c r="A7" i="405"/>
  <c r="A8" i="405" s="1"/>
  <c r="A9" i="405" s="1"/>
  <c r="A10" i="405" s="1"/>
  <c r="A11" i="405" s="1"/>
  <c r="A12" i="405" s="1"/>
  <c r="V13" i="12"/>
  <c r="W13" i="12"/>
  <c r="O12" i="405"/>
  <c r="L13" i="12"/>
  <c r="P13" i="12"/>
  <c r="F9" i="405"/>
  <c r="F13" i="405" s="1"/>
  <c r="P6" i="405"/>
  <c r="M6" i="405" s="1"/>
  <c r="O6" i="405" s="1"/>
  <c r="H13" i="12"/>
  <c r="X13" i="12"/>
  <c r="E13" i="12"/>
  <c r="G13" i="12"/>
  <c r="O11" i="405"/>
  <c r="C13" i="12"/>
  <c r="U13" i="12"/>
  <c r="P8" i="405"/>
  <c r="M9" i="405"/>
  <c r="O9" i="405" s="1"/>
  <c r="P7" i="405"/>
  <c r="L5" i="405"/>
  <c r="L13" i="405" s="1"/>
  <c r="L10" i="405"/>
  <c r="A13" i="405" l="1"/>
  <c r="D13" i="12"/>
  <c r="B13" i="12"/>
  <c r="F13" i="12"/>
  <c r="T6" i="405"/>
  <c r="U6" i="405" s="1"/>
  <c r="V6" i="405" s="1"/>
  <c r="Q13" i="12"/>
  <c r="Y13" i="12"/>
  <c r="E16" i="77"/>
  <c r="P10" i="405"/>
  <c r="M8" i="405"/>
  <c r="O8" i="405" s="1"/>
  <c r="M7" i="405"/>
  <c r="O7" i="405" s="1"/>
  <c r="T9" i="405"/>
  <c r="U9" i="405" s="1"/>
  <c r="V9" i="405" s="1"/>
  <c r="P5" i="405"/>
  <c r="P13" i="405" s="1"/>
  <c r="I13" i="12" l="1"/>
  <c r="L14" i="405"/>
  <c r="P14" i="405" s="1"/>
  <c r="T8" i="405"/>
  <c r="U8" i="405" s="1"/>
  <c r="V8" i="405" s="1"/>
  <c r="M5" i="405"/>
  <c r="M13" i="405" s="1"/>
  <c r="M10" i="405"/>
  <c r="F9" i="77"/>
  <c r="T7" i="405"/>
  <c r="U7" i="405" s="1"/>
  <c r="V7" i="405" s="1"/>
  <c r="T10" i="405" l="1"/>
  <c r="J13" i="12"/>
  <c r="A111" i="405"/>
  <c r="A114" i="405" s="1"/>
  <c r="Z13" i="12"/>
  <c r="U10" i="405"/>
  <c r="O10" i="405"/>
  <c r="N13" i="12"/>
  <c r="O5" i="405"/>
  <c r="O13" i="405" s="1"/>
  <c r="T5" i="405"/>
  <c r="T13" i="405" s="1"/>
  <c r="T14" i="405" l="1"/>
  <c r="U14" i="405" s="1"/>
  <c r="D14" i="405"/>
  <c r="V10" i="405"/>
  <c r="U5" i="405"/>
  <c r="U13" i="405" s="1"/>
  <c r="M13" i="12"/>
  <c r="K13" i="12" l="1"/>
  <c r="R13" i="12"/>
  <c r="V5" i="405"/>
  <c r="V13" i="405" s="1"/>
  <c r="T13" i="12" l="1"/>
  <c r="E15" i="77"/>
  <c r="AB7" i="404"/>
  <c r="AA7" i="404"/>
  <c r="Y12" i="12" s="1"/>
  <c r="Z7" i="404"/>
  <c r="X12" i="12" s="1"/>
  <c r="Y7" i="404"/>
  <c r="W12" i="12" s="1"/>
  <c r="X7" i="404"/>
  <c r="V12" i="12" s="1"/>
  <c r="V7" i="404"/>
  <c r="T12" i="12" s="1"/>
  <c r="R7" i="404"/>
  <c r="P12" i="12" s="1"/>
  <c r="Q7" i="404"/>
  <c r="O12" i="12" s="1"/>
  <c r="N7" i="404"/>
  <c r="J7" i="404"/>
  <c r="H12" i="12" s="1"/>
  <c r="I7" i="404"/>
  <c r="G12" i="12" s="1"/>
  <c r="H7" i="404"/>
  <c r="F12" i="12" s="1"/>
  <c r="G7" i="404"/>
  <c r="E7" i="404"/>
  <c r="C12" i="12" s="1"/>
  <c r="S6" i="404"/>
  <c r="K6" i="404"/>
  <c r="L6" i="404" s="1"/>
  <c r="D6" i="404"/>
  <c r="F6" i="404" s="1"/>
  <c r="A6" i="404"/>
  <c r="S5" i="404"/>
  <c r="K5" i="404"/>
  <c r="D5" i="404"/>
  <c r="D7" i="404" l="1"/>
  <c r="B12" i="12" s="1"/>
  <c r="L12" i="12"/>
  <c r="S13" i="12"/>
  <c r="F7" i="77"/>
  <c r="F5" i="404"/>
  <c r="F7" i="404" s="1"/>
  <c r="D12" i="12" s="1"/>
  <c r="K7" i="404"/>
  <c r="E12" i="12"/>
  <c r="S7" i="404"/>
  <c r="Q12" i="12" s="1"/>
  <c r="P6" i="404"/>
  <c r="L5" i="404"/>
  <c r="A7" i="404"/>
  <c r="F7" i="381" s="1"/>
  <c r="F8" i="404" l="1"/>
  <c r="A113" i="404"/>
  <c r="A116" i="404" s="1"/>
  <c r="Z12" i="12"/>
  <c r="L8" i="404"/>
  <c r="P8" i="404" s="1"/>
  <c r="I12" i="12"/>
  <c r="L7" i="404"/>
  <c r="J12" i="12" s="1"/>
  <c r="P5" i="404"/>
  <c r="M6" i="404"/>
  <c r="O6" i="404" s="1"/>
  <c r="T6" i="404" l="1"/>
  <c r="U6" i="404" s="1"/>
  <c r="W6" i="404" s="1"/>
  <c r="P7" i="404"/>
  <c r="N12" i="12" s="1"/>
  <c r="M5" i="404"/>
  <c r="M7" i="404" l="1"/>
  <c r="K12" i="12" s="1"/>
  <c r="O5" i="404"/>
  <c r="O7" i="404" s="1"/>
  <c r="M12" i="12" s="1"/>
  <c r="T5" i="404"/>
  <c r="T7" i="404" l="1"/>
  <c r="U5" i="404"/>
  <c r="T8" i="404"/>
  <c r="U8" i="404" s="1"/>
  <c r="D8" i="404"/>
  <c r="R12" i="12" l="1"/>
  <c r="W5" i="404"/>
  <c r="W7" i="404" s="1"/>
  <c r="U7" i="404"/>
  <c r="S12" i="12" l="1"/>
  <c r="F5" i="381"/>
  <c r="U12" i="12"/>
  <c r="E13" i="381"/>
  <c r="C11" i="12"/>
  <c r="S14" i="403"/>
  <c r="K14" i="403"/>
  <c r="L14" i="403" s="1"/>
  <c r="F14" i="403"/>
  <c r="S13" i="403"/>
  <c r="K13" i="403"/>
  <c r="F13" i="403"/>
  <c r="V11" i="12"/>
  <c r="S11" i="403"/>
  <c r="K11" i="403"/>
  <c r="L11" i="403" s="1"/>
  <c r="F11" i="403"/>
  <c r="S10" i="403"/>
  <c r="N10" i="403"/>
  <c r="K10" i="403"/>
  <c r="L10" i="403" s="1"/>
  <c r="P10" i="403" s="1"/>
  <c r="D10" i="403"/>
  <c r="F10" i="403" s="1"/>
  <c r="S9" i="403"/>
  <c r="K9" i="403"/>
  <c r="L9" i="403" s="1"/>
  <c r="F9" i="403"/>
  <c r="S8" i="403"/>
  <c r="K8" i="403"/>
  <c r="L8" i="403" s="1"/>
  <c r="D8" i="403"/>
  <c r="F8" i="403" s="1"/>
  <c r="S7" i="403"/>
  <c r="K7" i="403"/>
  <c r="L7" i="403" s="1"/>
  <c r="P7" i="403" s="1"/>
  <c r="F7" i="403"/>
  <c r="S6" i="403"/>
  <c r="N6" i="403"/>
  <c r="N15" i="403" s="1"/>
  <c r="K6" i="403"/>
  <c r="L6" i="403" s="1"/>
  <c r="P6" i="403" s="1"/>
  <c r="D6" i="403"/>
  <c r="F6" i="403" s="1"/>
  <c r="A6" i="403"/>
  <c r="S5" i="403"/>
  <c r="K5" i="403"/>
  <c r="D15" i="403" l="1"/>
  <c r="K15" i="403"/>
  <c r="S15" i="403"/>
  <c r="F5" i="403"/>
  <c r="F15" i="403" s="1"/>
  <c r="L13" i="403"/>
  <c r="M7" i="403"/>
  <c r="O7" i="403" s="1"/>
  <c r="X11" i="12"/>
  <c r="G11" i="12"/>
  <c r="W11" i="12"/>
  <c r="Y11" i="12"/>
  <c r="H11" i="12"/>
  <c r="M6" i="403"/>
  <c r="T6" i="403" s="1"/>
  <c r="U6" i="403" s="1"/>
  <c r="W6" i="403" s="1"/>
  <c r="L5" i="403"/>
  <c r="O11" i="12"/>
  <c r="A7" i="403"/>
  <c r="A8" i="403" s="1"/>
  <c r="A9" i="403" s="1"/>
  <c r="A10" i="403" s="1"/>
  <c r="A11" i="403" s="1"/>
  <c r="A12" i="403" s="1"/>
  <c r="A13" i="403" s="1"/>
  <c r="A14" i="403" s="1"/>
  <c r="P11" i="12"/>
  <c r="P14" i="403"/>
  <c r="M10" i="403"/>
  <c r="O10" i="403" s="1"/>
  <c r="P9" i="403"/>
  <c r="P8" i="403"/>
  <c r="P11" i="403"/>
  <c r="E11" i="12"/>
  <c r="L15" i="403" l="1"/>
  <c r="A15" i="403"/>
  <c r="F16" i="403"/>
  <c r="P5" i="403"/>
  <c r="P13" i="403"/>
  <c r="F11" i="12"/>
  <c r="O6" i="403"/>
  <c r="F7" i="74"/>
  <c r="Q11" i="12"/>
  <c r="T7" i="403"/>
  <c r="U7" i="403" s="1"/>
  <c r="W7" i="403" s="1"/>
  <c r="T10" i="403"/>
  <c r="U10" i="403" s="1"/>
  <c r="W10" i="403" s="1"/>
  <c r="D11" i="12"/>
  <c r="M14" i="403"/>
  <c r="M8" i="403"/>
  <c r="O8" i="403" s="1"/>
  <c r="M11" i="403"/>
  <c r="O11" i="403" s="1"/>
  <c r="M9" i="403"/>
  <c r="O9" i="403" s="1"/>
  <c r="L11" i="12"/>
  <c r="P15" i="403" l="1"/>
  <c r="I11" i="12"/>
  <c r="L16" i="403"/>
  <c r="P16" i="403" s="1"/>
  <c r="M5" i="403"/>
  <c r="N11" i="12"/>
  <c r="M13" i="403"/>
  <c r="J11" i="12"/>
  <c r="B11" i="12"/>
  <c r="Z11" i="12"/>
  <c r="A114" i="403"/>
  <c r="A117" i="403" s="1"/>
  <c r="T9" i="403"/>
  <c r="U9" i="403" s="1"/>
  <c r="W9" i="403" s="1"/>
  <c r="T11" i="403"/>
  <c r="U11" i="403" s="1"/>
  <c r="W11" i="403" s="1"/>
  <c r="O14" i="403"/>
  <c r="T8" i="403"/>
  <c r="T14" i="403"/>
  <c r="M15" i="403" l="1"/>
  <c r="T5" i="403"/>
  <c r="O5" i="403"/>
  <c r="T13" i="403"/>
  <c r="K11" i="12"/>
  <c r="O13" i="403"/>
  <c r="U8" i="403"/>
  <c r="W8" i="403" s="1"/>
  <c r="U14" i="403"/>
  <c r="O15" i="403" l="1"/>
  <c r="M11" i="12"/>
  <c r="T15" i="403"/>
  <c r="D16" i="403"/>
  <c r="T16" i="403"/>
  <c r="U16" i="403" s="1"/>
  <c r="U5" i="403"/>
  <c r="W5" i="403" s="1"/>
  <c r="R11" i="12"/>
  <c r="U13" i="403"/>
  <c r="U15" i="403" l="1"/>
  <c r="S11" i="12" l="1"/>
  <c r="F5" i="74"/>
  <c r="S11" i="402"/>
  <c r="K11" i="402"/>
  <c r="L11" i="402" s="1"/>
  <c r="P11" i="402" s="1"/>
  <c r="F11" i="402"/>
  <c r="S10" i="402"/>
  <c r="K10" i="402"/>
  <c r="L10" i="402" s="1"/>
  <c r="P10" i="402" s="1"/>
  <c r="F10" i="402"/>
  <c r="S9" i="402"/>
  <c r="K9" i="402"/>
  <c r="L9" i="402" s="1"/>
  <c r="P9" i="402" s="1"/>
  <c r="F9" i="402"/>
  <c r="S8" i="402"/>
  <c r="K8" i="402"/>
  <c r="L8" i="402" s="1"/>
  <c r="P8" i="402" s="1"/>
  <c r="F8" i="402"/>
  <c r="S7" i="402"/>
  <c r="K7" i="402"/>
  <c r="L7" i="402" s="1"/>
  <c r="P7" i="402" s="1"/>
  <c r="F7" i="402"/>
  <c r="S6" i="402"/>
  <c r="K6" i="402"/>
  <c r="L6" i="402" s="1"/>
  <c r="P6" i="402" s="1"/>
  <c r="F6" i="402"/>
  <c r="A7" i="402"/>
  <c r="S5" i="402"/>
  <c r="S15" i="402" s="1"/>
  <c r="K5" i="402"/>
  <c r="K15" i="402" s="1"/>
  <c r="F5" i="402"/>
  <c r="F15" i="402" s="1"/>
  <c r="A15" i="402" l="1"/>
  <c r="L16" i="402"/>
  <c r="P16" i="402" s="1"/>
  <c r="A8" i="402"/>
  <c r="A9" i="402" s="1"/>
  <c r="A10" i="402" s="1"/>
  <c r="A11" i="402" s="1"/>
  <c r="A12" i="402" s="1"/>
  <c r="A13" i="402" s="1"/>
  <c r="A14" i="402" s="1"/>
  <c r="L5" i="402"/>
  <c r="L15" i="402" s="1"/>
  <c r="M7" i="402"/>
  <c r="O7" i="402" s="1"/>
  <c r="G10" i="12"/>
  <c r="G17" i="12" s="1"/>
  <c r="W10" i="12"/>
  <c r="W17" i="12" s="1"/>
  <c r="X10" i="12"/>
  <c r="X17" i="12" s="1"/>
  <c r="O10" i="12"/>
  <c r="O17" i="12" s="1"/>
  <c r="M10" i="402"/>
  <c r="O10" i="402" s="1"/>
  <c r="P10" i="12"/>
  <c r="P17" i="12" s="1"/>
  <c r="C10" i="12"/>
  <c r="C17" i="12" s="1"/>
  <c r="V10" i="12"/>
  <c r="V17" i="12" s="1"/>
  <c r="H10" i="12"/>
  <c r="H17" i="12" s="1"/>
  <c r="M9" i="402"/>
  <c r="O9" i="402" s="1"/>
  <c r="M11" i="402"/>
  <c r="O11" i="402" s="1"/>
  <c r="M6" i="402"/>
  <c r="O6" i="402" s="1"/>
  <c r="M8" i="402"/>
  <c r="O8" i="402" s="1"/>
  <c r="T7" i="402" l="1"/>
  <c r="U7" i="402" s="1"/>
  <c r="W7" i="402" s="1"/>
  <c r="P5" i="402"/>
  <c r="E10" i="12"/>
  <c r="E17" i="12" s="1"/>
  <c r="B10" i="12"/>
  <c r="F10" i="12"/>
  <c r="F17" i="12" s="1"/>
  <c r="J10" i="12"/>
  <c r="J17" i="12" s="1"/>
  <c r="I10" i="12"/>
  <c r="I17" i="12" s="1"/>
  <c r="D10" i="12"/>
  <c r="D17" i="12" s="1"/>
  <c r="Y10" i="12"/>
  <c r="Y17" i="12" s="1"/>
  <c r="E13" i="72"/>
  <c r="L10" i="12"/>
  <c r="L17" i="12" s="1"/>
  <c r="Q10" i="12"/>
  <c r="Q17" i="12" s="1"/>
  <c r="T11" i="402"/>
  <c r="U11" i="402" s="1"/>
  <c r="W11" i="402" s="1"/>
  <c r="T8" i="402"/>
  <c r="U8" i="402" s="1"/>
  <c r="W8" i="402" s="1"/>
  <c r="T10" i="402"/>
  <c r="U10" i="402" s="1"/>
  <c r="W10" i="402" s="1"/>
  <c r="T9" i="402"/>
  <c r="U9" i="402" s="1"/>
  <c r="W9" i="402" s="1"/>
  <c r="T6" i="402"/>
  <c r="U6" i="402" s="1"/>
  <c r="W6" i="402" s="1"/>
  <c r="M5" i="402" l="1"/>
  <c r="M15" i="402" s="1"/>
  <c r="T16" i="402" s="1"/>
  <c r="U16" i="402" s="1"/>
  <c r="P15" i="402"/>
  <c r="Z10" i="12"/>
  <c r="F7" i="72"/>
  <c r="N10" i="12"/>
  <c r="N17" i="12" s="1"/>
  <c r="O5" i="402" l="1"/>
  <c r="O15" i="402" s="1"/>
  <c r="T5" i="402"/>
  <c r="K10" i="12"/>
  <c r="K17" i="12" s="1"/>
  <c r="T15" i="402" l="1"/>
  <c r="U5" i="402"/>
  <c r="M10" i="12"/>
  <c r="M17" i="12" s="1"/>
  <c r="R10" i="12"/>
  <c r="R17" i="12" s="1"/>
  <c r="U15" i="402" l="1"/>
  <c r="W5" i="402"/>
  <c r="W15" i="402" s="1"/>
  <c r="U10" i="12" s="1"/>
  <c r="E12" i="72" l="1"/>
  <c r="T10" i="12"/>
  <c r="S10" i="12"/>
  <c r="S17" i="12" s="1"/>
  <c r="F5" i="72"/>
  <c r="B17" i="12"/>
  <c r="E11" i="61" l="1"/>
  <c r="D13" i="38" l="1"/>
  <c r="C18" i="38" l="1"/>
  <c r="A86" i="12" l="1"/>
  <c r="A89" i="12" s="1"/>
  <c r="E12" i="61" l="1"/>
  <c r="J14" i="44"/>
  <c r="I14" i="44"/>
  <c r="K14" i="44"/>
  <c r="O12" i="44"/>
  <c r="O11" i="44"/>
  <c r="O10" i="44"/>
  <c r="O9" i="44"/>
  <c r="O8" i="44"/>
  <c r="O7" i="44"/>
  <c r="G14" i="44"/>
  <c r="F14" i="44"/>
  <c r="H14" i="44"/>
  <c r="F10" i="43" s="1"/>
  <c r="M14" i="44"/>
  <c r="F5" i="43" s="1"/>
  <c r="Y20" i="97"/>
  <c r="X20" i="97"/>
  <c r="W20" i="97"/>
  <c r="V20" i="97"/>
  <c r="T20" i="97"/>
  <c r="S20" i="97"/>
  <c r="R20" i="97"/>
  <c r="Q20" i="97"/>
  <c r="P20" i="97"/>
  <c r="O20" i="97"/>
  <c r="N20" i="97"/>
  <c r="M20" i="97"/>
  <c r="L20" i="97"/>
  <c r="K20" i="97"/>
  <c r="J20" i="97"/>
  <c r="I20" i="97"/>
  <c r="H20" i="97"/>
  <c r="G20" i="97"/>
  <c r="F20" i="97"/>
  <c r="E20" i="97"/>
  <c r="D20" i="97"/>
  <c r="C20" i="97"/>
  <c r="B20" i="97"/>
  <c r="E16" i="61"/>
  <c r="G12" i="43"/>
  <c r="G21" i="38"/>
  <c r="F21" i="38"/>
  <c r="H20" i="38"/>
  <c r="H19" i="38"/>
  <c r="E19" i="38"/>
  <c r="H18" i="38"/>
  <c r="H17" i="38"/>
  <c r="G16" i="38"/>
  <c r="F16" i="38"/>
  <c r="C16" i="38"/>
  <c r="C20" i="38" s="1"/>
  <c r="H15" i="38"/>
  <c r="E15" i="38"/>
  <c r="H14" i="38"/>
  <c r="E14" i="38"/>
  <c r="H13" i="38"/>
  <c r="E13" i="38"/>
  <c r="H12" i="38"/>
  <c r="H11" i="38"/>
  <c r="E11" i="38"/>
  <c r="H10" i="38"/>
  <c r="E10" i="38"/>
  <c r="H9" i="38"/>
  <c r="E9" i="38"/>
  <c r="G14" i="100"/>
  <c r="G18" i="42"/>
  <c r="F22" i="61"/>
  <c r="E19" i="61"/>
  <c r="E20" i="61"/>
  <c r="E13" i="61"/>
  <c r="I22" i="40"/>
  <c r="H22" i="40"/>
  <c r="G22" i="40"/>
  <c r="F22" i="40"/>
  <c r="F24" i="40" s="1"/>
  <c r="E22" i="40"/>
  <c r="D22" i="40"/>
  <c r="D15" i="40"/>
  <c r="J22" i="40" l="1"/>
  <c r="H24" i="40"/>
  <c r="H16" i="38"/>
  <c r="I24" i="40"/>
  <c r="H21" i="38"/>
  <c r="E18" i="38"/>
  <c r="D16" i="38"/>
  <c r="D21" i="38" s="1"/>
  <c r="F8" i="100"/>
  <c r="C21" i="38"/>
  <c r="O4" i="44"/>
  <c r="E14" i="44"/>
  <c r="O13" i="44"/>
  <c r="O5" i="44"/>
  <c r="L14" i="44"/>
  <c r="C14" i="44"/>
  <c r="B14" i="44"/>
  <c r="F8" i="43" s="1"/>
  <c r="H26" i="40" l="1"/>
  <c r="H27" i="40" s="1"/>
  <c r="F26" i="40"/>
  <c r="F27" i="40" s="1"/>
  <c r="E24" i="40"/>
  <c r="I26" i="40"/>
  <c r="I27" i="40" s="1"/>
  <c r="AV26" i="426"/>
  <c r="D20" i="38"/>
  <c r="E21" i="38"/>
  <c r="E16" i="38"/>
  <c r="D14" i="44"/>
  <c r="F6" i="43" s="1"/>
  <c r="F9" i="43"/>
  <c r="E26" i="40" l="1"/>
  <c r="E27" i="40" s="1"/>
  <c r="G24" i="40"/>
  <c r="G26" i="40"/>
  <c r="G27" i="40" s="1"/>
  <c r="F9" i="100"/>
  <c r="E20" i="38"/>
  <c r="E29" i="39" l="1"/>
  <c r="G9" i="41" s="1"/>
  <c r="F13" i="42" l="1"/>
  <c r="E31" i="39"/>
  <c r="G13" i="41" s="1"/>
  <c r="E17" i="61"/>
  <c r="E15" i="61"/>
  <c r="E18" i="61"/>
  <c r="E14" i="61"/>
  <c r="E8" i="61" l="1"/>
  <c r="E21" i="61"/>
  <c r="E9" i="61"/>
  <c r="F15" i="42" l="1"/>
  <c r="F16" i="42"/>
  <c r="E14" i="81"/>
  <c r="E17" i="77"/>
  <c r="F16" i="77" s="1"/>
  <c r="E10" i="61"/>
  <c r="E22" i="61" s="1"/>
  <c r="E14" i="381"/>
  <c r="F12" i="381" s="1"/>
  <c r="E16" i="67" l="1"/>
  <c r="H10" i="61"/>
  <c r="F8" i="42"/>
  <c r="F17" i="42"/>
  <c r="F11" i="42"/>
  <c r="E14" i="72"/>
  <c r="F13" i="72" s="1"/>
  <c r="N14" i="44"/>
  <c r="F11" i="43" s="1"/>
  <c r="F12" i="43" s="1"/>
  <c r="F13" i="100" s="1"/>
  <c r="F14" i="100" s="1"/>
  <c r="O6" i="44"/>
  <c r="O14" i="44" s="1"/>
  <c r="F10" i="42"/>
  <c r="F14" i="42"/>
  <c r="F12" i="81"/>
  <c r="F13" i="81"/>
  <c r="F11" i="81"/>
  <c r="F15" i="77"/>
  <c r="F17" i="77" s="1"/>
  <c r="E30" i="39"/>
  <c r="G11" i="41" s="1"/>
  <c r="F12" i="42"/>
  <c r="F13" i="381"/>
  <c r="F14" i="381" s="1"/>
  <c r="H12" i="67" l="1"/>
  <c r="H14" i="67"/>
  <c r="E18" i="68"/>
  <c r="F12" i="68" s="1"/>
  <c r="H13" i="67"/>
  <c r="H15" i="67"/>
  <c r="H16" i="67"/>
  <c r="H17" i="61"/>
  <c r="H20" i="61"/>
  <c r="H13" i="61"/>
  <c r="H15" i="61"/>
  <c r="H12" i="61"/>
  <c r="H16" i="61"/>
  <c r="H14" i="61"/>
  <c r="H19" i="61"/>
  <c r="H21" i="61"/>
  <c r="H9" i="61"/>
  <c r="H18" i="61"/>
  <c r="H8" i="61"/>
  <c r="F12" i="72"/>
  <c r="F14" i="72" s="1"/>
  <c r="F14" i="81"/>
  <c r="F13" i="68" l="1"/>
  <c r="F15" i="68"/>
  <c r="F16" i="68"/>
  <c r="F14" i="68"/>
  <c r="F17" i="68"/>
  <c r="H22" i="61"/>
  <c r="F9" i="42"/>
  <c r="F18" i="42" s="1"/>
  <c r="J12" i="42" s="1"/>
  <c r="F18" i="68" l="1"/>
  <c r="J16" i="42"/>
  <c r="J17" i="42"/>
  <c r="J14" i="42"/>
  <c r="J13" i="42"/>
  <c r="J10" i="42"/>
  <c r="J15" i="42"/>
  <c r="J9" i="42"/>
  <c r="J8" i="42"/>
  <c r="E27" i="39"/>
  <c r="G7" i="41" s="1"/>
  <c r="J11" i="42"/>
  <c r="J18" i="42" l="1"/>
  <c r="AX17" i="425" l="1"/>
  <c r="BE6" i="425"/>
  <c r="AY6" i="425"/>
  <c r="AY17" i="425" s="1"/>
  <c r="AW16" i="426" s="1"/>
  <c r="AW17" i="425"/>
  <c r="AU16" i="426" s="1"/>
  <c r="BG6" i="425" l="1"/>
  <c r="BG17" i="425" s="1"/>
  <c r="BE16" i="426" s="1"/>
  <c r="BF6" i="425"/>
  <c r="BF17" i="425" s="1"/>
  <c r="BD16" i="426" s="1"/>
  <c r="Q27" i="441"/>
  <c r="Q28" i="441" s="1"/>
  <c r="Q17" i="409"/>
  <c r="Q18" i="409" s="1"/>
  <c r="AV16" i="426"/>
  <c r="BE17" i="425"/>
  <c r="BC16" i="426" s="1"/>
  <c r="AU6" i="423"/>
  <c r="AU21" i="423" s="1"/>
  <c r="AS15" i="426" s="1"/>
  <c r="AS17" i="426" s="1"/>
  <c r="AV6" i="423"/>
  <c r="AV21" i="423" s="1"/>
  <c r="AT15" i="426" s="1"/>
  <c r="AT17" i="426" s="1"/>
  <c r="AX6" i="423"/>
  <c r="BE6" i="423" s="1"/>
  <c r="BF6" i="423" s="1"/>
  <c r="BF21" i="423" s="1"/>
  <c r="BD15" i="426" s="1"/>
  <c r="BD17" i="426" s="1"/>
  <c r="AW21" i="423"/>
  <c r="AY6" i="423" l="1"/>
  <c r="AY21" i="423" s="1"/>
  <c r="AW15" i="426" s="1"/>
  <c r="AW17" i="426" s="1"/>
  <c r="BB19" i="426" s="1"/>
  <c r="AX21" i="423"/>
  <c r="AV15" i="426"/>
  <c r="AU15" i="426"/>
  <c r="AU17" i="426" s="1"/>
  <c r="BG6" i="423"/>
  <c r="BG21" i="423" s="1"/>
  <c r="BE21" i="423"/>
  <c r="AV17" i="426" l="1"/>
  <c r="AV28" i="426" s="1"/>
  <c r="Q16" i="439"/>
  <c r="Q16" i="414"/>
  <c r="AV21" i="426"/>
  <c r="BC15" i="426"/>
  <c r="BC17" i="426" s="1"/>
  <c r="BD19" i="426" s="1"/>
  <c r="BE15" i="426"/>
  <c r="BE17" i="426" s="1"/>
  <c r="AV19" i="426" l="1"/>
  <c r="AV23" i="426"/>
  <c r="BJ19" i="426"/>
  <c r="D23" i="40"/>
  <c r="D26" i="40" l="1"/>
  <c r="D27" i="40" s="1"/>
  <c r="D24" i="40"/>
  <c r="J23" i="40"/>
  <c r="J24" i="40" l="1"/>
  <c r="J26" i="40"/>
  <c r="J27" i="40" s="1"/>
  <c r="V18" i="406"/>
  <c r="E15" i="78" s="1"/>
  <c r="W11" i="406"/>
  <c r="W18" i="406" s="1"/>
  <c r="U14" i="12" l="1"/>
  <c r="E16" i="78"/>
  <c r="E18" i="78" s="1"/>
  <c r="F17" i="78" s="1"/>
  <c r="T14" i="12"/>
  <c r="F15" i="78" l="1"/>
  <c r="F16" i="78"/>
  <c r="F18" i="78" l="1"/>
  <c r="A6" i="411" l="1"/>
  <c r="A6" i="410"/>
  <c r="A6" i="429"/>
  <c r="A7" i="410" l="1"/>
  <c r="A8" i="410" s="1"/>
  <c r="A9" i="410" s="1"/>
  <c r="A10" i="410" s="1"/>
  <c r="A11" i="410" s="1"/>
  <c r="A12" i="410" s="1"/>
  <c r="A13" i="410" s="1"/>
  <c r="A14" i="410" s="1"/>
  <c r="A15" i="410" s="1"/>
  <c r="A16" i="410" s="1"/>
  <c r="A17" i="410" s="1"/>
  <c r="A18" i="410" s="1"/>
  <c r="A19" i="410" s="1"/>
  <c r="A20" i="410" s="1"/>
  <c r="A21" i="410" s="1"/>
  <c r="A22" i="410" s="1"/>
  <c r="A23" i="410" s="1"/>
  <c r="A24" i="410" s="1"/>
  <c r="A25" i="410" s="1"/>
  <c r="A26" i="410" s="1"/>
  <c r="A27" i="410" s="1"/>
  <c r="A28" i="410" s="1"/>
  <c r="A29" i="410" s="1"/>
  <c r="A30" i="410" s="1"/>
  <c r="A31" i="410" s="1"/>
  <c r="A32" i="410" s="1"/>
  <c r="A33" i="410" s="1"/>
  <c r="A34" i="410" s="1"/>
  <c r="A35" i="410" s="1"/>
  <c r="A36" i="410" s="1"/>
  <c r="A37" i="410" s="1"/>
  <c r="A38" i="410" s="1"/>
  <c r="A39" i="410" s="1"/>
  <c r="A40" i="410" s="1"/>
  <c r="A41" i="410" s="1"/>
  <c r="A42" i="410" s="1"/>
  <c r="A43" i="410" s="1"/>
  <c r="A44" i="410" s="1"/>
  <c r="A45" i="410" s="1"/>
  <c r="A46" i="410" s="1"/>
  <c r="A47" i="410" s="1"/>
  <c r="A48" i="410" s="1"/>
  <c r="A49" i="410" s="1"/>
  <c r="A50" i="410" s="1"/>
  <c r="A51" i="410" s="1"/>
  <c r="A7" i="429"/>
  <c r="A8" i="429" s="1"/>
  <c r="A9" i="429" s="1"/>
  <c r="A10" i="429" s="1"/>
  <c r="A11" i="429" s="1"/>
  <c r="A12" i="429" s="1"/>
  <c r="A13" i="429" s="1"/>
  <c r="A14" i="429" s="1"/>
  <c r="A15" i="429" s="1"/>
  <c r="A16" i="429" s="1"/>
  <c r="A17" i="429" s="1"/>
  <c r="A18" i="429" s="1"/>
  <c r="A19" i="429" s="1"/>
  <c r="A20" i="429" s="1"/>
  <c r="A21" i="429" s="1"/>
  <c r="A22" i="429" s="1"/>
  <c r="A23" i="429" s="1"/>
  <c r="A24" i="429" s="1"/>
  <c r="A25" i="429" s="1"/>
  <c r="A26" i="429" s="1"/>
  <c r="A27" i="429" s="1"/>
  <c r="A28" i="429" s="1"/>
  <c r="A29" i="429" s="1"/>
  <c r="A30" i="429" s="1"/>
  <c r="A31" i="429" s="1"/>
  <c r="A32" i="429" s="1"/>
  <c r="A33" i="429" s="1"/>
  <c r="A34" i="429" s="1"/>
  <c r="A35" i="429" s="1"/>
  <c r="A36" i="429" s="1"/>
  <c r="A37" i="429" s="1"/>
  <c r="A38" i="429" s="1"/>
  <c r="A39" i="429" s="1"/>
  <c r="A40" i="429" s="1"/>
  <c r="A41" i="429" s="1"/>
  <c r="A42" i="429" s="1"/>
  <c r="A43" i="429" s="1"/>
  <c r="A44" i="429" s="1"/>
  <c r="A45" i="429" s="1"/>
  <c r="A46" i="429" s="1"/>
  <c r="A47" i="429" s="1"/>
  <c r="A48" i="429" s="1"/>
  <c r="A49" i="429" s="1"/>
  <c r="A50" i="429" s="1"/>
  <c r="A51" i="429" s="1"/>
  <c r="A52" i="429" s="1"/>
  <c r="A53" i="429" s="1"/>
  <c r="A54" i="429" s="1"/>
  <c r="A55" i="429" s="1"/>
  <c r="A56" i="429" s="1"/>
  <c r="A57" i="429" s="1"/>
  <c r="A58" i="429" s="1"/>
  <c r="A59" i="429" s="1"/>
  <c r="A60" i="429" s="1"/>
  <c r="A61" i="429" s="1"/>
  <c r="A62" i="429" s="1"/>
  <c r="A63" i="429" s="1"/>
  <c r="A64" i="429" s="1"/>
  <c r="A65" i="429" s="1"/>
  <c r="A66" i="429" s="1"/>
  <c r="A67" i="429" s="1"/>
  <c r="A68" i="429" s="1"/>
  <c r="A69" i="429" s="1"/>
  <c r="A70" i="429" s="1"/>
  <c r="A71" i="429" s="1"/>
  <c r="A72" i="429" s="1"/>
  <c r="A73" i="429" s="1"/>
  <c r="A74" i="429" s="1"/>
  <c r="A75" i="429" s="1"/>
  <c r="A76" i="429" s="1"/>
  <c r="A77" i="429" s="1"/>
  <c r="A78" i="429" s="1"/>
  <c r="A79" i="429" s="1"/>
  <c r="A80" i="429" s="1"/>
  <c r="A81" i="429" s="1"/>
  <c r="A82" i="429" s="1"/>
  <c r="A83" i="429" s="1"/>
  <c r="A84" i="429" s="1"/>
  <c r="A85" i="429" s="1"/>
  <c r="A86" i="429" s="1"/>
  <c r="A87" i="429" s="1"/>
  <c r="A88" i="429" s="1"/>
  <c r="A89" i="429" s="1"/>
  <c r="A90" i="429" s="1"/>
  <c r="A91" i="429" s="1"/>
  <c r="A92" i="429" s="1"/>
  <c r="A93" i="429" s="1"/>
  <c r="A94" i="429" s="1"/>
  <c r="A95" i="429" s="1"/>
  <c r="A96" i="429" s="1"/>
  <c r="A97" i="429" s="1"/>
  <c r="A98" i="429" s="1"/>
  <c r="A99" i="429" s="1"/>
  <c r="A100" i="429" s="1"/>
  <c r="A101" i="429" s="1"/>
  <c r="A7" i="411"/>
  <c r="A8" i="411" s="1"/>
  <c r="A9" i="411" s="1"/>
  <c r="A10" i="411" s="1"/>
  <c r="A11" i="411" s="1"/>
  <c r="A12" i="411" s="1"/>
  <c r="A13" i="411" s="1"/>
  <c r="A14" i="411" s="1"/>
  <c r="A15" i="411" s="1"/>
  <c r="A16" i="411" s="1"/>
  <c r="A17" i="411" s="1"/>
  <c r="A18" i="411" s="1"/>
  <c r="A19" i="411" s="1"/>
  <c r="A20" i="411" s="1"/>
  <c r="A21" i="411" s="1"/>
  <c r="A22" i="411" s="1"/>
  <c r="A23" i="411" s="1"/>
  <c r="A24" i="411" s="1"/>
  <c r="A25" i="411" s="1"/>
  <c r="A26" i="411" s="1"/>
  <c r="A27" i="411" s="1"/>
  <c r="A28" i="411" s="1"/>
  <c r="A29" i="411" s="1"/>
  <c r="A30" i="411" s="1"/>
  <c r="A31" i="411" s="1"/>
  <c r="A32" i="411" s="1"/>
  <c r="A33" i="411" s="1"/>
  <c r="A34" i="411" s="1"/>
  <c r="A35" i="411" s="1"/>
  <c r="A36" i="411" s="1"/>
  <c r="A37" i="411" s="1"/>
  <c r="A38" i="411" s="1"/>
  <c r="A39" i="411" s="1"/>
  <c r="A40" i="411" s="1"/>
  <c r="A41" i="411" s="1"/>
  <c r="A42" i="411" s="1"/>
  <c r="A43" i="411" s="1"/>
  <c r="A44" i="411" s="1"/>
  <c r="A45" i="411" s="1"/>
  <c r="A46" i="411" s="1"/>
  <c r="A47" i="411" s="1"/>
  <c r="A48" i="411" s="1"/>
  <c r="A49" i="411" s="1"/>
  <c r="A50" i="411" s="1"/>
  <c r="A51" i="411" s="1"/>
  <c r="A52" i="411" s="1"/>
  <c r="A53" i="411" s="1"/>
  <c r="A54" i="411" s="1"/>
  <c r="A55" i="411" s="1"/>
  <c r="A56" i="411" s="1"/>
  <c r="A57" i="411" s="1"/>
  <c r="A58" i="411" s="1"/>
  <c r="A59" i="411" s="1"/>
  <c r="A60" i="411" s="1"/>
  <c r="A61" i="411" s="1"/>
  <c r="A62" i="411" s="1"/>
  <c r="A63" i="411" s="1"/>
  <c r="A64" i="411" s="1"/>
  <c r="A65" i="411" s="1"/>
  <c r="A66" i="411" s="1"/>
  <c r="A67" i="411" s="1"/>
  <c r="A68" i="411" s="1"/>
  <c r="A69" i="411" s="1"/>
  <c r="A70" i="411" s="1"/>
  <c r="A71" i="411" s="1"/>
  <c r="A72" i="411" s="1"/>
  <c r="A73" i="411" s="1"/>
  <c r="A74" i="411" s="1"/>
  <c r="A75" i="411" s="1"/>
  <c r="A76" i="411" s="1"/>
  <c r="A77" i="411" s="1"/>
  <c r="A78" i="411" s="1"/>
  <c r="A79" i="411" s="1"/>
  <c r="A80" i="411" s="1"/>
  <c r="A81" i="411" s="1"/>
  <c r="A82" i="411" s="1"/>
  <c r="A83" i="411" s="1"/>
  <c r="A84" i="411" s="1"/>
  <c r="A85" i="411" s="1"/>
  <c r="A86" i="411" s="1"/>
  <c r="A87" i="411" s="1"/>
  <c r="A88" i="411" s="1"/>
  <c r="A89" i="411" s="1"/>
  <c r="A90" i="411" s="1"/>
  <c r="A91" i="411" s="1"/>
  <c r="A92" i="411" s="1"/>
  <c r="A93" i="411" s="1"/>
  <c r="A94" i="411" s="1"/>
  <c r="A95" i="411" s="1"/>
  <c r="A96" i="411" s="1"/>
  <c r="A97" i="411" s="1"/>
  <c r="A98" i="411" s="1"/>
  <c r="A99" i="411" s="1"/>
  <c r="A100" i="411" s="1"/>
  <c r="A101" i="411" s="1"/>
  <c r="A102" i="411" s="1"/>
  <c r="A103" i="411" s="1"/>
  <c r="A104" i="411" s="1"/>
  <c r="A105" i="411" s="1"/>
  <c r="A106" i="411" s="1"/>
  <c r="A107" i="411" s="1"/>
  <c r="A108" i="411" s="1"/>
  <c r="A109" i="411" s="1"/>
  <c r="A110" i="411" s="1"/>
  <c r="A111" i="411" s="1"/>
  <c r="A112" i="411" s="1"/>
  <c r="A113" i="411" s="1"/>
  <c r="A114" i="411" s="1"/>
  <c r="A115" i="411" s="1"/>
  <c r="A116" i="411" s="1"/>
  <c r="A117" i="411" s="1"/>
  <c r="A118" i="411" s="1"/>
  <c r="A119" i="411" s="1"/>
  <c r="A120" i="411" s="1"/>
  <c r="A121" i="411" s="1"/>
  <c r="A122" i="411" s="1"/>
  <c r="A123" i="411" s="1"/>
  <c r="W96" i="429"/>
  <c r="W44" i="433" s="1"/>
  <c r="W45" i="433" s="1"/>
  <c r="U8" i="97" s="1"/>
  <c r="W97" i="429"/>
  <c r="W93" i="433" s="1"/>
  <c r="W98" i="429"/>
  <c r="W124" i="433" s="1"/>
  <c r="W125" i="433" s="1"/>
  <c r="W99" i="429"/>
  <c r="W57" i="433" s="1"/>
  <c r="W58" i="433" s="1"/>
  <c r="U9" i="97" s="1"/>
  <c r="W100" i="429"/>
  <c r="W104" i="433" s="1"/>
  <c r="W102" i="429"/>
  <c r="E13" i="69" s="1"/>
  <c r="W101" i="429"/>
  <c r="W94" i="433" s="1"/>
  <c r="V102" i="429"/>
  <c r="T9" i="12" s="1"/>
  <c r="A124" i="411" l="1"/>
  <c r="A102" i="429"/>
  <c r="U18" i="97"/>
  <c r="W105" i="433"/>
  <c r="U12" i="97" s="1"/>
  <c r="U20" i="97" s="1"/>
  <c r="A52" i="410"/>
  <c r="U9" i="12"/>
  <c r="E12" i="69"/>
  <c r="Z9" i="12" l="1"/>
  <c r="F7" i="69"/>
  <c r="H7" i="67"/>
  <c r="Z7" i="12"/>
  <c r="Z8" i="12"/>
  <c r="F7" i="68"/>
  <c r="W126" i="433"/>
  <c r="E16" i="69"/>
  <c r="Z17" i="12" l="1"/>
  <c r="F15" i="69"/>
  <c r="F14" i="69"/>
  <c r="F13" i="69"/>
  <c r="F12" i="69"/>
  <c r="W13" i="403"/>
  <c r="W14" i="403"/>
  <c r="W15" i="403" s="1"/>
  <c r="V15" i="403"/>
  <c r="T11" i="12" s="1"/>
  <c r="T17" i="12" s="1"/>
  <c r="F16" i="69" l="1"/>
  <c r="U11" i="12"/>
  <c r="U17" i="12" s="1"/>
  <c r="E13" i="74"/>
  <c r="E12" i="74"/>
  <c r="E14" i="74" l="1"/>
  <c r="F13" i="74" s="1"/>
  <c r="F12" i="74" l="1"/>
  <c r="F14" i="74" s="1"/>
  <c r="A7" i="431"/>
  <c r="A8" i="431" s="1"/>
  <c r="A33" i="431"/>
  <c r="A34" i="431" s="1"/>
  <c r="A35" i="431" s="1"/>
  <c r="A36" i="431" s="1"/>
  <c r="A37" i="431" s="1"/>
  <c r="A38" i="431" s="1"/>
  <c r="A39" i="431" s="1"/>
  <c r="A40" i="431" s="1"/>
  <c r="A41" i="431" s="1"/>
  <c r="A42" i="431" s="1"/>
  <c r="A43" i="431" s="1"/>
  <c r="A44" i="431" s="1"/>
  <c r="A45" i="431" s="1"/>
  <c r="A46" i="431" s="1"/>
  <c r="A47" i="431" s="1"/>
  <c r="A48" i="431" s="1"/>
  <c r="A49" i="431" s="1"/>
  <c r="A50" i="431" s="1"/>
  <c r="A51" i="431" s="1"/>
  <c r="A54" i="431" s="1"/>
  <c r="A57" i="431" s="1"/>
  <c r="A58" i="431" s="1"/>
  <c r="A9" i="431" l="1"/>
  <c r="A10" i="431" s="1"/>
  <c r="A11" i="431" s="1"/>
  <c r="A12" i="431" s="1"/>
  <c r="A13" i="431" s="1"/>
  <c r="A14" i="431" s="1"/>
  <c r="A15" i="431" s="1"/>
  <c r="A16" i="431" s="1"/>
  <c r="A17" i="431" s="1"/>
  <c r="A18" i="431" s="1"/>
  <c r="A19" i="431" s="1"/>
  <c r="A20" i="431" s="1"/>
  <c r="A21" i="431" s="1"/>
  <c r="A22" i="431" s="1"/>
  <c r="A23" i="431" s="1"/>
  <c r="A24" i="431" s="1"/>
  <c r="A25" i="431" s="1"/>
  <c r="A26" i="431" s="1"/>
  <c r="A27" i="431" s="1"/>
  <c r="A28" i="431" s="1"/>
  <c r="A29" i="431" s="1"/>
  <c r="A60" i="431" l="1"/>
  <c r="A7" i="432"/>
  <c r="A8" i="432" s="1"/>
  <c r="A9" i="432" l="1"/>
  <c r="A10" i="432" s="1"/>
  <c r="A11" i="432" s="1"/>
  <c r="A12" i="432" s="1"/>
  <c r="A13" i="432" s="1"/>
  <c r="A14" i="432" s="1"/>
  <c r="A15" i="432" s="1"/>
  <c r="A16" i="432" s="1"/>
  <c r="A19" i="432" s="1"/>
  <c r="A20" i="432" s="1"/>
  <c r="A21" i="432" s="1"/>
  <c r="A22" i="432" s="1"/>
  <c r="A23" i="432" s="1"/>
  <c r="A24" i="432" s="1"/>
  <c r="A25" i="432" s="1"/>
  <c r="A26" i="432" s="1"/>
  <c r="A27" i="432" s="1"/>
  <c r="A28" i="432" s="1"/>
  <c r="A29" i="432" s="1"/>
  <c r="A30" i="432" s="1"/>
  <c r="A31" i="432" s="1"/>
  <c r="A32" i="432" s="1"/>
  <c r="A33" i="432" s="1"/>
  <c r="A34" i="432" s="1"/>
  <c r="A35" i="432" s="1"/>
  <c r="A36" i="432" s="1"/>
  <c r="A37" i="432" s="1"/>
  <c r="A38" i="432" s="1"/>
  <c r="A39" i="432" s="1"/>
  <c r="A40" i="432" s="1"/>
  <c r="A41" i="432" s="1"/>
  <c r="A42" i="432" s="1"/>
  <c r="A43" i="432" s="1"/>
  <c r="A44" i="432" s="1"/>
  <c r="A45" i="432" s="1"/>
  <c r="A46" i="432" s="1"/>
  <c r="A47" i="432" s="1"/>
  <c r="A48" i="432" s="1"/>
  <c r="A49" i="432" s="1"/>
  <c r="A50" i="432" s="1"/>
  <c r="A51" i="432" s="1"/>
  <c r="A52" i="432" s="1"/>
  <c r="A53" i="432" s="1"/>
  <c r="A54" i="432" s="1"/>
  <c r="A55" i="432" s="1"/>
  <c r="A56" i="432" s="1"/>
  <c r="A57" i="432" s="1"/>
  <c r="A58" i="432" s="1"/>
  <c r="A59" i="432" s="1"/>
  <c r="A60" i="432" s="1"/>
  <c r="A61" i="432" s="1"/>
  <c r="A62" i="432" s="1"/>
  <c r="A63" i="432" s="1"/>
  <c r="A64" i="432" s="1"/>
  <c r="A65" i="432" s="1"/>
  <c r="A66" i="432" s="1"/>
  <c r="A67" i="432" s="1"/>
  <c r="A70" i="432" s="1"/>
  <c r="A71" i="432" s="1"/>
  <c r="A74" i="432" s="1"/>
  <c r="A77" i="432" s="1"/>
  <c r="A78" i="432" s="1"/>
  <c r="A79" i="432" s="1"/>
  <c r="A80" i="432" s="1"/>
  <c r="A81" i="432" s="1"/>
  <c r="A82" i="432" s="1"/>
  <c r="A83" i="432" s="1"/>
  <c r="A84" i="432" s="1"/>
  <c r="A85" i="432" s="1"/>
  <c r="A86" i="432" s="1"/>
  <c r="A87" i="432" s="1"/>
  <c r="A88" i="432" s="1"/>
  <c r="A89" i="432" s="1"/>
  <c r="A90" i="432" s="1"/>
  <c r="A91" i="432" s="1"/>
  <c r="A92" i="432" s="1"/>
  <c r="A93" i="432" s="1"/>
  <c r="A94" i="432" s="1"/>
  <c r="A95" i="432" s="1"/>
  <c r="A96" i="432" s="1"/>
  <c r="A97" i="432" s="1"/>
  <c r="A98" i="432" s="1"/>
  <c r="A99" i="432" s="1"/>
  <c r="A100" i="432" s="1"/>
  <c r="A101" i="432" s="1"/>
  <c r="A102" i="432" s="1"/>
  <c r="A103" i="432" s="1"/>
  <c r="A104" i="432" s="1"/>
  <c r="A107" i="432" s="1"/>
  <c r="A108" i="432" s="1"/>
  <c r="A109" i="432" s="1"/>
  <c r="A110" i="432" s="1"/>
  <c r="A111" i="432" s="1"/>
  <c r="A112" i="432" s="1"/>
  <c r="A113" i="432" s="1"/>
  <c r="A114" i="432" s="1"/>
  <c r="A115" i="432" s="1"/>
  <c r="A116" i="432" s="1"/>
  <c r="A117" i="432" s="1"/>
  <c r="A118" i="432" s="1"/>
  <c r="A119" i="432" s="1"/>
  <c r="A120" i="432" s="1"/>
  <c r="A121" i="432" s="1"/>
  <c r="A122" i="432" s="1"/>
  <c r="A123" i="432" s="1"/>
  <c r="A126" i="432" s="1"/>
  <c r="A127" i="432" s="1"/>
  <c r="A128" i="432" s="1"/>
  <c r="A131" i="432" s="1"/>
  <c r="A134" i="432" s="1"/>
  <c r="A135" i="432" s="1"/>
  <c r="A136" i="432" s="1"/>
  <c r="A139" i="432" s="1"/>
  <c r="A140" i="432" s="1"/>
  <c r="A143" i="432" s="1"/>
  <c r="A144" i="432" s="1"/>
  <c r="A146" i="432" l="1"/>
  <c r="A9" i="433"/>
  <c r="A63" i="433"/>
  <c r="A64" i="433" s="1"/>
  <c r="A65" i="433" s="1"/>
  <c r="A66" i="433" s="1"/>
  <c r="A67" i="433" s="1"/>
  <c r="A68" i="433" s="1"/>
  <c r="A69" i="433" s="1"/>
  <c r="A70" i="433" s="1"/>
  <c r="A71" i="433" s="1"/>
  <c r="A72" i="433" s="1"/>
  <c r="A73" i="433" s="1"/>
  <c r="A74" i="433" s="1"/>
  <c r="A75" i="433" s="1"/>
  <c r="A76" i="433" s="1"/>
  <c r="A77" i="433" s="1"/>
  <c r="A78" i="433" s="1"/>
  <c r="A79" i="433" s="1"/>
  <c r="A80" i="433" s="1"/>
  <c r="A81" i="433" s="1"/>
  <c r="A82" i="433" s="1"/>
  <c r="A83" i="433" s="1"/>
  <c r="A84" i="433" s="1"/>
  <c r="A85" i="433" s="1"/>
  <c r="A86" i="433" s="1"/>
  <c r="A87" i="433" s="1"/>
  <c r="A88" i="433" s="1"/>
  <c r="A89" i="433" s="1"/>
  <c r="A92" i="433" s="1"/>
  <c r="A93" i="433" s="1"/>
  <c r="A94" i="433" s="1"/>
  <c r="A95" i="433" s="1"/>
  <c r="A96" i="433" s="1"/>
  <c r="A97" i="433" s="1"/>
  <c r="A98" i="433" s="1"/>
  <c r="A99" i="433" s="1"/>
  <c r="A100" i="433" s="1"/>
  <c r="A101" i="433" s="1"/>
  <c r="A102" i="433" s="1"/>
  <c r="A103" i="433" s="1"/>
  <c r="A104" i="433" s="1"/>
  <c r="A107" i="433" s="1"/>
  <c r="A108" i="433" s="1"/>
  <c r="A109" i="433" s="1"/>
  <c r="A112" i="433" s="1"/>
  <c r="A115" i="433" s="1"/>
  <c r="A116" i="433" s="1"/>
  <c r="A119" i="433" s="1"/>
  <c r="A120" i="433" s="1"/>
  <c r="A121" i="433" s="1"/>
  <c r="A122" i="433" s="1"/>
  <c r="A123" i="433" s="1"/>
  <c r="A124" i="433" s="1"/>
  <c r="A10" i="433" l="1"/>
  <c r="A11" i="433" s="1"/>
  <c r="A12" i="433" s="1"/>
  <c r="A13" i="433" s="1"/>
  <c r="A14" i="433" s="1"/>
  <c r="A17" i="433" s="1"/>
  <c r="A20" i="433" s="1"/>
  <c r="A21" i="433" s="1"/>
  <c r="A22" i="433" s="1"/>
  <c r="A23" i="433" s="1"/>
  <c r="A24" i="433" s="1"/>
  <c r="A25" i="433" s="1"/>
  <c r="A26" i="433" s="1"/>
  <c r="A27" i="433" s="1"/>
  <c r="A28" i="433" s="1"/>
  <c r="A29" i="433" s="1"/>
  <c r="A30" i="433" s="1"/>
  <c r="A31" i="433" s="1"/>
  <c r="A32" i="433" s="1"/>
  <c r="A33" i="433" s="1"/>
  <c r="A34" i="433" s="1"/>
  <c r="A35" i="433" s="1"/>
  <c r="A36" i="433" s="1"/>
  <c r="A37" i="433" s="1"/>
  <c r="A38" i="433" s="1"/>
  <c r="A39" i="433" s="1"/>
  <c r="A40" i="433" s="1"/>
  <c r="A41" i="433" s="1"/>
  <c r="A42" i="433" s="1"/>
  <c r="A43" i="433" s="1"/>
  <c r="A44" i="433" s="1"/>
  <c r="A47" i="433" s="1"/>
  <c r="A48" i="433" s="1"/>
  <c r="A49" i="433" s="1"/>
  <c r="A50" i="433" s="1"/>
  <c r="A51" i="433" s="1"/>
  <c r="A52" i="433" s="1"/>
  <c r="A53" i="433" s="1"/>
  <c r="A54" i="433" s="1"/>
  <c r="A55" i="433" s="1"/>
  <c r="A56" i="433" s="1"/>
  <c r="A57" i="433" s="1"/>
  <c r="A126" i="433" l="1"/>
  <c r="A7" i="438"/>
  <c r="A8" i="438" s="1"/>
  <c r="A19" i="438"/>
  <c r="A20" i="438" s="1"/>
  <c r="A21" i="438" s="1"/>
  <c r="A22" i="438" s="1"/>
  <c r="A25" i="438" s="1"/>
  <c r="A26" i="438" s="1"/>
  <c r="A11" i="438" l="1"/>
  <c r="A14" i="438" s="1"/>
  <c r="A28" i="438" l="1"/>
  <c r="A125" i="438"/>
  <c r="A128" i="438" s="1"/>
  <c r="A9" i="441"/>
  <c r="A10" i="441" s="1"/>
  <c r="A11" i="441" s="1"/>
  <c r="A12" i="441" s="1"/>
  <c r="A15" i="441" s="1"/>
  <c r="A16" i="441" s="1"/>
  <c r="A17" i="441" s="1"/>
  <c r="A20" i="441" s="1"/>
  <c r="A23" i="441" s="1"/>
  <c r="A24" i="441" s="1"/>
  <c r="A26" i="441" l="1"/>
  <c r="A139" i="441" l="1"/>
  <c r="A142" i="4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A6" authorId="0" shapeId="0" xr:uid="{EB6C974A-929C-489B-BEAB-4DC518C03178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A14" authorId="0" shapeId="0" xr:uid="{3D3E9B06-349F-4099-9347-D6E8859D9BBE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Q22" authorId="0" shapeId="0" xr:uid="{8A0CA1FC-FE9C-4725-8D1D-AD2E47B71DE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רמי/שצפים</t>
        </r>
      </text>
    </comment>
    <comment ref="AA22" authorId="0" shapeId="0" xr:uid="{FE0844D9-985C-4663-8C0F-EBBFBDCE12DD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AA23" authorId="0" shapeId="0" xr:uid="{425FB8E6-4C52-45AE-B221-D01EC2679EAF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רמי יועץ הסכם גג</t>
        </r>
      </text>
    </comment>
    <comment ref="Q25" authorId="0" shapeId="0" xr:uid="{F347C2CF-5969-48EB-9C68-695B97DD2593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רמי/שצ"פים</t>
        </r>
      </text>
    </comment>
    <comment ref="Q26" authorId="0" shapeId="0" xr:uid="{4072AB59-10A9-4709-9ACB-74FBAE126D13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רמי/שצ"פים</t>
        </r>
      </text>
    </comment>
    <comment ref="AA36" authorId="0" shapeId="0" xr:uid="{9991424E-DC52-47FB-A88C-60114380CD35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R44" authorId="0" shapeId="0" xr:uid="{6822BC24-2B10-44EE-B94D-00CB2F7F14BD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וע. 29.9.24</t>
        </r>
      </text>
    </comment>
    <comment ref="Q51" authorId="0" shapeId="0" xr:uid="{16C916A3-B656-4C42-8B0D-B944187B37F8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 נ.ת.ע סכום של 4,876,014</t>
        </r>
      </text>
    </comment>
    <comment ref="AA51" authorId="0" shapeId="0" xr:uid="{CB0C877F-26AA-47C4-A2EB-EEA21FBD9447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נ.ת.ע חלק המע"מ שלא תוקצב ותקציב 2024 שלא נדרש</t>
        </r>
      </text>
    </comment>
    <comment ref="AA58" authorId="0" shapeId="0" xr:uid="{1AE67B4B-55C4-40D3-9511-81D280B969F2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הקרן לשמירת שטחים  1800 אלשח 
פתוחים ורשות ניקוז.</t>
        </r>
      </text>
    </comment>
    <comment ref="AY61" authorId="0" shapeId="0" xr:uid="{67A4BE85-FFC2-414D-97D4-03B2AAD84681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ראה תב"ר בהנדסה חדש קו ניקוז באיצטדיון</t>
        </r>
      </text>
    </comment>
    <comment ref="Q77" authorId="0" shapeId="0" xr:uid="{B2EB52B0-C7F8-4674-86FB-A158703B2598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Q79" authorId="0" shapeId="0" xr:uid="{866DB668-397B-461B-AA2D-4ACBD9C1A8AE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כולל 12,127,394 ₪ מ. החינוך. עדכון הרשאה שטרם התקבלב 1.575 מלשח</t>
        </r>
      </text>
    </comment>
    <comment ref="AA79" authorId="0" shapeId="0" xr:uid="{6D6C0041-09C5-4760-94E7-C3B3B875C13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Q81" authorId="0" shapeId="0" xr:uid="{0F99DF7B-A3AA-40FF-8A24-27A357C74907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1,071,781 ₪  לא יתוקצב אין עדיין הרשאה עובר ל - 2025</t>
        </r>
      </text>
    </comment>
    <comment ref="R81" authorId="0" shapeId="0" xr:uid="{5442600D-311B-4D94-BB8B-E05CF9709446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וע. 29.9.24</t>
        </r>
      </text>
    </comment>
    <comment ref="AA81" authorId="0" shapeId="0" xr:uid="{1D2F9694-31B3-4AC0-90FC-DCDAB95E6AFD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Q83" authorId="0" shapeId="0" xr:uid="{68F54170-860E-4512-A242-F6A93D5A8BF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סכום 11,248,406 מ. החינוך</t>
        </r>
      </text>
    </comment>
    <comment ref="AA83" authorId="0" shapeId="0" xr:uid="{1B2F1D20-E48D-4D8E-806F-16053FA5DCB0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R84" authorId="0" shapeId="0" xr:uid="{B9E1C36E-93E8-45AC-BAFB-A53EE4A3B7F1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29.9.24
</t>
        </r>
      </text>
    </comment>
    <comment ref="Q86" authorId="0" shapeId="0" xr:uid="{9B0C19F8-B2AB-45B0-BF60-0DD06BCB35D6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החינוך. תוקצב ב - 2025</t>
        </r>
      </text>
    </comment>
    <comment ref="AA86" authorId="0" shapeId="0" xr:uid="{5778DE8A-8958-43B6-84A8-6EAA2C03DAF9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Q87" authorId="0" shapeId="0" xr:uid="{AF071340-6010-445B-A2BD-8869A9215C12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החינוך. אין הרשאה. תוקצב ב - 2025</t>
        </r>
      </text>
    </comment>
    <comment ref="AA87" authorId="0" shapeId="0" xr:uid="{6EF63198-7C25-4915-BD7F-BD0A0F60F95E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השלמת הרשאות מ. החינוך</t>
        </r>
      </text>
    </comment>
    <comment ref="Q90" authorId="0" shapeId="0" xr:uid="{CAEEEFC6-6FAC-46F9-9C49-8BFEBA7155C4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88,427 ₪ </t>
        </r>
      </text>
    </comment>
    <comment ref="AA92" authorId="0" shapeId="0" xr:uid="{EF67ADE6-0D43-4835-8028-BC71C9268B9C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93" authorId="0" shapeId="0" xr:uid="{859DC912-3725-40DF-ACB6-170C4145ABA7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AA96" authorId="0" shapeId="0" xr:uid="{F9E65AB6-3B9F-4A93-83F1-D4742EF629F5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</t>
        </r>
      </text>
    </comment>
    <comment ref="Q97" authorId="0" shapeId="0" xr:uid="{CFB20CCC-B53A-4ECB-9E6E-3D27E9967B63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מס'  כולל תוספת הרשאה שטרם אושרה2023/02/207. 1.5 מלשח קרן שלם. 1.6 מלשח ביטוח לאומי. סכום של 490 ₪ מקעפ 244 אלשח אין הרשאה עובר ל -2025</t>
        </r>
      </text>
    </comment>
    <comment ref="AA97" authorId="0" shapeId="0" xr:uid="{5DBDE7ED-BE7E-4AA8-94B5-CAF06FEC3129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החינוך הרשאה מס'  כולל תוספת הרשאה שטרם אושרה2023/02/207. 1.5 מלשח קרן שלם. 1.6 מלשח ביטוח לאומי</t>
        </r>
      </text>
    </comment>
    <comment ref="Q108" authorId="0" shapeId="0" xr:uid="{74D2F7E9-2871-4F96-990F-D125F15327AA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מימון רמ"י/מוס"צ</t>
        </r>
      </text>
    </comment>
    <comment ref="Q109" authorId="0" shapeId="0" xr:uid="{1226708F-E861-4195-BB5F-9ACFA3E924F9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Q112" authorId="0" shapeId="0" xr:uid="{13B1DF93-007E-4821-BF09-FE5772FD4051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התרבות</t>
        </r>
      </text>
    </comment>
    <comment ref="AA112" authorId="0" shapeId="0" xr:uid="{164792A3-5DC2-4F31-91EF-7C5C8575D72C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 מ. הספורט מ. הפיס</t>
        </r>
      </text>
    </comment>
    <comment ref="H114" authorId="0" shapeId="0" xr:uid="{E1A6B44A-C4B6-4F9E-B9CE-E914146D1BBB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17.11.24</t>
        </r>
      </text>
    </comment>
    <comment ref="J114" authorId="0" shapeId="0" xr:uid="{5442C9C0-EBF7-48D7-8769-C1B33C41ADA4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17.11.24</t>
        </r>
      </text>
    </comment>
    <comment ref="R120" authorId="0" shapeId="0" xr:uid="{9E7E0111-E1BC-4BB4-B009-9C443378B1A4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וע. 29.9.24
</t>
        </r>
      </text>
    </comment>
    <comment ref="Q121" authorId="0" shapeId="0" xr:uid="{2FA2D408-708D-4F00-B07A-640D6BAE0898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סכום של 2,477,000 מ. הספורט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A57" authorId="0" shapeId="0" xr:uid="{3775050C-B709-4273-B2CE-5C141DAA3923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הפנים</t>
        </r>
      </text>
    </comment>
    <comment ref="E80" authorId="0" shapeId="0" xr:uid="{9C43584E-6D03-4CA8-B684-29FF4B6A27A2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וע. 29.9.24</t>
        </r>
      </text>
    </comment>
    <comment ref="AA104" authorId="0" shapeId="0" xr:uid="{A9D369AA-8F34-4682-ADF7-D31E0CD8AF53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הספורט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A12" authorId="0" shapeId="0" xr:uid="{D4279336-A177-42D2-8667-D1058709ED11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הפייס</t>
        </r>
      </text>
    </comment>
    <comment ref="AA13" authorId="0" shapeId="0" xr:uid="{8CF54A47-5CDC-4CAC-968D-2AD41B321A62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הפייס</t>
        </r>
      </text>
    </comment>
    <comment ref="AA14" authorId="0" shapeId="0" xr:uid="{B3AA74BE-C3CE-434C-B492-C449D2D9653A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הפייס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A6" authorId="0" shapeId="0" xr:uid="{23B96A20-52D8-4B68-879E-DBC7E2292EDE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רמ"י</t>
        </r>
      </text>
    </comment>
    <comment ref="Q7" authorId="0" shapeId="0" xr:uid="{B8499FC2-DE41-41C1-A454-9C996BA73407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20.10.24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A26" authorId="0" shapeId="0" xr:uid="{99785E59-348E-4484-9CA5-1ADEC10920EB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מ. הפיס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J9" authorId="0" shapeId="0" xr:uid="{FAB03197-4607-47FB-B50E-015D127E2A92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ההזמנה נסגרה 3.11.24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J12" authorId="0" shapeId="0" xr:uid="{DCF47E6B-8B37-4EAC-B8AB-2459640367BF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הסכום עד גובה התקציב הפנוי בסעיף 980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Gizbarut-Orna Goldfriend</author>
  </authors>
  <commentList>
    <comment ref="AE6" authorId="0" shapeId="0" xr:uid="{77311331-B63C-491E-A0C9-841D034317CE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12.5.24</t>
        </r>
      </text>
    </comment>
    <comment ref="AT6" authorId="0" shapeId="0" xr:uid="{3B364733-26E7-4D1E-8492-B7700B30C22D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א"ד 5 ו -6 הרשאה רמ"י</t>
        </r>
      </text>
    </comment>
    <comment ref="AK9" authorId="0" shapeId="0" xr:uid="{FDA0C1C8-278D-45A8-B06B-11812C144085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נדחה ל - 2025 עדכוני תקציב  יוני 2024</t>
        </r>
      </text>
    </comment>
    <comment ref="AM9" authorId="0" shapeId="0" xr:uid="{FC6538DF-4909-4D89-AA67-7F5DC7A98E4D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2.6.24</t>
        </r>
      </text>
    </comment>
    <comment ref="AK10" authorId="0" shapeId="0" xr:uid="{7AAEFAEE-7487-44C9-84E5-D482EEB0FC4D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נדחה ל - 2025 עדכוני תקציב  יוני 2024</t>
        </r>
      </text>
    </comment>
    <comment ref="AM10" authorId="0" shapeId="0" xr:uid="{97B89167-C3E9-4D7D-A7CB-DACE12BC147D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וע. 2.6.24</t>
        </r>
      </text>
    </comment>
    <comment ref="AW13" authorId="0" shapeId="0" xr:uid="{DC05095E-664E-485F-BE38-38F7CD3E5F88}">
      <text>
        <r>
          <rPr>
            <b/>
            <sz val="9"/>
            <color indexed="81"/>
            <rFont val="Tahoma"/>
            <family val="2"/>
          </rPr>
          <t>Gizbarut-Orna Goldfriend:</t>
        </r>
        <r>
          <rPr>
            <sz val="9"/>
            <color indexed="81"/>
            <rFont val="Tahoma"/>
            <family val="2"/>
          </rPr>
          <t xml:space="preserve">
עדכון 20.10.24</t>
        </r>
      </text>
    </comment>
  </commentList>
</comments>
</file>

<file path=xl/sharedStrings.xml><?xml version="1.0" encoding="utf-8"?>
<sst xmlns="http://schemas.openxmlformats.org/spreadsheetml/2006/main" count="4509" uniqueCount="1518">
  <si>
    <t>מס' סידורי</t>
  </si>
  <si>
    <t>מס' תב"ר</t>
  </si>
  <si>
    <t>שם תב"ר</t>
  </si>
  <si>
    <t>אומדן כולל לפרוקט</t>
  </si>
  <si>
    <t>אומדן מאושר במועצה</t>
  </si>
  <si>
    <t>תוספת לאומדן לאישור המועצה</t>
  </si>
  <si>
    <t xml:space="preserve">תקציב מאושר </t>
  </si>
  <si>
    <t>ביצוע בפועל</t>
  </si>
  <si>
    <t>שריון מערך הרכש</t>
  </si>
  <si>
    <t>שריון מערך חוזים</t>
  </si>
  <si>
    <t>סה"כ שריון התחייבויות</t>
  </si>
  <si>
    <t>סה"כ ביצוע</t>
  </si>
  <si>
    <t>יתרת תקציב</t>
  </si>
  <si>
    <t>קרן עבודות פיתוח</t>
  </si>
  <si>
    <t>קרן עודפי תקציב רגיל</t>
  </si>
  <si>
    <t>קרן רכוש</t>
  </si>
  <si>
    <t>פרק תב"ר</t>
  </si>
  <si>
    <t>תכנון מתחם הר' 2200</t>
  </si>
  <si>
    <t>תב"עות קטנות</t>
  </si>
  <si>
    <t>תמ"א 38</t>
  </si>
  <si>
    <t>תכנון פרויקטים פינוי בינוי</t>
  </si>
  <si>
    <t>פינוי בינוי מעונות שרה</t>
  </si>
  <si>
    <t>מתחם הבריגדה מתחם הר' 1960</t>
  </si>
  <si>
    <t>מחלף הרב מכר</t>
  </si>
  <si>
    <t>פיתוח מתחם אלוני ים הר' 2030</t>
  </si>
  <si>
    <t>פיתוח מתחם "מרינה לי"</t>
  </si>
  <si>
    <t>מרכז תחבורה חדש</t>
  </si>
  <si>
    <t>יעודי קרקע -מפת בסיס</t>
  </si>
  <si>
    <t>עבודות ניקוז בעיר</t>
  </si>
  <si>
    <t>עבודות פיתוח ותשתיות קטנות</t>
  </si>
  <si>
    <t>פרויקטים תחבורתיים בעיר</t>
  </si>
  <si>
    <t>תכנונים כלליים</t>
  </si>
  <si>
    <t>מתחם נוף ים פיתוח</t>
  </si>
  <si>
    <t>ליווי תשתיות לאומיות</t>
  </si>
  <si>
    <t>העתקות פרויקטים שונים</t>
  </si>
  <si>
    <t>מערכת בקרת רמזורים</t>
  </si>
  <si>
    <t>החלפת מדרכות</t>
  </si>
  <si>
    <t>ספורטק שלב ג'</t>
  </si>
  <si>
    <t>הוצאות בקשר עם תביעות סעיף 197</t>
  </si>
  <si>
    <t>תכנון ייעוץ הנדסי "סל"</t>
  </si>
  <si>
    <t>שיפוץ מבני דת ציבוריים</t>
  </si>
  <si>
    <t>עבודות שונות בפארק הרצליה</t>
  </si>
  <si>
    <t>שדרוג מקלטים ציבוריים</t>
  </si>
  <si>
    <t>גידור שיפוץ גדרות מ.ספורט</t>
  </si>
  <si>
    <t>הצטידות כיתות חדשות בי"ס</t>
  </si>
  <si>
    <t>מדידות נכסים לחיוב היטלי פיתוח</t>
  </si>
  <si>
    <t>בדיקות חיוב להיטלי פיתוח</t>
  </si>
  <si>
    <t>הפרשה בגין תביעות תלויות</t>
  </si>
  <si>
    <t>הלוואה לטובת אוצר המדינה</t>
  </si>
  <si>
    <t>יער עירוני וגינות קהילתיות</t>
  </si>
  <si>
    <t>הטמעת עקרונות הקיימות בחינוך</t>
  </si>
  <si>
    <t>שדרוג מערכות הליבה</t>
  </si>
  <si>
    <t>שיפוץ דירות עמידר</t>
  </si>
  <si>
    <t>חזיתות בתים שיפוץ</t>
  </si>
  <si>
    <t>פצוי והפקעה ב-6525/6 הר' 1704</t>
  </si>
  <si>
    <t>בית הרמלין-חלקה 92-גוש 6592</t>
  </si>
  <si>
    <t>עלויות רכישת מקרקעין</t>
  </si>
  <si>
    <t>פיצויי הפקעה הר'1941 פארק הבאסה</t>
  </si>
  <si>
    <t>הקמת גינות לכלבים</t>
  </si>
  <si>
    <t>סככות הצללה לגני משחקים</t>
  </si>
  <si>
    <t>נטיעת עצים ברחבי העיר</t>
  </si>
  <si>
    <t>סקר עצים מסוכנים ברחבי העיר</t>
  </si>
  <si>
    <t>בית העלמין החדש</t>
  </si>
  <si>
    <t>עבודות פיתוח קטנות</t>
  </si>
  <si>
    <t>מתחם זרובבל</t>
  </si>
  <si>
    <t>סה"כ החברה לפיתוח הרצליה</t>
  </si>
  <si>
    <t>תב"ע חוף הים</t>
  </si>
  <si>
    <t>אחרים</t>
  </si>
  <si>
    <t>חופים</t>
  </si>
  <si>
    <t>איכות הסביבה</t>
  </si>
  <si>
    <t>מרכיבי העלות</t>
  </si>
  <si>
    <t>מקורות מימון לפרויקט</t>
  </si>
  <si>
    <t>אומדן כולל לפרויקט</t>
  </si>
  <si>
    <t>תוספת לאומדן  לאישור מועצה</t>
  </si>
  <si>
    <t>החברה לפיתוח התיירות</t>
  </si>
  <si>
    <t>סה"כ</t>
  </si>
  <si>
    <t xml:space="preserve">תקציב מאושר  </t>
  </si>
  <si>
    <t>פיתוח מתחם המכללות הר' 1920/1</t>
  </si>
  <si>
    <t>פתוח מתחם הר' 1972 תחנה מרכזית</t>
  </si>
  <si>
    <t>החברה לפיתוח התיירות הרצליה</t>
  </si>
  <si>
    <t>שיפוץ ובינוי נכסים עירוניים כולל תשתיות</t>
  </si>
  <si>
    <t>הקמת גינות בי"ס קהילתיות</t>
  </si>
  <si>
    <t>מתנ"ס נווה ישראל</t>
  </si>
  <si>
    <t>פיתוח מתחם הר' 1903</t>
  </si>
  <si>
    <t>שימור אתרים</t>
  </si>
  <si>
    <t xml:space="preserve">פינוי בינוי צומת כדורי </t>
  </si>
  <si>
    <t>פיתוח גליל ים ב'</t>
  </si>
  <si>
    <t>עבודות הרחבה התאמה איצטדיון</t>
  </si>
  <si>
    <t>שיפוץ ותוספת בניה בי"ס בר אילן</t>
  </si>
  <si>
    <t>שיפוץ בי"ס מפתן ארז</t>
  </si>
  <si>
    <t>התקנת מעלית בי"ס שז"ר</t>
  </si>
  <si>
    <t>מע. תאורה LED ברחבי העיר</t>
  </si>
  <si>
    <t>הצטיידות גנ"י חדשים ח"ר,ח"מ</t>
  </si>
  <si>
    <t>תוכנית שיווק והפרדת פסולת</t>
  </si>
  <si>
    <t>פרויקט תכסיות וניתוח מרחבי</t>
  </si>
  <si>
    <t>גן 3 כיתות 401 גליל ים ב'</t>
  </si>
  <si>
    <t>נגישות לאנשים עם מוגבלויות</t>
  </si>
  <si>
    <t>התאמות נגישות מוסדות חינוך</t>
  </si>
  <si>
    <t>שילוט ברחבי העיר</t>
  </si>
  <si>
    <t>גשר הולכי רגל מעל שבעת הכוכבים</t>
  </si>
  <si>
    <t xml:space="preserve">שיפוצים שונים מוס"ח </t>
  </si>
  <si>
    <t>שריון מערך רכש</t>
  </si>
  <si>
    <t>בניית בי"ס ברחוב משה (ירוק)</t>
  </si>
  <si>
    <t>ציפוי מגרשי ספורט</t>
  </si>
  <si>
    <t>בניה עצמית ליד המתחם הבינתחומי</t>
  </si>
  <si>
    <t>ü</t>
  </si>
  <si>
    <t>הכשרת חניון העוגן</t>
  </si>
  <si>
    <t>3.6</t>
  </si>
  <si>
    <t>קרנות הרשות - צפי תנועה באלפי ₪</t>
  </si>
  <si>
    <t>תאור</t>
  </si>
  <si>
    <t>מקורות</t>
  </si>
  <si>
    <t>יתרה צפויה 1.1</t>
  </si>
  <si>
    <t xml:space="preserve">היטלי השבחה ופיתוח שנה שוטפת </t>
  </si>
  <si>
    <t xml:space="preserve">העמקת גביה מהיטלי פיתוח שנה שוטפת </t>
  </si>
  <si>
    <t>סה"כ מקורות</t>
  </si>
  <si>
    <t>שימושים</t>
  </si>
  <si>
    <t>השתתפות בשכ"ע הנדסה לפיתוח ותכנון</t>
  </si>
  <si>
    <t>מימון תקציב בלתי רגיל</t>
  </si>
  <si>
    <t>סה"כ שימושים</t>
  </si>
  <si>
    <t>1.</t>
  </si>
  <si>
    <t>מבוא</t>
  </si>
  <si>
    <t xml:space="preserve">רקע : </t>
  </si>
  <si>
    <t xml:space="preserve">התקציב הבלתי רגיל (תב"ר) מהווה מסגרת תקציבית שנועדה בעיקר לביצוע פרויקטים  של עבודות  </t>
  </si>
  <si>
    <t>מקורות המימון לתב"ר הינם :</t>
  </si>
  <si>
    <t>מענקים ממקורות שלטוניים ובעיקר ממשרדי ממשלה.</t>
  </si>
  <si>
    <t xml:space="preserve">מקורות עצמיים של הרשות הכוללים היטלי השבחה , היטלי פיתוח , העברות מתקציב רגיל, </t>
  </si>
  <si>
    <t>תרומות, מימוש נכסים.</t>
  </si>
  <si>
    <t>הלוואות לזמן ארוך.</t>
  </si>
  <si>
    <t xml:space="preserve">אישור התקציב הבלתי רגיל : </t>
  </si>
  <si>
    <t xml:space="preserve">על פי הוראות משרד הפנים ,לכל פרויקט יש לקבוע את היקף ההשקעה ומקורות המימון. </t>
  </si>
  <si>
    <t>ב – 16.3.2014 הכריז משרד הפנים על עיריית הרצליה כעל עירייה איתנה.</t>
  </si>
  <si>
    <t>חברי וועדת הכספים/מועצת העיר מתבקשים לאשר בזאת :</t>
  </si>
  <si>
    <t xml:space="preserve">באלפי ₪ </t>
  </si>
  <si>
    <t>מתוך אומדן כולל של הפרויקטים בסכום של</t>
  </si>
  <si>
    <t>2.</t>
  </si>
  <si>
    <t>מקורות המימון באלפי ₪ היו כדלקמן -</t>
  </si>
  <si>
    <t>קרן מכירת רכוש</t>
  </si>
  <si>
    <t>משרדי ממשלה ואחרים</t>
  </si>
  <si>
    <t>סה"כ תקציב</t>
  </si>
  <si>
    <t xml:space="preserve">משרדי ממשלה ואחרים </t>
  </si>
  <si>
    <t>אחוז ביצוע</t>
  </si>
  <si>
    <t xml:space="preserve">סה"כ </t>
  </si>
  <si>
    <t>הצעת התקציב הבלתי רגיל מסתכמת בהשקעה של</t>
  </si>
  <si>
    <t>3.</t>
  </si>
  <si>
    <t>שם פרק</t>
  </si>
  <si>
    <t>החברה לפיתוח הרצליה</t>
  </si>
  <si>
    <t>אומדן מקורות המימון  באלפי ₪  מפורט להלן -</t>
  </si>
  <si>
    <t>מקור</t>
  </si>
  <si>
    <t>קרן לעבודות פיתוח</t>
  </si>
  <si>
    <t>סה"כ משרדי ממשלה ואחרים</t>
  </si>
  <si>
    <t>סעיף מימון משרדי ממשלה ואחרים מפורט בטבלה להלן – באלפי ₪ (*)</t>
  </si>
  <si>
    <t>משרד התחבורה</t>
  </si>
  <si>
    <t>משרד החינוך</t>
  </si>
  <si>
    <t>משרד הבינוי והשיכון</t>
  </si>
  <si>
    <t>רשות מינהל מקרקעי ישראל</t>
  </si>
  <si>
    <t>מפעל הפייס</t>
  </si>
  <si>
    <t>הכנסות בעד עבודות</t>
  </si>
  <si>
    <t>(*)</t>
  </si>
  <si>
    <t xml:space="preserve"> תקצוב הפרויקטים נשוא מימון משרדי ממשלה ואחרים כמפורט לעיל מותנה בקבלת מסמך </t>
  </si>
  <si>
    <t>התחייבות כספית חתום על ידי מורשי חתימה של הגורם המממן.</t>
  </si>
  <si>
    <t>פרויקטים בביצוע החברה לפיתוח</t>
  </si>
  <si>
    <t xml:space="preserve">בהתאם לתוספת להסכם מסגרת לביצוע פרויקטים הנדסיים בין העירייה לחברה לפיתוח הרצליה </t>
  </si>
  <si>
    <t xml:space="preserve">מיום 10.4.2005, יש לאשר במועצת העיר את ביצוע הפרויקטים  שהיקפם עולה על ערך הסף.  </t>
  </si>
  <si>
    <t>מקורות מימון אחרים - פרוט</t>
  </si>
  <si>
    <t>אגף/מחלקה</t>
  </si>
  <si>
    <t>המשרד להגנת הסביבה</t>
  </si>
  <si>
    <t xml:space="preserve">הכנסות בעד עבודות </t>
  </si>
  <si>
    <t xml:space="preserve">החברה לפיתוח הרצליה </t>
  </si>
  <si>
    <t>רשות  מקרקעי ישראל</t>
  </si>
  <si>
    <t>תוכן</t>
  </si>
  <si>
    <t>עמודים</t>
  </si>
  <si>
    <t>ריכוזים ודברי הסבר</t>
  </si>
  <si>
    <t>נכסים ציבוריים</t>
  </si>
  <si>
    <t>נכסים</t>
  </si>
  <si>
    <t>תכנון בנין עיר</t>
  </si>
  <si>
    <t>מינהל כללי</t>
  </si>
  <si>
    <t>שרותים עירוניים שונים</t>
  </si>
  <si>
    <t>מבני דת ציבוריים</t>
  </si>
  <si>
    <t>עלויות</t>
  </si>
  <si>
    <t>תקציב</t>
  </si>
  <si>
    <t>ועדת כספים</t>
  </si>
  <si>
    <t>מועצה</t>
  </si>
  <si>
    <t>אומדן כולל לפרויקט
מעודכן</t>
  </si>
  <si>
    <t>אומדן מאושר בתוכנית הפיתוח</t>
  </si>
  <si>
    <t>תוספת אומדן לאישור המועצה מעבר לתוכנית הפיתוח</t>
  </si>
  <si>
    <t>קרן ייעודית</t>
  </si>
  <si>
    <t>סמטת ניסנוב</t>
  </si>
  <si>
    <t>ריכוז</t>
  </si>
  <si>
    <t xml:space="preserve">החברה לפיתוח התיירות הרצליה     </t>
  </si>
  <si>
    <t xml:space="preserve">אגף תקשוב ומערכות מידע     </t>
  </si>
  <si>
    <t>מקורות מימון לפרויקטים :</t>
  </si>
  <si>
    <t>מקורות מימון</t>
  </si>
  <si>
    <t>סכום</t>
  </si>
  <si>
    <t>אחוז</t>
  </si>
  <si>
    <t>פרויקט</t>
  </si>
  <si>
    <t>החברה לפיתוח התיירות בהרצליה</t>
  </si>
  <si>
    <t>וסכומי התקציב, הנדרש, אם בכלל, אינם ידועים מראש ותלויים לעיתים בהליכים משפטיים.</t>
  </si>
  <si>
    <t>אגף תקשוב  ומערכות מידע</t>
  </si>
  <si>
    <t>תיכון ראשונים</t>
  </si>
  <si>
    <t>ריכוז לפי פרקים</t>
  </si>
  <si>
    <t>העברה מעודפי תקציב רגיל שנים קודמות</t>
  </si>
  <si>
    <t xml:space="preserve">התקנת מערך שליטה ובקרה מצלמות מוסדות חינוך ומבני ציבור, פריסת תשתיות </t>
  </si>
  <si>
    <t>פרק</t>
  </si>
  <si>
    <t>פרויקטים לביצוע ע"י החברה לפיתוח הרצליה</t>
  </si>
  <si>
    <t>מדידת נכסים בעת ביצוע עב' פיתוח לצורך חיוב הנכסים עפ"י שטחם בפועל.</t>
  </si>
  <si>
    <t>בדיקת תשלומי היטלי פיתוח בגין נכסים בעת ביצוע עב' פיתוח.</t>
  </si>
  <si>
    <t>עלויות כלליות בקשר עם רכישת מקרקעין.</t>
  </si>
  <si>
    <t>תאור הפרויקט</t>
  </si>
  <si>
    <t>סל עבודות ניקוז ברחבי העיר .</t>
  </si>
  <si>
    <t>שדרות ה - 93 הבאר</t>
  </si>
  <si>
    <t>נילי - עבודות פיתוח והסדרת תנועה</t>
  </si>
  <si>
    <t>רחוב הפרטיזנים</t>
  </si>
  <si>
    <t>הר מירון בר כוכבא הר' 2266</t>
  </si>
  <si>
    <t>ביצוע הריסות עפ"י צווים</t>
  </si>
  <si>
    <t>תוכנית מתאר איזור התעסוקה הר/2440</t>
  </si>
  <si>
    <t>שצ"פ דליה רביקוביץ בשכונת אלתרמן (הר/1920)</t>
  </si>
  <si>
    <t>שביל מתחם העצמאות הרב גורן הבנים</t>
  </si>
  <si>
    <t>עבודות פיתוח מערך שבילים בין הרחובות העצמאות הרב גורן ורחוב הבנים.</t>
  </si>
  <si>
    <t>סל עבודות קטנות עפ"י דרישה.</t>
  </si>
  <si>
    <t>סל עבודות תכנון עפ"י דרישה.</t>
  </si>
  <si>
    <t>החלפת עמודי תאורה באיזור תעשיה</t>
  </si>
  <si>
    <t>גנ"י מרכז ויצמן תמר תאנה</t>
  </si>
  <si>
    <t>עבודות פיתוח בכנ"ס אברהם אבינו</t>
  </si>
  <si>
    <t>בית ספר בן גוריון</t>
  </si>
  <si>
    <t>סינמטק בבנין עיריה חדש</t>
  </si>
  <si>
    <t xml:space="preserve">כיתות מעון 5 יום 5 כיתות גן-. 404 גליל ים ב' </t>
  </si>
  <si>
    <t>גן 3 כיתות 402 גליל ים ב'(כולל חניון)</t>
  </si>
  <si>
    <t>בית ספר יסודי 18 כיתות מגרש 304 גלילי ים א'</t>
  </si>
  <si>
    <t>שדרוג כבישים מדרכות תשתיות</t>
  </si>
  <si>
    <t>תוספת כיתות /חדרי ספח ברנדיס</t>
  </si>
  <si>
    <t>ספירת מלאי וסימון הרכוש העירוני</t>
  </si>
  <si>
    <t>נגישות אקוסטית מ.החינוך 2017</t>
  </si>
  <si>
    <t>מרחבי למידה</t>
  </si>
  <si>
    <t xml:space="preserve">שיקום שדרוג,הקמה ונגישות גינות ציבוריות </t>
  </si>
  <si>
    <t>ספורטק חידוש מתחם מתקני משחק</t>
  </si>
  <si>
    <t>תחנת הצלה חוף הכוכבים 2017</t>
  </si>
  <si>
    <t>תשתיות תקשורת אלחוטית וסיבים אופטיים לעיר חכמה במוס"ח וברחבי העיר בהתאם לתוכנית רב שנתית.</t>
  </si>
  <si>
    <t xml:space="preserve">תשתיות פס רחב מוס"ח </t>
  </si>
  <si>
    <t>פיצויי הפקעה הר' 1940 6664/105</t>
  </si>
  <si>
    <t>פיצויי הפקעה בגוש 6525/6 הר/ 1704. טרם שולמו הפיצויים ליתרת בעלי המקרקעין.</t>
  </si>
  <si>
    <t>פרויקט בניה עצמית בו לעיריה 3 יח"ד בבית מגורים משותף.</t>
  </si>
  <si>
    <t>אגף  נכסים וביטוח</t>
  </si>
  <si>
    <t>עבודות פיתוח ביכנ"ס "אברהם אבינו" בשכונת יד התשעה.</t>
  </si>
  <si>
    <t>מספר פרויקטים</t>
  </si>
  <si>
    <t>סה"כ אגף נכסים וביטוח</t>
  </si>
  <si>
    <t>תוכנית הצטיידות  מיחשוב מוס"ח</t>
  </si>
  <si>
    <t>אגף תקשוב ומע. מידע</t>
  </si>
  <si>
    <t>סה"כ מינהל כללי</t>
  </si>
  <si>
    <t>אגף נכסים וביטוח</t>
  </si>
  <si>
    <t>אגף תקשוב ומערכות מידע</t>
  </si>
  <si>
    <t>סל הוצאות בקשר עם תביעות סעיף 197.</t>
  </si>
  <si>
    <t>הפרשה לתביעות תלויות בעקבות הנחיית אגף הביקורת של משה"פ במסגרת הדוחות הכספיים.</t>
  </si>
  <si>
    <t>במסגרת סיכום עקרונות בין משרד האוצר לשלטון המקומי  מ - 12.5.2013.</t>
  </si>
  <si>
    <t>טרם הסתיים הליך רישום הנכס ע"ש העיריה בפנקסי הרישום.</t>
  </si>
  <si>
    <t>תשלום פיצויי הפקעה בקשר עם תוכנית  הר' 1940 6664/105.</t>
  </si>
  <si>
    <t>הכנת תוכנית לצרכי רישום מתחם מלון דניאל.</t>
  </si>
  <si>
    <t>סה"כ אגף תקשוב ומערכות מידע</t>
  </si>
  <si>
    <t>שדרוג תשתיות אינטרנט במוס"ח.</t>
  </si>
  <si>
    <t>סה"כ מינהל הנדסה</t>
  </si>
  <si>
    <t xml:space="preserve">מינהל  הנדסה </t>
  </si>
  <si>
    <t>מינהל הנדסה</t>
  </si>
  <si>
    <t>סל עבודות פיתוח קטנות מזדמנות הנדרשות במהלך השנה.</t>
  </si>
  <si>
    <t>הארכת דרך ירושלים והתחברות אליה</t>
  </si>
  <si>
    <t>צומת הבריגדה היהודית -מנחם בגין- בטיחות</t>
  </si>
  <si>
    <t>לאור החלטת בימ"ש שהעיריה תבצע שינויים גיאומטרים וקיר.</t>
  </si>
  <si>
    <t>הקמת בריכה ומרכז לאומנויות לחימה</t>
  </si>
  <si>
    <t>פיתוח מתחם מתנ"ס נווה עמל ומגרשי טניס</t>
  </si>
  <si>
    <t>קירוי והצללה מגרשי ספורט עירוניים</t>
  </si>
  <si>
    <t>הקמה שיפוץ רצפות פרקט אולמות ספורט</t>
  </si>
  <si>
    <t>עבודות התאמה לתקן חדש מגרשי ספורט</t>
  </si>
  <si>
    <t>פריסת תשתיות תקשורת ברחבי העיר ומוס"ח</t>
  </si>
  <si>
    <t>הקמת אתר עירוני חדש מתקדם , ידידותי ומותאם לכלל הצרכים העירוניים כולל מימשקים לתושבים ומימשקים למערכות התפעוליות . האתר יהיה רספונסיבי  בנוסף מתן מענה לפורטל האירגוני על בסיס אותה תשתית.</t>
  </si>
  <si>
    <t>הכנת תצ"ר רישום זכויות תבע 574א</t>
  </si>
  <si>
    <t>מינהל כללי (61)</t>
  </si>
  <si>
    <t>תכנון ובנין עיר (73)</t>
  </si>
  <si>
    <t>נכסים ציבוריים (74)</t>
  </si>
  <si>
    <t>חופים (747)</t>
  </si>
  <si>
    <t>חינוך (81)</t>
  </si>
  <si>
    <t>מבני דת ציבוריים (85)</t>
  </si>
  <si>
    <t>איכות הסביבה (87)</t>
  </si>
  <si>
    <t>מס' פרק</t>
  </si>
  <si>
    <t>רווחה (84)</t>
  </si>
  <si>
    <t>נכסים (93)</t>
  </si>
  <si>
    <t>תשלומים בלתי רגילים (99)</t>
  </si>
  <si>
    <t>טיפול במרחב ציבורי (848)</t>
  </si>
  <si>
    <t>טיפול במרחב ציבורי</t>
  </si>
  <si>
    <t xml:space="preserve">תרבות הדיור </t>
  </si>
  <si>
    <t xml:space="preserve">ראה פרוט נוסף בעמוד 15 </t>
  </si>
  <si>
    <t xml:space="preserve">אגף נכסים וביטוח </t>
  </si>
  <si>
    <t xml:space="preserve">אגף תקשוב ומערכות מידע </t>
  </si>
  <si>
    <t>תרבות הדיור (764)</t>
  </si>
  <si>
    <t xml:space="preserve">אגף נכסים וביטוח         </t>
  </si>
  <si>
    <t>מרבית הפרויקטים של האגף הינם פיצויי הפקעה. פרויקטים אלו נמשכים זמן רב</t>
  </si>
  <si>
    <t>אוצר הצמחים ,הראשונים ואבן אודם</t>
  </si>
  <si>
    <t>סקר חריגות בניה ברחבי העיר</t>
  </si>
  <si>
    <t>פיתוח רח' צ.ה.ל</t>
  </si>
  <si>
    <r>
      <t>מערכת כבישים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  באזור תעשייה מערבי </t>
    </r>
  </si>
  <si>
    <t>עבודות נגישות לאנשים עם מוגבלויות, מדידות נכסים ובדיקות נכסים לצורך גביית היטלי פיתוח,</t>
  </si>
  <si>
    <t xml:space="preserve">חינוך </t>
  </si>
  <si>
    <t xml:space="preserve">תרבות וספורט </t>
  </si>
  <si>
    <t xml:space="preserve">רווחה </t>
  </si>
  <si>
    <r>
      <t xml:space="preserve">שיפוץ מבני </t>
    </r>
    <r>
      <rPr>
        <sz val="11"/>
        <rFont val="David"/>
        <family val="2"/>
      </rPr>
      <t xml:space="preserve"> תרבות ונוער </t>
    </r>
  </si>
  <si>
    <r>
      <t xml:space="preserve">הקמת פינות מיחזור </t>
    </r>
    <r>
      <rPr>
        <sz val="11"/>
        <rFont val="David"/>
        <family val="2"/>
      </rPr>
      <t>וגזם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ברחבי העיר </t>
    </r>
  </si>
  <si>
    <t>הבקשה/תאור</t>
  </si>
  <si>
    <t>הגנה על מצוקי הים</t>
  </si>
  <si>
    <t>רכישת רכבים</t>
  </si>
  <si>
    <t>סה"כ מצטבר</t>
  </si>
  <si>
    <t>מסגרת ביצוע  עבודות מדרכות לאחר השלמת עבודות בניה כתוצאה מהיתרים.</t>
  </si>
  <si>
    <t>פיתוח מתחם גליל ים הר' 1985 א'</t>
  </si>
  <si>
    <r>
      <t>פארק גליל ים</t>
    </r>
    <r>
      <rPr>
        <b/>
        <sz val="11"/>
        <rFont val="David"/>
        <family val="2"/>
      </rPr>
      <t xml:space="preserve"> </t>
    </r>
  </si>
  <si>
    <r>
      <t>קיריית החינוך ( מגרש 406)-</t>
    </r>
    <r>
      <rPr>
        <sz val="11"/>
        <rFont val="David"/>
        <family val="2"/>
      </rPr>
      <t>ספריה, מרכז קהילתי</t>
    </r>
    <r>
      <rPr>
        <b/>
        <sz val="11"/>
        <rFont val="David"/>
        <family val="2"/>
      </rPr>
      <t xml:space="preserve"> </t>
    </r>
  </si>
  <si>
    <t>מתחם בזק</t>
  </si>
  <si>
    <t>בית ספר בן צבי</t>
  </si>
  <si>
    <t>מימון מ. החינוך. ממתין לתקבול סופי.</t>
  </si>
  <si>
    <t xml:space="preserve">עיצוב חדשני של כיתות האם </t>
  </si>
  <si>
    <t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t>
  </si>
  <si>
    <r>
      <t xml:space="preserve">הסדרת שטחי </t>
    </r>
    <r>
      <rPr>
        <sz val="11"/>
        <rFont val="David"/>
        <family val="2"/>
      </rPr>
      <t>מוס"ח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ברחב</t>
    </r>
    <r>
      <rPr>
        <sz val="11"/>
        <rFont val="David"/>
        <family val="2"/>
        <charset val="177"/>
      </rPr>
      <t xml:space="preserve">י העיר </t>
    </r>
  </si>
  <si>
    <t>שדרוג רחוב בן גוריון</t>
  </si>
  <si>
    <t>הקמת סככות המתנה לאוטובוס כולל תשתיות</t>
  </si>
  <si>
    <t>קידום ושימור הטבע העירוני בעיר</t>
  </si>
  <si>
    <r>
      <t>פיתוח חופי רחצה</t>
    </r>
    <r>
      <rPr>
        <strike/>
        <sz val="11"/>
        <rFont val="David"/>
        <family val="2"/>
      </rPr>
      <t/>
    </r>
  </si>
  <si>
    <t xml:space="preserve">מיזמים קהילתיים </t>
  </si>
  <si>
    <t>.</t>
  </si>
  <si>
    <t>סקר תשתיות קיימות</t>
  </si>
  <si>
    <t>תיקון ליקויים סקר כיבוי אש מוס"ח  ועיריה</t>
  </si>
  <si>
    <t>תוכנת ניהול ותאום תשתיות</t>
  </si>
  <si>
    <t>הקמת ארנה</t>
  </si>
  <si>
    <r>
      <t>שטח 408 גליל ים ב'</t>
    </r>
    <r>
      <rPr>
        <sz val="11"/>
        <rFont val="David"/>
        <family val="2"/>
      </rPr>
      <t>-גנ"י, בי"ס, ספריה</t>
    </r>
    <r>
      <rPr>
        <b/>
        <sz val="11"/>
        <rFont val="David"/>
        <family val="2"/>
      </rPr>
      <t xml:space="preserve"> </t>
    </r>
  </si>
  <si>
    <t xml:space="preserve">מס' תב"ר </t>
  </si>
  <si>
    <t>שיפוץ חזיתות בתים כולל: פיתוח חצרות, חדרי מדרגות, מעלית (רכוש משותף). בשיתוף האגודה לתרבות הדיור.</t>
  </si>
  <si>
    <t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t>
  </si>
  <si>
    <t xml:space="preserve">תכנון וביצוע  תוכנית אב לשבילי אופניים </t>
  </si>
  <si>
    <t xml:space="preserve">בניית אתר הנדסי לתשתיות וסנכרון בין עבודות התשתית השונות ברחבי העיר. </t>
  </si>
  <si>
    <t xml:space="preserve">ב – 10.2.2014 אושר במליאת הכנסת חוק רשויות איתנות על פיו ניתנו לרשויות איתנות המתנהלות </t>
  </si>
  <si>
    <t xml:space="preserve">בהתאם לקריטריונים שנקבעו , הקלות מבחינת האסדרה של משרד הפנים , בין היתר בתחום התקציב. </t>
  </si>
  <si>
    <t>לתקופה של שנת תקציב.</t>
  </si>
  <si>
    <t xml:space="preserve">פיתוח ותשתיות, שיפוץ ובניה , בהיקף תקציבי נכבד המבוצעות במשך תקופה ארוכה ואינם מוגבלים </t>
  </si>
  <si>
    <t>גנ"י דוד השמעוני</t>
  </si>
  <si>
    <t>ליווי פרויקטים פינוי בינוי</t>
  </si>
  <si>
    <t>תכנון שב"צ דן שומרון בי"ס על יסודי</t>
  </si>
  <si>
    <t>תוספת 6 כיתות לימוד בי"ס שז"ר</t>
  </si>
  <si>
    <t>נגישות אקוסטית 2019 מ. החינוך</t>
  </si>
  <si>
    <t>תיכון היובל</t>
  </si>
  <si>
    <t>טיפול במפגעי בטיחות במצוק</t>
  </si>
  <si>
    <t>סה"כ החברה לפיתוח</t>
  </si>
  <si>
    <r>
      <t xml:space="preserve">מסמכי מדיניות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ותוכניות אסטרטגיות</t>
    </r>
    <r>
      <rPr>
        <sz val="11"/>
        <rFont val="David"/>
        <family val="2"/>
        <charset val="177"/>
      </rPr>
      <t xml:space="preserve"> להתחדשות עירונית בשכונות</t>
    </r>
    <r>
      <rPr>
        <b/>
        <sz val="11"/>
        <rFont val="David"/>
        <family val="2"/>
      </rPr>
      <t xml:space="preserve"> </t>
    </r>
  </si>
  <si>
    <r>
      <t xml:space="preserve">מעון לאנשים עם מוגבלויות - </t>
    </r>
    <r>
      <rPr>
        <strike/>
        <sz val="11"/>
        <rFont val="David"/>
        <family val="2"/>
      </rPr>
      <t xml:space="preserve"> </t>
    </r>
    <r>
      <rPr>
        <sz val="11"/>
        <rFont val="David"/>
        <family val="2"/>
      </rPr>
      <t>ביד התשעה</t>
    </r>
    <r>
      <rPr>
        <b/>
        <sz val="11"/>
        <rFont val="David"/>
        <family val="2"/>
      </rPr>
      <t xml:space="preserve"> </t>
    </r>
  </si>
  <si>
    <t xml:space="preserve">תיכון היובל </t>
  </si>
  <si>
    <t>חלוקת ההשקעה בתקציב  באלפי ₪ על פי מינהל/אגף/יחידה מפורטת להלן -</t>
  </si>
  <si>
    <t>שם מינהל/אגף/יחידה</t>
  </si>
  <si>
    <r>
      <t>הצללות בי"ס וגנ"י</t>
    </r>
    <r>
      <rPr>
        <b/>
        <sz val="11"/>
        <rFont val="David"/>
        <family val="2"/>
        <charset val="177"/>
      </rPr>
      <t xml:space="preserve">  </t>
    </r>
    <r>
      <rPr>
        <sz val="11"/>
        <rFont val="David"/>
        <family val="2"/>
        <charset val="177"/>
      </rPr>
      <t xml:space="preserve">ומתנס"ים </t>
    </r>
  </si>
  <si>
    <t>בי"ס חלופי בפארק הרצליה</t>
  </si>
  <si>
    <t>הקמת מערכות pv מעל גגות מבני ציבור בהרצליה</t>
  </si>
  <si>
    <t>נגישות אקוסטית 2020 מ. החינוך</t>
  </si>
  <si>
    <t>שיקום מבנה החינוך הימי במרינה</t>
  </si>
  <si>
    <t>שיקום המבנה גג המבנה, שרותים ועבודות פיתוח.</t>
  </si>
  <si>
    <t xml:space="preserve">הצללת אזורים של מתקני משחקים לנוחות הציבור. נחקק חוק חדש שאושר בוועדת הפנים המחייב את הרשויות להקים הצללות בגני משחקים. </t>
  </si>
  <si>
    <t xml:space="preserve">ביצוע סקר מקיף של כל העצים בעיר ע"י אגרונומים. זאת עפ"י דרישה מ. החקלאות עקב שינויי אקלים והזדקנות העצים במרחב הציבורי. </t>
  </si>
  <si>
    <t>גן יניב - פיתוח והקמת מתקני כושר</t>
  </si>
  <si>
    <t>ציוד הצלה ובטיחות 2020</t>
  </si>
  <si>
    <t>מימון מ. הפנים.</t>
  </si>
  <si>
    <t>עיצוב מרחבי למידה מוס"ח מ.חינוך</t>
  </si>
  <si>
    <t>מימון מ. החינוך.</t>
  </si>
  <si>
    <t>הצטיידות בי"ס דמוקרטי</t>
  </si>
  <si>
    <t>הסדרת הסמטה  המקשרת בין רח' אליעזר קפלן במזרח לרח' וינגייט  במערב.</t>
  </si>
  <si>
    <t>המשך תכנון ראשוני הקמת ארנה באיזור האיצטדיון.</t>
  </si>
  <si>
    <t>ליווי פרויקטים של פינוי בינוי הכולל הכנת אומדנים ומפרטים ופיקוח על היתרים וביצוע בפועל.</t>
  </si>
  <si>
    <t>מתחם בי"ס הנדיב</t>
  </si>
  <si>
    <t>חט"ב באלתרמן</t>
  </si>
  <si>
    <t>בית ספר ברנר (תוספת 6 כיתות)</t>
  </si>
  <si>
    <t xml:space="preserve">הכנת חוו"ד תכנונית והערכות להתנגדות לתוכנית שמקדם מינהל התכנון והועדה המחוזית לכל צפון הרצליה ללא שיתוף העירייה. </t>
  </si>
  <si>
    <t xml:space="preserve">תכנון תב"ע לשכונה חדשה בהרצליה הצעירה. שטח בגודל של כ - 50 דונם , כ - 300 יח"ד. </t>
  </si>
  <si>
    <t>שינוי תוכנית גליל ים א' ב' (=ט')</t>
  </si>
  <si>
    <t xml:space="preserve">שינוי לתוכנית הר' 1985 ב' עקב ריבוי יח"ד והצורך לספק שטחים ציבוריים בגינם. </t>
  </si>
  <si>
    <t>תכנון הסדרת צומת אשל- בזל</t>
  </si>
  <si>
    <t>עבודות ניקוז רחוב סוקולוב</t>
  </si>
  <si>
    <t>תוכנית תפעולית במסגרת "מהיר לעיר"</t>
  </si>
  <si>
    <t xml:space="preserve">עבודות ניקוז  רחוב רבינו תם </t>
  </si>
  <si>
    <t xml:space="preserve">תוכנית אב לביופילטרים ברחבי העיר   </t>
  </si>
  <si>
    <t xml:space="preserve">עבודות ניקוז   רחוב הרב גורן </t>
  </si>
  <si>
    <t xml:space="preserve">עבודות ניקוז   רחוב רוחמה ושבטי ישראל </t>
  </si>
  <si>
    <t>פיתוח דרך מזרחית מקבילה לקיבוץ גלויות</t>
  </si>
  <si>
    <t>ליווי תוכניות ארציות</t>
  </si>
  <si>
    <t>פיתוח קיימות סביבה וחדשנות</t>
  </si>
  <si>
    <t>משרד הפנים</t>
  </si>
  <si>
    <t>הלוואות</t>
  </si>
  <si>
    <t>סל תכנון של תב"עות הנדרשות במהלך השנה כולל  תוכניות גגות מרתפים מבנים ציבוריים.</t>
  </si>
  <si>
    <t xml:space="preserve">הכנת תוכנית מתאר כוללנית על מנת לאפשר לעיריה לתכנן תוכניות בסמכות וועדה מקומית. </t>
  </si>
  <si>
    <t>עבודות לאיתור ליקויים עקב כמות עצומה של מי הנגר החודרים למערכת הביוב והגורמים להצפות ועבודות לתיקונם.</t>
  </si>
  <si>
    <t>ביצוע תשתיות רח' הנשיא מחיבורו לשער הים עד הצומת רח' הפועל התאנה כולל הטמנת רשת חשמל.</t>
  </si>
  <si>
    <t xml:space="preserve">תוספת כיתות וחדרי ספח בקומת המסד בבי"ס ברנדיס. </t>
  </si>
  <si>
    <t xml:space="preserve">ספירת רכוש במוסדות חינוך ויחידות עירוניות וסימון הרכוש העירוני. </t>
  </si>
  <si>
    <t xml:space="preserve">שיקום חזיתות בנין דיור לקשיש ברח' שמאי. שלב א' חזית דרומית בביצוע. </t>
  </si>
  <si>
    <t>הקמת גינות קהילתיות בית ספריות. מימון קרן הועדה החקלאית.</t>
  </si>
  <si>
    <t>פיתוח מתחם הרחובות אוצר הצמחים, אבן אודם, הראשונים.</t>
  </si>
  <si>
    <t xml:space="preserve">עדכון שם תב"ר : מסומן (*) </t>
  </si>
  <si>
    <t>סל העתקות אור של תוכניות הפרויקטים השונים.</t>
  </si>
  <si>
    <t xml:space="preserve"> ביצוע צווים שיפוטיים וביצוע הריסות במקרים בהם לא בוצעו, ככל שיידרש בהמשך לסקר חריגות הבניה.</t>
  </si>
  <si>
    <t xml:space="preserve">הקמת החניון מתחת לשצ"פ במתחם המרינה לי. </t>
  </si>
  <si>
    <t xml:space="preserve">קיריית החינוך ( מגרש 406)-ספריה, מרכז קהילתי </t>
  </si>
  <si>
    <t>מענקים ממוסדות שאינם שלטוניים כגון : מפעל הפייס , השתתפויות של תאגידים .</t>
  </si>
  <si>
    <t xml:space="preserve">חלוקת ההשקעה בתקציב  באלפי ₪ על פי פרקים עיקריים מפורטת להלן –  </t>
  </si>
  <si>
    <t>מינהל/אגף/
יחידה</t>
  </si>
  <si>
    <t>ריכוז לפי מינהל/אגפים/יחידות</t>
  </si>
  <si>
    <t>משרד הכלכלה והתעשיה</t>
  </si>
  <si>
    <t>הכשרת סינמטק בבניין העיריה החדש. מימון מ. הפיס.</t>
  </si>
  <si>
    <t>שיפוץ חדר מורים תיכון הנדסאים</t>
  </si>
  <si>
    <r>
      <t xml:space="preserve">הקמת </t>
    </r>
    <r>
      <rPr>
        <sz val="11"/>
        <rFont val="David"/>
        <family val="2"/>
        <charset val="177"/>
      </rPr>
      <t xml:space="preserve">חניון מרינה לי </t>
    </r>
  </si>
  <si>
    <r>
      <t xml:space="preserve"> </t>
    </r>
    <r>
      <rPr>
        <sz val="11"/>
        <rFont val="David"/>
        <family val="2"/>
      </rPr>
      <t>מרכז מדעים וקהילה</t>
    </r>
    <r>
      <rPr>
        <b/>
        <sz val="11"/>
        <rFont val="David"/>
        <family val="2"/>
      </rPr>
      <t xml:space="preserve"> </t>
    </r>
  </si>
  <si>
    <r>
      <t>בי"ס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ואולם ספורט ויצמן  </t>
    </r>
    <r>
      <rPr>
        <strike/>
        <sz val="11"/>
        <rFont val="David"/>
        <family val="2"/>
      </rPr>
      <t/>
    </r>
  </si>
  <si>
    <r>
      <t>שצ"פים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>במתחם הר 1960</t>
    </r>
    <r>
      <rPr>
        <b/>
        <sz val="11"/>
        <rFont val="David"/>
        <family val="2"/>
      </rPr>
      <t xml:space="preserve"> </t>
    </r>
  </si>
  <si>
    <r>
      <t>תוכ. אב רב שנתית שיפוצים מוס"ח</t>
    </r>
    <r>
      <rPr>
        <sz val="11"/>
        <rFont val="David"/>
        <family val="2"/>
      </rPr>
      <t xml:space="preserve"> 2021  ואילך.</t>
    </r>
  </si>
  <si>
    <t>החלפת קו ניקוז רח' שלווה</t>
  </si>
  <si>
    <t>החלפת קו ניקוז רח' בזל</t>
  </si>
  <si>
    <t>נגישות אקוסטית 2021 מ.החינוך</t>
  </si>
  <si>
    <t>הקמת מבנים יבילים חדשים באיצטדיון</t>
  </si>
  <si>
    <t>נגישות אקוסטית 9 כיתות. מימון מ. החינוך.</t>
  </si>
  <si>
    <t xml:space="preserve">הליך התנעה לתכנון מתחם לפינוי בינוי למרכז עירוני-עסקי ומגורים ברחוב בן גוריון. </t>
  </si>
  <si>
    <t>תכנית מתאר להתחדשות עירונית</t>
  </si>
  <si>
    <t>שדרוג מובל ניקוז בנעמי שמר</t>
  </si>
  <si>
    <t xml:space="preserve">שצפ הואדי והמנהרה הרומית </t>
  </si>
  <si>
    <t>שצפ שבט מנשה</t>
  </si>
  <si>
    <t>עבודות פיתוח, גינון , השקייה, חשמל ותאורה ברחוב שבט מנשה.</t>
  </si>
  <si>
    <t>גינת צוקרמן</t>
  </si>
  <si>
    <t>עבודות פיתוח, גינון , השקייה, חשמל ותאורה רחוב בר כוכבא.</t>
  </si>
  <si>
    <t>בחינת הגדלת זכויות בנייה ובדיקה פרוגרמטית הרצליה פיתוח.</t>
  </si>
  <si>
    <t>מינהל תפעול</t>
  </si>
  <si>
    <t xml:space="preserve">סל לייעוץ וקידום תכנון הנדסי. </t>
  </si>
  <si>
    <t>סל עבודות איטום מקלטים  עפ"י תוכנית ומערכת שליטה והגנה על מיקלטים בעיר.</t>
  </si>
  <si>
    <t>סל לביצוע עבודות פרויקטים קטנים הנדרשים ע"י המינהל מעת לעת.</t>
  </si>
  <si>
    <t>שדרוג רחוב וינגייט</t>
  </si>
  <si>
    <t>הקמת קירות תמך ברחבי העיר</t>
  </si>
  <si>
    <t>הגנת מצוקי הים</t>
  </si>
  <si>
    <t>מתיחת פנים בנווה עמל</t>
  </si>
  <si>
    <t>מערכת מבוססת מצלמות לאכיפת חניה ונתצים</t>
  </si>
  <si>
    <t>תוכנית הערכות לשינויי האקלים</t>
  </si>
  <si>
    <t>סל למערכות וצרכי בטחון</t>
  </si>
  <si>
    <t>שדרוג רחוב אלי לנדאו</t>
  </si>
  <si>
    <t>שדרוג רחוב אלי לנדאו כולל: כבישים, מפרצי חנייה, מדרכות, גינון, תאורה, שילוט וריהוט רחוב.</t>
  </si>
  <si>
    <t>שדרוג וחידוש רהוט רחוב ברחבי העיר</t>
  </si>
  <si>
    <t>שיפוצי מוס"ח ע"פ סקרים והערכות לפתיחת שנה"ל</t>
  </si>
  <si>
    <t>שדרוג תאורה במגרשי אימונים באיצטדיון</t>
  </si>
  <si>
    <t>שיפוץ הקונסרבטוריון יד התשעה</t>
  </si>
  <si>
    <t>מס"ד</t>
  </si>
  <si>
    <t>תכנון וביצוע ניקוז ברחוב סוקולוב בשיתוף עם תאגיד המים. במסגרת תוכ. אב לניקוז.</t>
  </si>
  <si>
    <t>תכנון וביצוע ניקוז ברחוב רבנו תם בשיתוף עם תאגיד המים. במסגרת תוכ. אב לניקוז.</t>
  </si>
  <si>
    <t>תכנון וביצוע ניקוז ברחוב הרב גורן בשיתוף עם תאגיד המים. במסגרת תוכ. אב לניקוז.</t>
  </si>
  <si>
    <t>הצטיידות בי"ס יסודי מגרש 406</t>
  </si>
  <si>
    <t>הצטיידות בי"ס יסודי מגרש 408</t>
  </si>
  <si>
    <t xml:space="preserve">עבודות הנגשה של מרחב ציבורי ומבני ציבור כנדרש עפ"י החוק עפ"י תוכנית רב שנתית. </t>
  </si>
  <si>
    <t>מינהל התפעול</t>
  </si>
  <si>
    <t>אגף נכסים</t>
  </si>
  <si>
    <t>סה"כ אגף נכסים</t>
  </si>
  <si>
    <t>רחוב אזר ההסתדרות</t>
  </si>
  <si>
    <t>תכנון וביצוע של עבודות שדרוג פנימי של המובל בנעמי שמר להגדלת כושר ההולכה.</t>
  </si>
  <si>
    <t>תכנון תב"ע מתחם הנופש "אקספורט"</t>
  </si>
  <si>
    <t>תכנון וביצוע הקמת מתקני כושר ופיתוח בשטח הגבול בין גינת הכלבים וחיבור לגן הציבורי בשטח של 1.3 דונם.</t>
  </si>
  <si>
    <t xml:space="preserve">הקמת מרכז תרבות עם קונספט אקלימי חדשני בו יהיו גם פעילויות חינוכית, פיתוח עסקי, חברתי ותיירותי בתחום. </t>
  </si>
  <si>
    <t>מוזיאון הרצליה - הרחבה ושיפוץ</t>
  </si>
  <si>
    <t>מרכז תרבות בנושא האקלים ברחוב בן גוריון</t>
  </si>
  <si>
    <t>תרבות וספורט (82)</t>
  </si>
  <si>
    <t>סה"כ מינהל תפעול</t>
  </si>
  <si>
    <t>ליווי של יועצים ,מתכננים , אגרונום למגוון תוכניות ארציות (תמ"א,תמ"ל).</t>
  </si>
  <si>
    <t>פיתוח רחוב חדש המזרחי ביותר בנווה עמל.  תכנון.</t>
  </si>
  <si>
    <t>שדרוג שכונת נווה עמל כולל: כבישים, מפרצי חנייה, מדרכות, גינון, תאורה, שילוט וריהוט רחוב.</t>
  </si>
  <si>
    <t>76 , 72</t>
  </si>
  <si>
    <t>שדרוג וטיפול המרחב הציבורי</t>
  </si>
  <si>
    <t>פיתוח חופי רחצה</t>
  </si>
  <si>
    <t>עבודות עפר,בטיחות וגידור לטיפול במצוקים בחופי הים</t>
  </si>
  <si>
    <t>תכנון וביצוע מערך שבילי אופניים ברחבי העיר.</t>
  </si>
  <si>
    <t>שרותים עירוניים שונים (76,72)</t>
  </si>
  <si>
    <t>התקנת מערכות שו"ב מצלמות מוס"ח מבני ציבור</t>
  </si>
  <si>
    <r>
      <t xml:space="preserve">בניית בי"ס יסודי 18 כיתות , 5 כיתות גן , מועדון תנועת נוער, אולם ספורט בינוני , מגרש ספורט משולב, חניון תתקרקעי 2 מפלסים. </t>
    </r>
    <r>
      <rPr>
        <sz val="11"/>
        <rFont val="David"/>
        <family val="2"/>
      </rPr>
      <t xml:space="preserve"> מימון מ. החינוך בי"ס,גנ"י.</t>
    </r>
  </si>
  <si>
    <t>סל עבודות פיתוח גידור,שדרוג והיערכות לקראת פתיחת עונת הרחצה ובמהלכה. עפ"י תוכנית שתאושר ע"י הנהלת העיר.</t>
  </si>
  <si>
    <t>נגישות אקוסטית 2021</t>
  </si>
  <si>
    <t>בניית כיתת חינוך מיוחד</t>
  </si>
  <si>
    <r>
      <t xml:space="preserve">פיתוח </t>
    </r>
    <r>
      <rPr>
        <b/>
        <sz val="11"/>
        <rFont val="David"/>
        <family val="2"/>
      </rPr>
      <t xml:space="preserve">  </t>
    </r>
    <r>
      <rPr>
        <sz val="11"/>
        <rFont val="David"/>
        <family val="2"/>
      </rPr>
      <t xml:space="preserve">פארק רבין </t>
    </r>
  </si>
  <si>
    <r>
      <t xml:space="preserve">אולם ספורט בי"ס יוחנני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ובניית כיתות וגנ"י</t>
    </r>
  </si>
  <si>
    <r>
      <t xml:space="preserve">פרויקטים קטנים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מינהל התפעול </t>
    </r>
  </si>
  <si>
    <t>סל תכנון של תוכניות ופרויקטים, מדידות ותכנון ראשוני.</t>
  </si>
  <si>
    <t>העצמת הזכויות הנוספות לבנינים לצורך הגברת הכדאיות של ביצוע חיזוק מבנים. בדיקת מבנים קיימים להיתכנות תמ"א.</t>
  </si>
  <si>
    <t>ליווי תהליכי שימור בעיר</t>
  </si>
  <si>
    <t>תיקון תכנית הר 2029 - נווה עמל</t>
  </si>
  <si>
    <t>גנ"י ומעונות יום רח' הזמר העברי מתחם המסילה</t>
  </si>
  <si>
    <t xml:space="preserve">עבודות שדרוג ושיקום -גינון השקייה ופיתוח ברחוב וינגייט - בקטע שבין קדושי השואה ועד כיכר דה שליט. </t>
  </si>
  <si>
    <t>מתנס נוף ים</t>
  </si>
  <si>
    <t>שדרוג עמודי תאורה</t>
  </si>
  <si>
    <t>ציוד הצלה ובטיחות 2022</t>
  </si>
  <si>
    <t>החלפת תאורה לתאורת לד באולמות הספורט</t>
  </si>
  <si>
    <t>מינהל חינוך</t>
  </si>
  <si>
    <t>פרויקט שיגור 70 לווינים בשיתוף עם 70 ערים ומועצות עירוניות. מימון מ. המדע. החזר סכום עודף.</t>
  </si>
  <si>
    <t>סה"כ מינהל חינוך</t>
  </si>
  <si>
    <t>שיקום איצטדיון גורדון</t>
  </si>
  <si>
    <t>הצטיידות מרכז המוסיקה ביד התשעה</t>
  </si>
  <si>
    <t>אומדן כולל לפרוייקט</t>
  </si>
  <si>
    <t xml:space="preserve">פרוייקט אבטחת מידע וסייבר </t>
  </si>
  <si>
    <t>טיפול בפסולת אורגנית</t>
  </si>
  <si>
    <t>סה"כ איכות הסביבה</t>
  </si>
  <si>
    <t>רכש חד פעמי לתשתיות מיחשוב הכולל מדפי אחסון, שרתים , להבים  ועוד.</t>
  </si>
  <si>
    <t xml:space="preserve">הקמת תשתיות מחשוב </t>
  </si>
  <si>
    <t>שלב ב' של עבודות שיפוצים יסודיים כולל עבודות הנגשה, פיר מעלית ומעלית.</t>
  </si>
  <si>
    <t>תב"ר מסגרת.  גיבוש תוכנית לאיתור שטחים להקמת גינות כלבים ברחבי העיר בהתאם לבקשות תושבי העיר והקמתן.</t>
  </si>
  <si>
    <t>פעילות חד פעמית בעקבות ממצאי סקר טבע עירוני. הפעילות כוללת: הקמה שיקום תמיכה בבע"ח וצמחיה וליווי אקולוגי לביצוע.</t>
  </si>
  <si>
    <t>עבודות שיפוץ במועדון הנוער (דידה) יוסף נבו 18 הכוללות : תקרות, רצפות, שרותים, שיפוץ בית הקפה, מערכות סאונד, הצטיידויות. מ. הפיס.</t>
  </si>
  <si>
    <t>משרד התרבות והספורט</t>
  </si>
  <si>
    <t>משרד  המדע</t>
  </si>
  <si>
    <t>העברה מתקציב רגיל 2022</t>
  </si>
  <si>
    <r>
      <t xml:space="preserve">תכנון מתחם צומת כדורי לפינוי ובינוי.בשלב הנעת התכנון לשלב סטטוטורי. </t>
    </r>
    <r>
      <rPr>
        <sz val="11"/>
        <rFont val="David"/>
        <family val="2"/>
      </rPr>
      <t>מימון מ. הבינוי.</t>
    </r>
  </si>
  <si>
    <t>פיתוח מתחם "בזק" בו ייבנה בניין משרדים שבין היתר יאוכלס אגף הרווחה. כולל הריסת מבנה בזק.</t>
  </si>
  <si>
    <t>תוכנית הצטיידות למיחשוב כל מוס"ח .החלפת מחשבים ראוטרים וציוד מיחשוב. מימון מפעל הפיס.</t>
  </si>
  <si>
    <t>תקציב מאושר</t>
  </si>
  <si>
    <t>סקר מבנים מסוכנים</t>
  </si>
  <si>
    <t>תב"עות פרויקטים מניבים</t>
  </si>
  <si>
    <r>
      <t xml:space="preserve">תכנון כולל לסוגיית חיזוק הקשר בין מזרח העיר למערבה באמצעות תוספות של גשרים להולכי רגל ורכב דו גלגלי. </t>
    </r>
    <r>
      <rPr>
        <sz val="11"/>
        <rFont val="David"/>
        <family val="2"/>
      </rPr>
      <t>הגשרים מהווים תנאים לקידום העצמת זכויות באיזור התעסוקה.</t>
    </r>
  </si>
  <si>
    <t>ליווי ותכ' יועץ רמזורים לעדכון מע.בקרת רמזורים בעיר עקב צמתים ורמזורים חדשים.</t>
  </si>
  <si>
    <r>
      <t>תכנון שיפוץ/הריסה ובניה מחדש של בי"ס. הריסה של 18 כיתות, ובניה של 24 כיתות,6 כיתות  ח"מ.</t>
    </r>
    <r>
      <rPr>
        <sz val="11"/>
        <rFont val="David"/>
        <family val="2"/>
        <charset val="177"/>
      </rPr>
      <t xml:space="preserve"> מימון מ. החינוך תוספת הרשאה.</t>
    </r>
  </si>
  <si>
    <t xml:space="preserve">תכנון והיערכות להכנת תוכנית סטטוטורית לאישור הועדה המחוזית בעתודת קרקע בין הרחובות יוסף נבו , ז'בוטינסקי ובן ציון מיכאלי. </t>
  </si>
  <si>
    <t>נגישות אקוסטית 2022</t>
  </si>
  <si>
    <t>ביצוע שצ"פים במתחם : מלכי יהודה (האקליפטוס), קורן,דן שומרון,דורי,משה שמיר.</t>
  </si>
  <si>
    <t xml:space="preserve">המשך עבודות פיתוח במתחם. פיתוח השצ"פ. </t>
  </si>
  <si>
    <t xml:space="preserve">הקמה ושדרוג גינות ציבוריות:פיתוח, תשתיות שבילי גישה, הנגשה, תאורה, מע. השקייה, מתקני משחק, ריהוט גן, מתקני כושר, משטחי גומי וכל העבודות. עפ"י תוכנית עבודה שתאושר ע"י הנהלת העיר. </t>
  </si>
  <si>
    <t>בנוסף, תקציב מינהל הנדסה כולל פרויקטים של  תכנון עיר, תכנון תב"עות , תכנון פרויקטים</t>
  </si>
  <si>
    <t>רכישת אופנועי ים</t>
  </si>
  <si>
    <t>עבודות שיפוץ להסדרת יציבות המבנה נכס עירוני במגדל הצוק</t>
  </si>
  <si>
    <t xml:space="preserve">תוכנית המתאר הכוללנית </t>
  </si>
  <si>
    <t xml:space="preserve">גיבוש תוכנית פעולות לעבודות הגנה על מצוקי חופי הים . המשך תכנון. מימון מ. הפנים. </t>
  </si>
  <si>
    <t>אולם ספורט ותוספת 6 כיתות בי"ס שז"ר. מימון מ. החינוך.</t>
  </si>
  <si>
    <r>
      <t xml:space="preserve">הריסת מבנים קיימים ובניה מתחם חדש:בי"ס יסודי 24 כיתות, 4 כיתות ח"מ, אולם ספורט, מגרש ספורט מוצלל, 4 כיתות גנ"י. </t>
    </r>
    <r>
      <rPr>
        <sz val="11"/>
        <rFont val="David"/>
        <family val="2"/>
      </rPr>
      <t>מימון מ. החינוך.</t>
    </r>
  </si>
  <si>
    <t>תכנון וביצוע תוספת 8 כיתות בי"ס ברנר ובניית אולם ספורט.</t>
  </si>
  <si>
    <t xml:space="preserve">החלפת קו ניקוז ברח' שלווה. </t>
  </si>
  <si>
    <t xml:space="preserve">החלפת קו ניקוז ברח' בזל. </t>
  </si>
  <si>
    <t>ביכנ"ס ומרכז טיפול לגיל הרך מגרש 301.</t>
  </si>
  <si>
    <t>מעון לאנשים עם מוגבלויות ביד התשעה</t>
  </si>
  <si>
    <t>הצללות קבועות מעל מגרשי ספורט  עפ"י תוכנית שתאושר ע"י הנהלת העיר.</t>
  </si>
  <si>
    <t>הקמת פינות מיחזור ברחבי העיר המרכזות מיכלי אצירה לסוגים שונים של פסולת כגון: בקבוקים, זכוכית, נייר, אריזות ועוד. שדרוג מיכלי מיחזור לפי דגם אחיד .</t>
  </si>
  <si>
    <t>התקנת תאורה בתחנות אוטובוס ברחבי העיר שהקים מ.התחבורה  וביצוע תשתיות לתחנות אוטובוס שיוצבו ע"י מ. התחבורה.</t>
  </si>
  <si>
    <t xml:space="preserve">נגישות אקוסטית .מימון מ. החינוך. </t>
  </si>
  <si>
    <t xml:space="preserve">הקמת קירות תמך עקב בעיות בטיחות במרחב הציבורי. </t>
  </si>
  <si>
    <t>גנ"י זרובבל גליל ים אגמית. מימון  מ. החינוך.</t>
  </si>
  <si>
    <t>עבודות שיפוץ המתנס הכולל שיפוץ קומה א' וב' , הנגשה , חיפוי חדש חוץ המבנה והצטיידות.</t>
  </si>
  <si>
    <t>התקנת מערכות תאורה לדים ברחבי העיר ע"י תוכנית שתאושר ע"י הנהלת העיר.</t>
  </si>
  <si>
    <t>עבודות שיפוץ במבנה של העיריה (משרדי רשות החופים) לאור מצב המבנה (קורוזיה) והמהווה סכנה .</t>
  </si>
  <si>
    <t>עבודות פיתוח ותשתיות ברחבי העיר.</t>
  </si>
  <si>
    <t>5-16</t>
  </si>
  <si>
    <t xml:space="preserve">פרויקט "עיר חכמה" - המשך התקנת מערכות שליטה ובקרה,מצלמות ופריסת תשתיות בעיר. </t>
  </si>
  <si>
    <t xml:space="preserve">מינהל חינוך </t>
  </si>
  <si>
    <t>תקציבי פיתוח רשות מינהל מקרקעי ישראל</t>
  </si>
  <si>
    <t xml:space="preserve">פינוי בינוי, תוכנית מתאר להתחדשות עירונית.  </t>
  </si>
  <si>
    <t>תיקון מסמכי התוכנית לרבות בחינת טיפוסי הבינוי המאושרים.</t>
  </si>
  <si>
    <t>עריכת סקר מבנים מסוכנים הנדרש בהתאם לחוק עזר למבנים מסוכנים.</t>
  </si>
  <si>
    <r>
      <t>תוספת קומה והקמת חדרי פעילויות.</t>
    </r>
    <r>
      <rPr>
        <b/>
        <sz val="11"/>
        <rFont val="David"/>
        <family val="2"/>
      </rPr>
      <t xml:space="preserve"> </t>
    </r>
  </si>
  <si>
    <t>תכנון וביצוע ניקוז ברחוב רוחמה ושבטי ישראל בשיתוף עם תאגיד המים. במסגרת תוכ. אב לניקוז.</t>
  </si>
  <si>
    <t xml:space="preserve">הריסת א. ספורט קיים, בנית חדש, בניית 6  כיתות לימוד ובניית 3 גנ"י במקום גן קיים אלה. </t>
  </si>
  <si>
    <t>תכנון תב"עות פרויקטים מניבים.</t>
  </si>
  <si>
    <t>סל לשיפוץ בתי כנסת עפ"י תוכנית שתוגש במהלך השנה.</t>
  </si>
  <si>
    <t>סל לשיפוץ כולל מזגנים ובינוי נכסים עירוניים.</t>
  </si>
  <si>
    <r>
      <t>החלפת רכבים קיימים ,רכישת תוספת רכבים והתקנת עמדות טעינה עפ"י רשימה שתאושר ע"י הנהלת העיר.</t>
    </r>
    <r>
      <rPr>
        <sz val="11"/>
        <rFont val="David"/>
        <family val="2"/>
      </rPr>
      <t xml:space="preserve"> </t>
    </r>
  </si>
  <si>
    <t>תקציב מסגרת.החלפת ושדרוג ריהוט הרחוב ברחבי העיר עפ"י תוכנית שתאושר ע"י הנהלת העיר.</t>
  </si>
  <si>
    <t>רכישת אופנועי ים.</t>
  </si>
  <si>
    <t>בחינת מדיניות הטיפול בפסולת אורגנית ברחבי העיר:ביצוע פיילוטים להעלאת אחוזי הטיפול בפסולת אורגנית, רכישת אמצעים לביצוע הפיילוט,יועץ מלווה.</t>
  </si>
  <si>
    <t>שיפוץ פנים הדירות של דיירי עמידר במצב סוציו אוקונומי קשה. העבודה מבוצעת ע"י חברת עמידר השתתפות העיריה 50%.</t>
  </si>
  <si>
    <t>התכנית בשיתוף פעולה עם תאגיד ת.מ.י.ר  להגדלת מספר משקי הבית ברשות המקומית המשתתפים בתהליך איסוף והפרדת פסולת האריזות והשלכתה לפח הכתום . מסגרת התקציב הינה מחצית היקף התוכנית חלקה של העירייה מול סכום זהה  מימון התאגיד.</t>
  </si>
  <si>
    <t>עלויות בקשר עם תביעה של פינוי נכס גוש 6521 חלק' 21-23, 67-68. טרם הסתיים ההליך המשפטי.</t>
  </si>
  <si>
    <t xml:space="preserve">החברה לפיתוח התיירות </t>
  </si>
  <si>
    <t>ביכנ"ס ע"ש הרב שלמה קוממי זצ"ל ומרכז לטיפול בגיל הרך מגרש 301 גליל ים</t>
  </si>
  <si>
    <t>פתרונות חלופיים לשוברי הגלים</t>
  </si>
  <si>
    <t xml:space="preserve">עב' פיתוח דחופות בלתי צפויות, מימוני ביניים, שיתעוררו במהלך השנה ויבוצעו עפ"י החלטות הנהלת העיר. שנים 2021/2022/2023. </t>
  </si>
  <si>
    <t>תכנון ויישום של פתרונות חלופיים לשוברי הגלים.</t>
  </si>
  <si>
    <t>יתרה לביצוע צפוי עד 31.12.2023</t>
  </si>
  <si>
    <t>אומדן לביצוע שנת 2024</t>
  </si>
  <si>
    <t>אומדן לביצוע שנת 2025 ואילך</t>
  </si>
  <si>
    <t>תקציב נוסף נדרש במסגרת תוכנית עבודה 2023</t>
  </si>
  <si>
    <t>תקציב נוסף נדרש מעבר לתוכנית עבודה 2023</t>
  </si>
  <si>
    <t>סה"כ תקציב נוסף נדרש 2023</t>
  </si>
  <si>
    <t>יתרת תקציב פנויה 31.12.2023</t>
  </si>
  <si>
    <t>תקציב נדרש 2024</t>
  </si>
  <si>
    <t>הקמת מרכזיה IP</t>
  </si>
  <si>
    <r>
      <t xml:space="preserve">הקמת אתר עירוני , פורטל , </t>
    </r>
    <r>
      <rPr>
        <sz val="11"/>
        <rFont val="David"/>
        <family val="2"/>
      </rPr>
      <t>מע. לניהול פניות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וכרטיס תושב דיגיטלי </t>
    </r>
  </si>
  <si>
    <t>בי"ס קרן אור</t>
  </si>
  <si>
    <t>שב"צ ויצמן</t>
  </si>
  <si>
    <t>פיתוח מתחם גליל ים ג' הר' 1068</t>
  </si>
  <si>
    <t>פיתוח מתחם קרית השחקים תמ"ל  1082</t>
  </si>
  <si>
    <t>עבודות שיפוץ ושדרוג האיצטדיון</t>
  </si>
  <si>
    <t>מערכת מיזוג אוויר תאגיד התרבות</t>
  </si>
  <si>
    <t>פיתוח רחבת בניין העירייה שער העיר</t>
  </si>
  <si>
    <t xml:space="preserve">שיקום חזית מבנה דיור לקשיש </t>
  </si>
  <si>
    <t>נגישות אקוסטית 2023 הנדסאים הרצליה</t>
  </si>
  <si>
    <t>הקמת נישות לכלי אצירה/חומות/גדרות לחצרות</t>
  </si>
  <si>
    <t>עבודות פרוק והחלפת אסבסט</t>
  </si>
  <si>
    <t>שדרוג תאורה באיצטדיון הרצליה</t>
  </si>
  <si>
    <t>שיקום המבנה המסחרי בנורדאו</t>
  </si>
  <si>
    <t>עבודות תאורה ותשתית נוף ים</t>
  </si>
  <si>
    <t>תכנון וביצוע קאונטרי הרצליה</t>
  </si>
  <si>
    <t>תכנון נופי ראשוני למתחם רחבת בניין העיריה.</t>
  </si>
  <si>
    <t>תכנון והקמת בי"ס 18 כיתות , מתנ"ס,גנ"י ומעונות יום, אולם ספורט ומגרשי ספורט. תכנון ראשוני.</t>
  </si>
  <si>
    <t>בי"ס קבע "קרן אור" ליד בי"ס "אופק"  עד 10 כיתות. תכנון ראשוני .</t>
  </si>
  <si>
    <t>נגישות אקוסטית כיתות בנעמי שמר ולב טוב. מימון מ. החינוך.</t>
  </si>
  <si>
    <t>נגישות אקוסטית מימון מ. החינוך.</t>
  </si>
  <si>
    <t>הקמת נישות לכלי אצירה לטובת פינוי המדרכות עבור הולכי רגל ויצירת חזית אחידה במרחב הציבורי. בשיתוף האגודה לתרבות הדיור.</t>
  </si>
  <si>
    <t>עבודות החלפת גגות וחלונות אסבסט במבני עיריה.</t>
  </si>
  <si>
    <t>עבודות תאורה ותשתית נוף ים.</t>
  </si>
  <si>
    <t>דמי חכירה כלכליים לרמ"י בגין שטח במתחם בית פוסטר.</t>
  </si>
  <si>
    <r>
      <t xml:space="preserve">צפון הרצליה </t>
    </r>
    <r>
      <rPr>
        <sz val="11"/>
        <rFont val="David"/>
        <family val="2"/>
      </rPr>
      <t xml:space="preserve">תמ"ל 3006 </t>
    </r>
  </si>
  <si>
    <r>
      <t xml:space="preserve">מתחם ספורט משותף במתחם אלתרמן </t>
    </r>
    <r>
      <rPr>
        <sz val="11"/>
        <rFont val="David"/>
        <family val="2"/>
      </rPr>
      <t xml:space="preserve">אפולוניה </t>
    </r>
    <r>
      <rPr>
        <b/>
        <sz val="11"/>
        <rFont val="David"/>
        <family val="2"/>
      </rPr>
      <t/>
    </r>
  </si>
  <si>
    <r>
      <t>פרויקטים דחופים בצ"מ 2021/2022/</t>
    </r>
    <r>
      <rPr>
        <sz val="11"/>
        <rFont val="David"/>
        <family val="2"/>
      </rPr>
      <t>2023</t>
    </r>
  </si>
  <si>
    <t>הקמת מערכות סולאריות על גגות אולמות ספורט ומתנ"סים 14 במספר עפ"י רשימה.  מימון הלוואה.</t>
  </si>
  <si>
    <t>הסדרה והתקנת מעליות בית הורים</t>
  </si>
  <si>
    <t>התקנת קירוי קשיח ופוטוואלטי במגרשי ספורט. תיכון דור ותיכון חדש.</t>
  </si>
  <si>
    <t>הכשרת חניון העוגן במרינה לחניון בתשלום. השלמת מע. תקשורת ומצלמות.</t>
  </si>
  <si>
    <t>בי"ס יסודי קרית השחקים הר' 1082</t>
  </si>
  <si>
    <t xml:space="preserve"> </t>
  </si>
  <si>
    <r>
      <t xml:space="preserve">מיחשוב כלל התשתיות הקיימות במרחב הציבורי. ב - </t>
    </r>
    <r>
      <rPr>
        <sz val="11"/>
        <rFont val="David"/>
        <family val="2"/>
      </rPr>
      <t>2024</t>
    </r>
    <r>
      <rPr>
        <sz val="11"/>
        <rFont val="David"/>
        <family val="2"/>
        <charset val="177"/>
      </rPr>
      <t xml:space="preserve"> : ביצוע הסקר.</t>
    </r>
  </si>
  <si>
    <t xml:space="preserve">עבודות פיתוח הרחובות. </t>
  </si>
  <si>
    <t>כיכר אלי לנדאו ניל"י</t>
  </si>
  <si>
    <t>רחוב פנקס</t>
  </si>
  <si>
    <t>סקר מבני ציבור וחינוך לעמידות רעידות אדמה</t>
  </si>
  <si>
    <t>עבודות שונות בפארק בין היתר שיפוץ שרותים מרכזיים , מתקני משחק וברזיות ,חידוש מסלול גומי, תוספות עצים  ושדרוגים שונים עפ"י תוכנית עבודה שתאושר ע"י הנהלת העיר.</t>
  </si>
  <si>
    <t>הקמת יחידת חילוץ - הצטיידות</t>
  </si>
  <si>
    <t>עבודות שדרוג מדרכות , חשמל ושיקום שטחי הגינון  לצידי הרחוב במקטעים שטרם שודרגו.  (כניסה מרמת השרון).</t>
  </si>
  <si>
    <t>בית ליצירה אומנותית - מועדון הנוער (דידה)</t>
  </si>
  <si>
    <t xml:space="preserve">שדרוג סוקולוב </t>
  </si>
  <si>
    <t>עבודות תאורה בהרצליה הצעירה- בילו גורדון ורבורג וברנר</t>
  </si>
  <si>
    <t>שדרוג מערב העיר ואזור התעסוקה</t>
  </si>
  <si>
    <t xml:space="preserve">שילוט חופי רחצה </t>
  </si>
  <si>
    <t>טרקטרון 2 פיקוח והצלה</t>
  </si>
  <si>
    <t>אגף ספורט</t>
  </si>
  <si>
    <t>שלב ג - שיקום טריבונות, הקמת מתחם פעילות בחורשת אקליפטוסים במתחם, פתרון אחסון לציוד הכיתה לאתלטיקה קלה, תאורה עבור מסלול הריצה</t>
  </si>
  <si>
    <t>החלפת דשא טבעי+מלאכותי במגרשי אימונים באצטדיון</t>
  </si>
  <si>
    <t>סה"כ אגף ספורט</t>
  </si>
  <si>
    <t>אגף תרבות נוער וקהילה</t>
  </si>
  <si>
    <t>סה"כ אגף תרבות נוער וקהילה</t>
  </si>
  <si>
    <t xml:space="preserve">תוכנית אב לתיירות </t>
  </si>
  <si>
    <t>פיתוח תשתיות לתיירות, ותכנית סטטורית לתיירות.</t>
  </si>
  <si>
    <t xml:space="preserve">פרויקט המושתת על מערכת GIS: שדרוג, הרחבת שרתים,תוספות לאפליקציות חדשות. סקר פוטוגרמטרי. </t>
  </si>
  <si>
    <t>פרויקטים דחופים בצ"מ 2024/2025</t>
  </si>
  <si>
    <t xml:space="preserve">עב' פיתוח דחופות בלתי צפויות, מימוני ביניים, שיתעוררו במהלך השנה ויבוצעו עפ"י החלטות הנהלת העיר. שנים 2024/2025. </t>
  </si>
  <si>
    <t>חינוך בנושא משבר האקלים</t>
  </si>
  <si>
    <t>אגף ת.נ.ו.ק</t>
  </si>
  <si>
    <t xml:space="preserve">סה"כ החברה לפיתוח התיירות </t>
  </si>
  <si>
    <t>סה"כ מינהל תפעול/תבל</t>
  </si>
  <si>
    <t>מיחשוב ומערכות מידע</t>
  </si>
  <si>
    <t>סה"כ מיחשוב ומערכות מידע</t>
  </si>
  <si>
    <t xml:space="preserve">מסגרת תקציב פיתוח </t>
  </si>
  <si>
    <t>שנת  2024</t>
  </si>
  <si>
    <t xml:space="preserve">מינהל תפעול </t>
  </si>
  <si>
    <t>שנת 2024</t>
  </si>
  <si>
    <t>העברה מתקציב רגיל 2023</t>
  </si>
  <si>
    <t>משרד הדתות</t>
  </si>
  <si>
    <t>הכנת תוכנית עירונית להצללה</t>
  </si>
  <si>
    <t>הכנת תוכנית עירונית להצללה וקרור באמצעות עצים. מימון מ. הגנת הסביבה.</t>
  </si>
  <si>
    <t>השתתפות העיריה הקמת המטרו</t>
  </si>
  <si>
    <t>הצטיידות ריהוט ומיחשוב מבנה  בי"ס דמוקרטי וקרן אור.</t>
  </si>
  <si>
    <t>תוכנית רב שנתית שדרוג עמודי תאורה ברחבי העיר עפ"י תוכנית שתאושר ע"י הנהלת העיר.</t>
  </si>
  <si>
    <t>שדרוג תשתיות תאורה במרכז העיר</t>
  </si>
  <si>
    <t>שדרוג תשתיות תאורה ברחובות ובגינות: מאזה , הכוזרי , הפרדסים, אחד העם .</t>
  </si>
  <si>
    <t>שדרוג ופיתוח רח' סוקולוב הכולל החלפת תאורה,קרצוף שביל אופניים, ריצוף ושדרוג רחבת ביכנ"ס הגדול.</t>
  </si>
  <si>
    <t>רחוב האסיף</t>
  </si>
  <si>
    <t>גן ווריזלנד</t>
  </si>
  <si>
    <r>
      <t>השלמת תכנון עד להיתר לחניון אוטובוסים.</t>
    </r>
    <r>
      <rPr>
        <strike/>
        <sz val="11"/>
        <rFont val="David"/>
        <family val="2"/>
      </rPr>
      <t/>
    </r>
  </si>
  <si>
    <t>הקמת מעון לאנשים עם מוגבלויות ברחוב הר סיני שכונת יד התשעה. כולל הצטיידות . מימון קרן שלם והמוסד לביטוח לאומי.</t>
  </si>
  <si>
    <t>הצטיידות חדשה: כיתות חדשות בעקבות גידול עפ"י צפי במס' תלמידים ופתיחת כיתות במקום החדש , שיפוץ כיתות קיימות בביצוע אגף תבל. סל מסגרת. כולל שז"ר, חט"ב אלתרמן, כלי נגינה.</t>
  </si>
  <si>
    <t>טיפול בשב"צ וגינת כלבים. חן סופיים. התב"ר לסגירה.</t>
  </si>
  <si>
    <t>המשך פיתוח רחוב צ.ה.ל . חן סופיים. התב"ר לסגירה.</t>
  </si>
  <si>
    <t xml:space="preserve">במקביל, תבר הצטיידות בחינוך . חן סופיים התב"ר לסגירה. </t>
  </si>
  <si>
    <r>
      <t xml:space="preserve">מסגרת </t>
    </r>
    <r>
      <rPr>
        <sz val="11"/>
        <rFont val="David"/>
        <family val="2"/>
        <charset val="177"/>
      </rPr>
      <t>עבודות של החלפת עמודי תאורה באיזור התעשיה. חן סופיים. התב"ר לסגירה.</t>
    </r>
  </si>
  <si>
    <t>עבודות פיתוח. מימון רמ"י במסגרת הסכם "הגג". חן סופיים. לקראת סיום.</t>
  </si>
  <si>
    <t>מימון מ. החינוך.  הסתיים. ייסגר לאחר קבלת מימון מ. החינוך.</t>
  </si>
  <si>
    <t>שיפוץ והצטיידות תיכון הנדסאים. מימון מלא מ. החינוך. התב"ר לסגירה.</t>
  </si>
  <si>
    <t xml:space="preserve">ראה תב"ר בניה (מס' 1912) בחברה לפיתוח הרצליה. </t>
  </si>
  <si>
    <t>סל תכנון הכנת תב"עות לשימור אתרים, תיקי תיעוד. השלמת תנאים למתן תוקף.  חן סופיים. התב"ר לסגירה.</t>
  </si>
  <si>
    <t>נוף שדמות</t>
  </si>
  <si>
    <t>עבודות פיתוח חשמל ותאורה נוף שדמות משולש המסילה.</t>
  </si>
  <si>
    <t>שביל הולכי רגל מרחוב האסיף לרחוב האילנות.</t>
  </si>
  <si>
    <t>מבנה קבוצות הנוער  הריסת טריבונות , בניית מלתחות  בניית טריבונה וגג קל. יציע מזרחי.</t>
  </si>
  <si>
    <t>תוכנית אב יישובית לספורט</t>
  </si>
  <si>
    <t>עריכת סקר לבדיקת הצרכים של כלל התושבים בנושא צריכת הספורט.</t>
  </si>
  <si>
    <t>שיפוץ בית ראשונים</t>
  </si>
  <si>
    <t>תאורה- הנשיא יצחק בן צבי - בין רחובות שבט מנשה לקרן היסוד)+ שלווה+ שבט מנשה ובן אליעזר , שדרוג מדרכות בנשיא יצחק בן צבי , שצ"פ הסדנאות. מתיחת פנים גלגלי הפלדה.</t>
  </si>
  <si>
    <r>
      <t>בדיקת התכנות מתחמי פינוי בינוי ותכנון פרויקטים להתחדשות עירונית ופינוי בינוי.</t>
    </r>
    <r>
      <rPr>
        <sz val="11"/>
        <rFont val="David"/>
        <family val="2"/>
      </rPr>
      <t xml:space="preserve"> </t>
    </r>
    <r>
      <rPr>
        <sz val="11"/>
        <rFont val="David"/>
        <family val="2"/>
      </rPr>
      <t xml:space="preserve"> לווי ובקרת העיריה ליוזמות ותכניות שמקודמות ע"י חברות פרטיות.</t>
    </r>
  </si>
  <si>
    <t xml:space="preserve">ביצוע השלמת שצ"פ בקטע רח' דליה רביקוביץ פינת אסתר רהב. </t>
  </si>
  <si>
    <t>עבודות פיתוח החלק הדרום מערבי של הפארק ייעודי לנוער בהתאם לתוכנית השימור של הפארק.</t>
  </si>
  <si>
    <t>שיקום מעליות חוף</t>
  </si>
  <si>
    <t xml:space="preserve"> שיקום מערכות הקיימות. </t>
  </si>
  <si>
    <t>סל עבודות שיפוצים במוס"ח  והתאמת מבנים גנ"י. ייסגר עם קבלת תקבול מ. החינוך יביל יד גיורא.</t>
  </si>
  <si>
    <t xml:space="preserve">הכנת תוכנית היערכות לשינויי האקלים הכוללת יועצים. מימון (80%) מ. הגנת הסביבה. </t>
  </si>
  <si>
    <t>שיפוצים והצטיידות משרדי מרכזים קהילתיים</t>
  </si>
  <si>
    <t>יועצי סביבה וקיימות בהיבטים תכנוניים. גיבוש מדיניות של תכנון בר קיימא כמענה לשינויי האקלים לצד ציפוף עירוני מוגבר.</t>
  </si>
  <si>
    <t>שיפוץ המבנה כולל הצטיידות.</t>
  </si>
  <si>
    <r>
      <t xml:space="preserve">פרויקט  בניית אודיטוריום ,תוספת 6 כתות ו-2 ממ"דים ,שיפוץ כללי ומעלית כולל איטום גג אולם ספורט. שיפוץ חזיתות והצטיידות. </t>
    </r>
    <r>
      <rPr>
        <sz val="11"/>
        <rFont val="David"/>
        <family val="2"/>
      </rPr>
      <t>מימון מ.החינוך.</t>
    </r>
  </si>
  <si>
    <t>הכנת תוכנית כוללת להתחדשות עירונית. תוכנית עם תוקף סטטוטורי להבטחת יישום החזון והמדיניות להתחדשות ופיתוח מרכז העיר.</t>
  </si>
  <si>
    <t>הפיכת תוכנית אסטרטגית  לתוכנית סטטוטורית, לתוכנית מתאר בועדה המחוזית בהתאם ליו"ר הועדה המחוזית וליווי מימושה של התוכנית שקיבלה תוקף.</t>
  </si>
  <si>
    <t>בניית 10 כיתות גן .   חן סופיים. התב"ר לסגירה.</t>
  </si>
  <si>
    <t xml:space="preserve">בניית בי"ס יסודי (18) , 24 כיתות חט"ב ותיכון ,א.ס בינוני , מגרש ספורט , חניון תתקרקעי 2 מפלסים, שצ"פ שבט צופים מימון מ. החינוך. </t>
  </si>
  <si>
    <t>הצטיידות חד פעמית ליחידת חילוץ מתנדבים שעברו הכשרה בפיקוד העורף לתפקוד במצבי חרום ולמשמרות השכונה.</t>
  </si>
  <si>
    <t xml:space="preserve">תכנון חיבוריות בין מזרח למערב </t>
  </si>
  <si>
    <t>גנ"י נוספים גליל ים</t>
  </si>
  <si>
    <t xml:space="preserve">הצטיידות ועבודות אולמות ספורט וענפי ספורט חדשים </t>
  </si>
  <si>
    <t>פרויקט ממשלתי המתוקצב ע"י המדינה במקביל לרשות. תכנון שבוצע ע"י העיריה. בהמשך צפוי להתקבל החזר מרמ"י (הסכם הגג). יש הרשאה רמ"י לנת"א 28 מלשח.</t>
  </si>
  <si>
    <t>מתנ"ס קהילתי  בשטח של כ-4000 מ"ר הכולל גלריה מקומית, ספרייה חדשה,  חדרי חוגים, מועדון גמלאים בית קפה כולל הצטיידות. חן סופיים. מימון רמ"י ( מוס"צ מכרז "הבריגדה")</t>
  </si>
  <si>
    <t>המשך עבודות פיתוח שצ"פ ("מערכות") במתחם אלוני ים הר' 2030 . מימון רמ"י ( שצ"פים מכרז "גליל ים ג'").</t>
  </si>
  <si>
    <t>פיתוח סימטה שהפכה לדרך במסגרת תב"ע 2029 בנווה עמל. העבודות כוללות החלפת תשתיות תת קרקעיות,הריסת מבנה והתחברות לרח' כצלנסון. מימון רמ"י ( ישן מול חדש מכרזי רמ"י).</t>
  </si>
  <si>
    <r>
      <t xml:space="preserve">בניית 6 כיתות גנ"י במתחם ויצמן. </t>
    </r>
    <r>
      <rPr>
        <sz val="11"/>
        <rFont val="David"/>
        <family val="2"/>
      </rPr>
      <t>מימון מ. החינוך עדכון.</t>
    </r>
  </si>
  <si>
    <r>
      <t>תכנון וביצוע הקמת 5 כיתות גן במתחם השמעוני.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 החינוך. הצטיידות תב"ר 20044 בחינוך.</t>
    </r>
  </si>
  <si>
    <t>עבודות פיתוח, גינון והשקייה,  ניקוז ותיעול פיתוח לאזור הואדי כולל שיקום מדרכות ושבילי אופניים בנעמי שמר, עבודות חשמל,תאורה. מימון נת"ע.</t>
  </si>
  <si>
    <t>תוספת קומה כ - 300 מ"ר , עבודות שיפוץ ופיתוח רחבת המוזיאון. מימון מ. התרבות ומ. הפיס.</t>
  </si>
  <si>
    <t>עבודות שיפוץ חדרי הלבשה יציע מערבי. תכנון וביצוע עפ"י דרישות ההתאחדות לכדורגל. מימון מ. הספורט.</t>
  </si>
  <si>
    <t>עבודות פיתוח. מימון רמ"י במסגרת הסכם "הגג". ביצוע שצ"פים (415) 2024 מימון עיריה.  מימון רמ"י ( שצ"פים מכרז "גליל ים ג'").</t>
  </si>
  <si>
    <t>סל להקמת ושדרוג תשתיות כולל עמודי תאורה והתקנת גופי תאורה בטכנולוגיה מתקדמת עפ"י תוכנית רב שנתית. שינוי מימון מ. הכלכלה והתעשיה.</t>
  </si>
  <si>
    <t>תקציב מסגרת של עבודות במוס"ח לרבות שיפוצים יסודיים , התאמת מבנים ושדרוג גנ"י על פי תוכנית שתאושר ע"י הנהלת העיר. מימון מ. החינוך.</t>
  </si>
  <si>
    <t xml:space="preserve">שדרוג התאורה באיצטדיון העירוני. שינוי מימון מ. הספורט. </t>
  </si>
  <si>
    <t>תקציב מסגרת להקמת ממ"דים במוס"ח, מבני ציבור וברחבי העיר. קרן ייעודית. שינוי מימון.</t>
  </si>
  <si>
    <r>
      <t>השלמת התב"ע</t>
    </r>
    <r>
      <rPr>
        <sz val="11"/>
        <rFont val="David"/>
        <family val="2"/>
        <charset val="177"/>
      </rPr>
      <t xml:space="preserve"> לקבלת תוקף והכנת תצ"ר ואישורו במפ"י. </t>
    </r>
    <r>
      <rPr>
        <sz val="11"/>
        <rFont val="David"/>
        <family val="2"/>
      </rPr>
      <t>מימון רמ"י</t>
    </r>
    <r>
      <rPr>
        <sz val="11"/>
        <rFont val="David"/>
        <family val="2"/>
        <charset val="177"/>
      </rPr>
      <t xml:space="preserve"> . </t>
    </r>
  </si>
  <si>
    <t>עבודות שיקום רציף חיל הים ותחנת הדלק הנמצאת על הרציף וביצוע התאמות בינוי של התחנה בין היתר בהתאם לדרישות איכות הסביבה .</t>
  </si>
  <si>
    <t xml:space="preserve">הארכת דרך ירושלים  מרחוב סוקולוב עד ליפקין שחק כולל דרך ושביל אופניים , פיתוח רחוב יבנה והנגב . </t>
  </si>
  <si>
    <t xml:space="preserve"> הקמת מבנה טניס חדש, שיפוץ מבני מתנ"ס קיים קירוי 2 מגרשי טניס ופיתוח סביבתי למתחם .מימון רמ"י ( מוס"צ מכרז "ק. שחקים, גליל ים ג'")</t>
  </si>
  <si>
    <t xml:space="preserve"> תכנון מתחם חוף התכלת. מימון רמ"י. התב"ר לסגירה.</t>
  </si>
  <si>
    <t xml:space="preserve">עבודות במרחב הציבורי בשטחים ציבוריים בשכונות השונות ברחבי העיר כולל ריהוט רחוב , הצבת דפיבלירטורים ,פינוי אסבסט, טיפול בפסלים,קולרים עפ"י ת.עבודה שתאושר ע"י הנהלת העיר. </t>
  </si>
  <si>
    <t>בניית 3 כיתות גן  נוספים כולל מרחבים מוגנים לאור הגידול באוכלוסיה . בקשת מימון מ. החינוך.</t>
  </si>
  <si>
    <t>תכנון ראשוני. קרן ייעודית.</t>
  </si>
  <si>
    <t>תכנון מתחם מעונות שרה לפינוי ובינוי.מימון מ. הבינוי.התוכנית בשלב סטוטורי מתקדם - בשלב הפקדה. 2023: סיום התוכנית. חן סופיים.</t>
  </si>
  <si>
    <t>תכנון וביצוע צומת הבריגדה היהודית -מנחם בגין עקב ריבוי תאונות דרכים עפ"י נתוני הרלב"ד. מימון מ. התחבורה.</t>
  </si>
  <si>
    <t>בניית 3 כיתות גן , בניית החניון במימון  חברת אפריקה ישראל. שינוי מימון מ. החינוך ואפ"י.</t>
  </si>
  <si>
    <t>נגישות אקוסטית כיתות בי"ס בו צבי, ראשונים,ברנר . מימון מ.החינוך. הקטנת תקציב תיכון ראשונים.</t>
  </si>
  <si>
    <t>נגישות אקוסטית גנ"י וכיתות בי"ס . מימון מ.החינוך. הקטנת תקציב.</t>
  </si>
  <si>
    <t>תכנון צומת אשל בזל . פרויקט בטיחותי. מימון מ. התחבורה. הסתיים. הקטנת תקציב עפ"י ביצוע.</t>
  </si>
  <si>
    <t>מסגרת. הקמת תחנות אוטובוס , תחנות קצה ותשתיות בהתאם לצורך, במסגרת התוכנית התפעולית של "מהיר לעיר".</t>
  </si>
  <si>
    <t>בניית בית ספר ברח' משה-12 כתות. כולל הצטיידות.</t>
  </si>
  <si>
    <t>משטחי בטיחות, מתקני חצר,גינון, דשא סינטטי. הסתיים. ממתין לתקבול מ. החינוך.</t>
  </si>
  <si>
    <t>התקנת מעלית . מימון חלקי של משרד החינוך.הסתיים. ממתין לתקבול מ. החינוך.</t>
  </si>
  <si>
    <t>החלפת מתחם מתקני משחק. ב - 2024 : מתקן נינג'ה בספורטק.</t>
  </si>
  <si>
    <t xml:space="preserve">מימון מ. הפנים. ייסגר עם קבלת תקבול מ. הפנים. </t>
  </si>
  <si>
    <r>
      <t xml:space="preserve">בניית מרחבי למידה  ב - 17 בי"ס . מימון מלא מ. החינוך. </t>
    </r>
    <r>
      <rPr>
        <sz val="11"/>
        <rFont val="David"/>
        <family val="2"/>
      </rPr>
      <t xml:space="preserve">עבר </t>
    </r>
    <r>
      <rPr>
        <sz val="11"/>
        <rFont val="David"/>
        <family val="2"/>
        <charset val="177"/>
      </rPr>
      <t>ממינהל חינוך.</t>
    </r>
  </si>
  <si>
    <r>
      <t xml:space="preserve">ביכנ"ס  </t>
    </r>
    <r>
      <rPr>
        <sz val="11"/>
        <rFont val="David"/>
        <family val="2"/>
      </rPr>
      <t>הרצליה הירוקה</t>
    </r>
  </si>
  <si>
    <t>תכנון וביצוע ביכנ"ס גוש 6526 חלקה 46 בדויד השמעוני בהרצליה הירוקה.</t>
  </si>
  <si>
    <t xml:space="preserve">מימון מ. החינוך.  ייסגר עם קבלת תקבול מ. החינוך. </t>
  </si>
  <si>
    <r>
      <t xml:space="preserve">הקמת מרחבי למידה חדשניים בשכבת כיתות ז' בחט"ב רעות הכולל ריהוט ועיצוב פנים. התב"ר לסגירה. </t>
    </r>
    <r>
      <rPr>
        <sz val="11"/>
        <rFont val="David"/>
        <family val="2"/>
      </rPr>
      <t>עבר</t>
    </r>
    <r>
      <rPr>
        <sz val="11"/>
        <rFont val="David"/>
        <family val="2"/>
        <charset val="177"/>
      </rPr>
      <t xml:space="preserve"> ממינהל חינוך.</t>
    </r>
  </si>
  <si>
    <t xml:space="preserve">ביצוע עבודות לטיפול במפגעי בטיחות במצוק. מימון מ. הפנים. ייסגר עם קבלת תקבול מ. הפנים. </t>
  </si>
  <si>
    <t>השלמת תכנון וביצוע הקמת בי"ס חלופי בפארק. מימון מ. החינוך.חן סופיים.</t>
  </si>
  <si>
    <t xml:space="preserve">שדרוג תאורה במגרשי האצטדיון-החלפה לתאורת לד ,החלפת עמודים ומערכת בקרה לשליטה מרחוק. מימון מ. הספורט. ייסגר עם קבלת תקבול מ. הספורט. </t>
  </si>
  <si>
    <t xml:space="preserve">הסבת מבנה גנים לכיתות בי"ס ח"מ כולל הצטיידות. מימון חלקי מ. החינוך.  ייסגר עם קבלת תקבול מ. החינוך. </t>
  </si>
  <si>
    <t xml:space="preserve">מימון מ. הפנים.  ייסגר עם קבלת תקבול מ. הפנים. </t>
  </si>
  <si>
    <t xml:space="preserve">ראה תב"ר בניה (מס' 1909) בחברה לפיתוח הרצליה. </t>
  </si>
  <si>
    <t>פרויקטים תחבורתיים</t>
  </si>
  <si>
    <t xml:space="preserve">מסגרת עבודות עפ"י ת.ע. שתאושר ע"י הנהלת העיר, שדרוג כבישים במקביל לעבודות תאגיד המים, מדרכות. עבודות עפ"י החלטות וע. תנועה:תכנון והסדרי תנועה בטיחותיים, הסדרי חניה. </t>
  </si>
  <si>
    <t xml:space="preserve">סל לעבודות הסדרת ליקויים כיבוי אש במוס"ח ובמוסדות עיריה  לפי סקר. </t>
  </si>
  <si>
    <t>סל עבודות במוס"ח לרבות שיפוצים יסודיים , התאמת מבנים ושדרוג גנ"י . לקראת סיום.</t>
  </si>
  <si>
    <r>
      <t>הקמת מתנ"ס ברחוב המסילה כולל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הצטיידות. מימון רמ"י ( מוס"צ  מכרזי רמ"י ק. השחקים וג.ים ג'). עדכון שם.</t>
    </r>
  </si>
  <si>
    <t>חינוך לקיימות. קול קורא לשנים 2018-2020. מימון מ. להגנת הסביבה. שינוי מימון.</t>
  </si>
  <si>
    <t>השתתפות בפרעון מילוות מים,ביוב ופיתוח (*)</t>
  </si>
  <si>
    <t>דמי חכירה לרמ"י גוש 6669 חל' 508 בי"ס ומתנ"ס נוף ים</t>
  </si>
  <si>
    <t>תשלום דמי חכירה מהוונים גוש 6669 חלקה 508 המיויעדת לבניני ציבור עליה בנויים בי"ס ומתנ"ס נוף ים. הארכת חוזה החכירה לתקופה של 49 שנה מיוני 2023.</t>
  </si>
  <si>
    <t>עבודות הרחבת והכשרת חלקות נוספות חצרות 6+7 בבית העלמין החדש. מימון תאגיד הקבורה.</t>
  </si>
  <si>
    <t xml:space="preserve">תשתיות חשמל  תקשורת וריהוט משרדי מרכזים קהילתיים. </t>
  </si>
  <si>
    <t>ציוד הצלה ובטיחות</t>
  </si>
  <si>
    <t>הכנת תוכנית אנרגיה עירונית הכוללת סקר והכנת תוכנית מדיניות אנרגיה עירונית ופעולות לאנרגיה מקיימת, הכנת תוכנית פעולה ופעולות ליישום התוכנית.</t>
  </si>
  <si>
    <t>שיקום רציף חיל הים ותחנת הדלק</t>
  </si>
  <si>
    <t>עבודות שיקום הרציפים והמזחים במעגנה כולל תשתיות חשמל , מים ומרכיבי בטיחות.</t>
  </si>
  <si>
    <t xml:space="preserve">שיקום רציפי המרינה </t>
  </si>
  <si>
    <t>כיכר דה - שליט ומבואות השרון</t>
  </si>
  <si>
    <t>בדיקת מבנים לעמידות במקרה של רעידות אדמה.</t>
  </si>
  <si>
    <t>הכנת ת.אב לאיגומים ברחבי העיר, סקר שטחים ציבוריים והקמת ביופילטרים, מתקנים לסינון מים מזוהמים ומניעת בזבוז מי נגר עירוני, סקר שטחים פתוחים לצורך מימוש כמאגרי השהייה.</t>
  </si>
  <si>
    <t>פיתוח מתחם קרית השחקים תמ"ל 1082. קרן ייעודית.</t>
  </si>
  <si>
    <t>פיתוח מתחם גליל ים ג' הר' 1068. מימון רמ"י ( שצ"פים מכרז "הבריגדה"). קרן ייעודית.</t>
  </si>
  <si>
    <t>בי"ס יסודי בשטח 304.תכנון וביצוע.  מימון מ. החינוך.</t>
  </si>
  <si>
    <t>סל לשדרוג כבישים במקביל לעבודת תאגיד המים ומדרכות ברחבי העיר עפ"י תוכנית עבודה שתאושר ע"י הנהלת העיר. ראה תב"ר המשך מס' 20115.</t>
  </si>
  <si>
    <t xml:space="preserve">התקנת מעליות, שרותים ,רמפות בבי"ס עפ"י תוכנית רב שנתית. מימון מ. החינוך. ב - 2024 :נגישות  אחיה, וולפסון,  נתיב ומסגרת עבודות  400 אלשח. 2024:נגישות  אחיה, וולפסון,  נתיב ומסגרת עבודות. </t>
  </si>
  <si>
    <t xml:space="preserve">תוכנית אב לשילוט של כל סוגי השילוט בעיר . 2024 : כולל גינות ציבוריות מקומות מתקני משחק וכושר, שילוט רחוב הפניה למקלטים. </t>
  </si>
  <si>
    <t>עבודות שיפוץ הקונסבטוריון כ- 1,000מ"ר ב-2 קומות בשכונת יד התשעה .מימון מ. הפיס. הסתיים. ייסגר עם קבלת  תקבול מ. הפיס.</t>
  </si>
  <si>
    <t>החלפת תאורה ללדים באולמות הספורט עפ"י רשימה שתאושר ע"י הנהלת העיר.</t>
  </si>
  <si>
    <t xml:space="preserve">תוספות שינויים ושיפורים שדרוג מערכות הליבה הח.לאוטומציה וציוד חומרה. בהתאם לבקשות מעת לעת. </t>
  </si>
  <si>
    <t>קידום פעולות חינוך בנושא משבר האקלים במערכת החינוך הפורמלי , הלתי פורמלי ובקהילה. מימון מ. להגנת הסביבה.</t>
  </si>
  <si>
    <t>קרנות ייעודיות (*)</t>
  </si>
  <si>
    <t>הקמת מרחבים מוגנים</t>
  </si>
  <si>
    <t xml:space="preserve">קרנות ייעודיות עבור  פרויקטים:  </t>
  </si>
  <si>
    <t>התקציב מיועד ברובו לפרויקטים של הצטידויות של מוסדות חינוך חדשים ולאחר שיפוץ.</t>
  </si>
  <si>
    <t>תשלומים בלתי רגילים</t>
  </si>
  <si>
    <t>מספר הפרויקטים המטופלים ע"י מינהל הנדסה :</t>
  </si>
  <si>
    <t>מספר הפרויקטים המטופלים ע"י החברה לפיתוח הרצליה :</t>
  </si>
  <si>
    <t xml:space="preserve">הצטיידות ריהוט, ציוד נגינה ואביזרי הוראה במרכז המוסיקה לאחר שיפוץ והתאמת מבנה ביד התשעה . ראה תב"ר 20037 מינהל תפעול. </t>
  </si>
  <si>
    <t>השתתפות העיריה בהקמת המטרו עפ"י צו רכבת תחתית (מטרו) , התשפ"ג - 2022.</t>
  </si>
  <si>
    <t>מספר הפרויקטים המטופלים ע"י מינהל תפעול :</t>
  </si>
  <si>
    <t>משנת 2022 מחלקת איכות הסביבה הועברה לכפיפות ההנהלה ממינהל התפעול.</t>
  </si>
  <si>
    <t>סל עבודות פרויקטים תחבורתיים עפ"י החלטות וע.תנועה ופניות הציבור:הסדרים בטיחותיים בצמתים ,הסדרי חניה,תכנון תנועתי חדש. ראה תב"ר המשך מס' 20115 במינהל תפעול.</t>
  </si>
  <si>
    <t>פרוט הפרויקטים מובא בעמוד 155</t>
  </si>
  <si>
    <t>מספר הפרויקטים המטופלים ע"י מינהל חינוך :</t>
  </si>
  <si>
    <t>מספר הפרויקטים המטופלים ע"י אגף ספורט :</t>
  </si>
  <si>
    <t>מספר הפרויקטים המטופלים ע"י אגף ת.נ.ו.ק :</t>
  </si>
  <si>
    <t>מספר הפרויקטים המטופלים ע"י החברה לפיתוח התיירות הרצליה :</t>
  </si>
  <si>
    <t>מספר הפרויקטים המטופלים ע"י אגף תקשוב ומערכות מידע :</t>
  </si>
  <si>
    <t>אגף תרבות נוער וספורט</t>
  </si>
  <si>
    <t xml:space="preserve">עבודות הריסת מבנים ובניה ,עבודות גינון והצטיידות קאונטרי הרצליה. </t>
  </si>
  <si>
    <t>שדרוג והחלפת מערכות צ'ילרים . מימון חלקי תאגיד התרבות .</t>
  </si>
  <si>
    <t>ההסדרה והתקנת מעליות בבית ההורים רח' אנה פרנק.</t>
  </si>
  <si>
    <t>יתרה לביצוע צפוי עד 31.12.2024</t>
  </si>
  <si>
    <t>אומדן לביצוע שנת 2025</t>
  </si>
  <si>
    <t>אומדן לביצוע שנת 2026 ואילך</t>
  </si>
  <si>
    <t>תקציב נוסף נדרש במסגרת תוכנית עבודה 2024</t>
  </si>
  <si>
    <t>תקציב נוסף נדרש מעבר לתוכנית עבודה 2024</t>
  </si>
  <si>
    <t>סה"כ תקציב נוסף נדרש 2024</t>
  </si>
  <si>
    <t>יתרת תקציב פנויה 31.12.2024</t>
  </si>
  <si>
    <t>תקציב נדרש 2025</t>
  </si>
  <si>
    <t>שיפוצים מוס"ח</t>
  </si>
  <si>
    <t>פרויקט שיפור חזות פני העיר</t>
  </si>
  <si>
    <t>פרויקט מוכנות לשעת חרום</t>
  </si>
  <si>
    <t>שיפוצים מוס"ח היערכות לשנה"ל.</t>
  </si>
  <si>
    <t>סה"כ תקציב נוסף נדרש2024</t>
  </si>
  <si>
    <t>ליווי תוכנית הקו הירוק , קו המטרו , מהיר לעיר ואחרים המבוצעים ע"י מ. התחבורה. יועצי תנועה, מפקחים, יועצי בטיחות. מסגרת.</t>
  </si>
  <si>
    <r>
      <t>תב"ע הר' 2394 (לשעבר הר  2159 )</t>
    </r>
    <r>
      <rPr>
        <b/>
        <sz val="11"/>
        <rFont val="David"/>
        <family val="2"/>
      </rPr>
      <t xml:space="preserve"> (*) עדכון רמת רזיאל</t>
    </r>
  </si>
  <si>
    <t>הכנת מסמכי מדיניות ותוכניות אסטרטגיה להתחדשות עירונית .</t>
  </si>
  <si>
    <t>ביצוע סקר חריגות בנייה עפ"י תיקון לחוק הרשויות. 2025 : פיענוח תצ"אות.</t>
  </si>
  <si>
    <r>
      <t>לאור אישור תוכנית שימור ל - 70 אתרים , תקציב מסגרת ליועצים ,מתכננים וסקריי שימור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ושילוט פרויקטים לשימור.</t>
    </r>
  </si>
  <si>
    <t>עדכון מע. מידע הנדסי כתוצאה משינוי ייעודי קרקע עקב החלטות ועדות התכנון.</t>
  </si>
  <si>
    <t>פינוי בינוי ויצמן - הסכם פיתוח מתחם 5</t>
  </si>
  <si>
    <t>מתחם פינוי בינוי הכולל שטחי ציבור משמעותיים, הכוללים-4 גני ילדים, בית קפה, כיכר עירונית, דרכים ותשתיות.</t>
  </si>
  <si>
    <t>תואם</t>
  </si>
  <si>
    <t>תוכניות מפורטות דרום מערב העיר</t>
  </si>
  <si>
    <t>ליווי יועצים לפי הצורך לתוכניות מפורטות בדרום מערב העיר (חוף התכלת).</t>
  </si>
  <si>
    <t>אצטדיון - קו ניקוז</t>
  </si>
  <si>
    <t>תכנון פיתוח מתחם "ניצבא" כולל פיתוח רחוב העצמאות מבן גוריון עד קהילת ציון.</t>
  </si>
  <si>
    <r>
      <t xml:space="preserve">חניונים הר'1900 - </t>
    </r>
    <r>
      <rPr>
        <sz val="11"/>
        <rFont val="David"/>
        <family val="2"/>
      </rPr>
      <t xml:space="preserve">חניון משכית </t>
    </r>
    <r>
      <rPr>
        <strike/>
        <sz val="11"/>
        <rFont val="David"/>
        <family val="2"/>
      </rPr>
      <t/>
    </r>
  </si>
  <si>
    <t xml:space="preserve">הקמת חניון תתקרקעי ברחוב משכית כולל מבנה מסחר ועבודות פיתוח. </t>
  </si>
  <si>
    <t>עבודות פיתוח.עבודות השלמת ביצוע שצ"פים.מימון רמ"י במסגרת הסכם "הגג". 2025 : מימון הרשות.</t>
  </si>
  <si>
    <r>
      <t xml:space="preserve">מתחם קמפוס </t>
    </r>
    <r>
      <rPr>
        <sz val="11"/>
        <rFont val="David"/>
        <family val="2"/>
      </rPr>
      <t>המדעים</t>
    </r>
    <r>
      <rPr>
        <sz val="11"/>
        <rFont val="David"/>
        <family val="2"/>
        <charset val="177"/>
      </rPr>
      <t xml:space="preserve"> הרצליה </t>
    </r>
    <r>
      <rPr>
        <strike/>
        <sz val="11"/>
        <rFont val="David"/>
        <family val="2"/>
      </rPr>
      <t/>
    </r>
  </si>
  <si>
    <t>הקמת קמפוס מדעים:בי"ס להנדסאים ותיכון חדש. כולל הצטיידות. מימון מ. החינוך.</t>
  </si>
  <si>
    <t>גשר מחבר בין הפארק לבין שבעת הכוכבים. (במסגרת פרויקט קרית השחקים).</t>
  </si>
  <si>
    <r>
      <t>עבודות בניה ופיתוח מרכז מדעיים וקהילה באלתרמן.</t>
    </r>
    <r>
      <rPr>
        <sz val="11"/>
        <rFont val="David"/>
        <family val="2"/>
      </rPr>
      <t xml:space="preserve"> מבנה 5 קומות ופיתוח. חן סופיים. לקראת סיום.</t>
    </r>
  </si>
  <si>
    <r>
      <t xml:space="preserve">הקמת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בית קהילה </t>
    </r>
    <r>
      <rPr>
        <sz val="11"/>
        <rFont val="David"/>
        <family val="2"/>
        <charset val="177"/>
      </rPr>
      <t xml:space="preserve">רחוב המסילה  </t>
    </r>
  </si>
  <si>
    <t>תוספת מבנה של 6 כיתות    ואולם ספורט חדש בבי"ס ויצמן. קדם מימון מ. החינוך.</t>
  </si>
  <si>
    <t xml:space="preserve">תכנון פיתוח הרחובות הר מירון בר כוכבא ("הגפן") בעקבות אישור תוכנית התחדשות עירונית. </t>
  </si>
  <si>
    <r>
      <t xml:space="preserve">בחינת התכנות </t>
    </r>
    <r>
      <rPr>
        <b/>
        <sz val="11"/>
        <rFont val="David"/>
        <family val="2"/>
      </rPr>
      <t>(*)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 xml:space="preserve">עדכון </t>
    </r>
    <r>
      <rPr>
        <strike/>
        <sz val="11"/>
        <rFont val="David"/>
        <family val="2"/>
      </rPr>
      <t>לגנ"י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 xml:space="preserve">למוס"ח </t>
    </r>
    <r>
      <rPr>
        <sz val="11"/>
        <rFont val="David"/>
        <family val="2"/>
        <charset val="177"/>
      </rPr>
      <t>חדשים</t>
    </r>
    <r>
      <rPr>
        <sz val="11"/>
        <rFont val="David"/>
        <family val="2"/>
      </rPr>
      <t xml:space="preserve"> במתחמים שונים</t>
    </r>
  </si>
  <si>
    <t>הריסת מבני ספח והקמת מבנה חדש.תכנון ראשוני בי"ס בן צבי. תוספת 6 כיתות הרחבה ל - 24 כיתות. קדם מימון מ. החינוך.</t>
  </si>
  <si>
    <t>הקמת תיכון 30 כיתות בשב"צ דן שומרון גוש 656 חל' 991. תכנון. קדם מימון מ. החינוך.</t>
  </si>
  <si>
    <t>תכנון וביצוע של תוספת 6 כיתות ומעבדות בתיכון היובל.מימון מ. החינוך.</t>
  </si>
  <si>
    <r>
      <rPr>
        <sz val="11"/>
        <rFont val="David"/>
        <family val="2"/>
      </rPr>
      <t>תכנון חט"ב חדשה 24 כיתות באלתרמן.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קדם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 החינוך.</t>
    </r>
  </si>
  <si>
    <r>
      <t>גנ"י ו</t>
    </r>
    <r>
      <rPr>
        <sz val="11"/>
        <rFont val="David"/>
        <family val="2"/>
      </rPr>
      <t>מעון יום שיקומי</t>
    </r>
    <r>
      <rPr>
        <sz val="11"/>
        <rFont val="David"/>
        <family val="2"/>
        <charset val="177"/>
      </rPr>
      <t xml:space="preserve">  חנה רובינא </t>
    </r>
  </si>
  <si>
    <t xml:space="preserve"> בניה 2 כיתות גנ"י ו3 כיתות  מעון יום שיקומי בחנה רובינא. מימון מ. החינוך, קרן שלם והמוסד לב.לאומי. הצטיידות גם בתב"ר 20044 בחינוך.</t>
  </si>
  <si>
    <t>תכנון 4 גנ"י ומעונות יום במתחם המסילה. קדם מימון מ. החינוך.</t>
  </si>
  <si>
    <t>פיתוח גבעת האלוהים</t>
  </si>
  <si>
    <t>חידוש ושדרוג מרכז יום לתשושי נפש</t>
  </si>
  <si>
    <t>מרכז יום לתשושי נפש צמרות הרצליה.</t>
  </si>
  <si>
    <t>הקמת מתחם פודטראק ליד היכל אומנויות הבמה</t>
  </si>
  <si>
    <t>תכנון תב"ע תחנת שאיבה בפארק</t>
  </si>
  <si>
    <t>בדיקת היתכנות לדיור בר השגה</t>
  </si>
  <si>
    <t>שיפוץ מגרש ספורט יבור שכונת ויצמן</t>
  </si>
  <si>
    <t>שיפוץ מרכז ספורט אפולוניה</t>
  </si>
  <si>
    <t>הצללה ברחוב סוקולוב</t>
  </si>
  <si>
    <t>אולפני הרצליה</t>
  </si>
  <si>
    <t>פיתוח מתחם הבוסתן</t>
  </si>
  <si>
    <t>קמפוס מדעים - התאמות והצטיידות</t>
  </si>
  <si>
    <t>מעבדות תיכון הראשונים</t>
  </si>
  <si>
    <t>הצטיידות גנ"י וותיקים</t>
  </si>
  <si>
    <t>מסגרת. עבודות שיפוץ במתקנים במגרשי הספורט בהתאם לדוחות מכון התקנים.</t>
  </si>
  <si>
    <t>עבודות לצורך הסדרת רישוי עסק לאולמות ספורט</t>
  </si>
  <si>
    <t>מתחם כושר קרבי בחוף ים</t>
  </si>
  <si>
    <t>הפיכת הכיכר לחניון תת"ק הכולל תחנת שאיבה,  ומעליו שצ"פ. כחלק מהפיתוח הסביבתי הכולל הסדרת דרך הירידה לחוף.  ב - 2025 - הכנת נספח בינוי ופיתוח עד להיתר. מלון פאת ים נמצא בהליך היתר כמו גם מלון השרון, ופרויקטים של התחדשות עירונית סביב הכיכר.</t>
  </si>
  <si>
    <t>המשך פיתוח טיילת שלב ב' (יישום תב"ע חזית חוף הים)</t>
  </si>
  <si>
    <t xml:space="preserve"> קידום תיכנון ראשוני ומפורט לתב"ע חזית חוף הים, עד הוצאת היתרים. מקטע : אכדיה צפון - מלון הצוק כולל גן גלסברג. </t>
  </si>
  <si>
    <t>תב"ע לנכס עירוני במלון הצוק</t>
  </si>
  <si>
    <t>שינוי תב"ע לתוספת שימושים ושינוי ייעוד נכס עירוני מתחת למלון הצוק בחוף הים הרצליה.</t>
  </si>
  <si>
    <t>הסדרת בית הצדף</t>
  </si>
  <si>
    <t>מערכות מתקדמות לעיר חכמה כולל שו"ב מצלמות , ציוד נלווה ותשתיות מיחשוב. 2025:  כולל צמתים במערב העיר , גינות ציבוריות.</t>
  </si>
  <si>
    <r>
      <t>הקמת מרכזיה IP</t>
    </r>
    <r>
      <rPr>
        <b/>
        <sz val="11"/>
        <rFont val="David"/>
        <family val="2"/>
      </rPr>
      <t xml:space="preserve"> (*)</t>
    </r>
    <r>
      <rPr>
        <sz val="11"/>
        <rFont val="David"/>
        <family val="2"/>
        <charset val="177"/>
      </rPr>
      <t xml:space="preserve"> עדכון שם </t>
    </r>
    <r>
      <rPr>
        <b/>
        <sz val="11"/>
        <rFont val="David"/>
        <family val="2"/>
      </rPr>
      <t>ותשתיות טלפוניה</t>
    </r>
  </si>
  <si>
    <t>העברת מרכזיות אנלוגיות לרשת  IP כולל מוקדים ורכש מכשירים. עדכון שם.</t>
  </si>
  <si>
    <r>
      <t>פרוייקט עיר</t>
    </r>
    <r>
      <rPr>
        <b/>
        <sz val="11"/>
        <rFont val="David"/>
        <family val="2"/>
      </rPr>
      <t xml:space="preserve"> (*)</t>
    </r>
    <r>
      <rPr>
        <sz val="11"/>
        <rFont val="David"/>
        <family val="2"/>
        <charset val="177"/>
      </rPr>
      <t xml:space="preserve"> עדכון שם </t>
    </r>
    <r>
      <rPr>
        <strike/>
        <sz val="11"/>
        <rFont val="David"/>
        <family val="2"/>
      </rPr>
      <t xml:space="preserve">מתוחכמת </t>
    </r>
    <r>
      <rPr>
        <b/>
        <sz val="11"/>
        <rFont val="David"/>
        <family val="2"/>
      </rPr>
      <t>מבוססת דאטה.</t>
    </r>
  </si>
  <si>
    <t>הקמת תשתית עבור פרויקט עיר מתוחכמת כולל פיתוח תוכנית פעולה,  הקמת אגם מידע. עדכון שם.</t>
  </si>
  <si>
    <t>יער עירוני וחקלאות קהילתית. הקמת גינות קהילתיות חדשות ושדרוג תשתיות בגינות קיימות. יערות מאכל, חורשות קהילתיות. תוכנית אב לחקלאות עירונית.</t>
  </si>
  <si>
    <t>פעולות לאנרגיה מקיימת</t>
  </si>
  <si>
    <t>תקציב בלתי רגיל לשנת 2025 בהשקעה של</t>
  </si>
  <si>
    <t xml:space="preserve">לביצוע פרויקטים בשנת 2025 בסכום של  </t>
  </si>
  <si>
    <t>לביצוע צפוי בשנת 2026 ואילך בסכום של</t>
  </si>
  <si>
    <t>התקציב הבלתי רגיל לשנת 2024</t>
  </si>
  <si>
    <t xml:space="preserve">הצעת התקציב הבלתי רגיל לשנת 2024  אושרה במועצת העיר בחודש אפריל 2024 . </t>
  </si>
  <si>
    <r>
      <t xml:space="preserve">הצעת התקציב הבלתי רגיל לשנת 2024 הסתכמה בסכום של  </t>
    </r>
    <r>
      <rPr>
        <b/>
        <sz val="12"/>
        <color theme="1"/>
        <rFont val="David"/>
        <family val="2"/>
        <charset val="177"/>
      </rPr>
      <t>452,664 אלפי ₪ .</t>
    </r>
  </si>
  <si>
    <t xml:space="preserve">קרנות ייעודיות </t>
  </si>
  <si>
    <t xml:space="preserve">להלן נתוני ביצוע באלפי ₪ של התקציב הבלתי רגיל לשנת 2024 : </t>
  </si>
  <si>
    <t xml:space="preserve">ביצוע כולל צפי עד 31.12.2024 </t>
  </si>
  <si>
    <t xml:space="preserve">עדכוני תקציב  כולל צפי עד 31.12.2024 </t>
  </si>
  <si>
    <t>שנת  2025</t>
  </si>
  <si>
    <t>לעדכן</t>
  </si>
  <si>
    <t>שנת 2025</t>
  </si>
  <si>
    <t>ק. שחקים</t>
  </si>
  <si>
    <t>גליל ים ג'</t>
  </si>
  <si>
    <r>
      <t>פיצויי</t>
    </r>
    <r>
      <rPr>
        <b/>
        <sz val="11"/>
        <rFont val="David"/>
        <family val="2"/>
      </rPr>
      <t>ם</t>
    </r>
    <r>
      <rPr>
        <sz val="11"/>
        <rFont val="David"/>
        <family val="2"/>
        <charset val="177"/>
      </rPr>
      <t xml:space="preserve"> </t>
    </r>
    <r>
      <rPr>
        <strike/>
        <sz val="11"/>
        <rFont val="David"/>
        <family val="2"/>
      </rPr>
      <t>הפקעה</t>
    </r>
    <r>
      <rPr>
        <sz val="11"/>
        <rFont val="David"/>
        <family val="2"/>
        <charset val="177"/>
      </rPr>
      <t xml:space="preserve"> - פארק הבאסה</t>
    </r>
    <r>
      <rPr>
        <b/>
        <sz val="11"/>
        <rFont val="David"/>
        <family val="2"/>
      </rPr>
      <t xml:space="preserve"> (*)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>עדכון שם</t>
    </r>
  </si>
  <si>
    <t>שיקום מרכז מסחרי נוף ים</t>
  </si>
  <si>
    <t>התקציב הבלתי רגיל לשנת 2024 – ביצוע</t>
  </si>
  <si>
    <t>הצעת התקציב הבלתי רגיל לשנת 2025</t>
  </si>
  <si>
    <t xml:space="preserve">ביצוע תקציב הבלתי רגיל לשנת 2024    </t>
  </si>
  <si>
    <t xml:space="preserve">הפרויקטים הבולטים לשנת 2025 הינם :  </t>
  </si>
  <si>
    <t xml:space="preserve">סך התקציב הנדרש בשנת 2025 ע"י מינהל הנדסה מסתכם ב - </t>
  </si>
  <si>
    <t xml:space="preserve">סך התקציב הנדרש בשנת 2025 ע"י החברה לפיתוח הרצליה  מסתכם ב - </t>
  </si>
  <si>
    <t>פרויקטים עיקריים בשנת 2025 :</t>
  </si>
  <si>
    <t xml:space="preserve">סך התקציב הנדרש בשנת 2025 ע"י מינהל  תפעול מסתכם ב - </t>
  </si>
  <si>
    <t xml:space="preserve">סך התקציב הנדרש בשנת 2025 ע"י מינהל חינוך  מסתכם ב - </t>
  </si>
  <si>
    <t xml:space="preserve">סך התקציב הנדרש בשנת 2025 ע"י אגף ספורט  מסתכם ב - </t>
  </si>
  <si>
    <t xml:space="preserve">סך התקציב הנדרש בשנת 2025 ע"י אגף ת.נ.ו.ק  מסתכם ב - </t>
  </si>
  <si>
    <t xml:space="preserve">סך התקציב הנדרש בשנת 2025 ע"י החברה לפיתוח התיירות מסתכם ב - </t>
  </si>
  <si>
    <t xml:space="preserve">סך התקציב הנדרש בשנת 2025 ע"י אגף תקשוב ומערכות מידע מסתכם ב - </t>
  </si>
  <si>
    <t xml:space="preserve">סך התקציב הנדרש בשנת 2025 ע"י אגף נכסים וביטוח מסתכם ב - </t>
  </si>
  <si>
    <t xml:space="preserve">סך התקציב הנדרש בשנת 2025 במינהל כללי  מסתכם ב - </t>
  </si>
  <si>
    <t>התקציב הבלתי רגיל לשנת 2024 - ביצוע</t>
  </si>
  <si>
    <t>מימוש תקציב בלתי רגיל במסגרת תוכנית הפיתוח השנתית המעודכנת 2024</t>
  </si>
  <si>
    <t>עדכוני תקציב בלתי רגיל במהלך 2024</t>
  </si>
  <si>
    <t xml:space="preserve">מימוש תקציב </t>
  </si>
  <si>
    <t>כולל 1.9.24</t>
  </si>
  <si>
    <t>מקורות מימון - יתרה מימוש תקציב</t>
  </si>
  <si>
    <t>אפריל 2024</t>
  </si>
  <si>
    <t>מאי 2024</t>
  </si>
  <si>
    <t>יוני 2024</t>
  </si>
  <si>
    <t>יולי 2024</t>
  </si>
  <si>
    <t>אוגוסט 2024</t>
  </si>
  <si>
    <t>ספטמבר 2024</t>
  </si>
  <si>
    <t>סה"כ מימוש</t>
  </si>
  <si>
    <t>יתרה למימוש</t>
  </si>
  <si>
    <t>מימוש תקציב קודם ל-4/2024</t>
  </si>
  <si>
    <t>עדכוני תקציב דחיית תקציבים</t>
  </si>
  <si>
    <t>יתרה למימוש מעודכנת</t>
  </si>
  <si>
    <t xml:space="preserve">עדכוני תקציב </t>
  </si>
  <si>
    <t>בקשת עדכוני תקציב 1.9.24</t>
  </si>
  <si>
    <t>לא נדרש</t>
  </si>
  <si>
    <t>הקצאות תקציב האפשריות/הנדרשות עד 31.12.24</t>
  </si>
  <si>
    <t>עדכון מע. מידע הנדסי כתוצאה משינוי ייעודי קרקע עקב החלטות ועדות התכנון. לקראת סיום. ראה תב"ר חדש מס' 20062.</t>
  </si>
  <si>
    <t>השלמת ביצוע  עבודות סלילה ופיתוח לאחר סיום הבניה ברח' דורי ומשה שמיר.</t>
  </si>
  <si>
    <t xml:space="preserve">תכנון וביצוע שבילי אופנים ברחבי העיר. 2024: תכנון וביצוע  ארלוזרוב, הדר , ליפקין שחק הבנים, אבן עזרא. </t>
  </si>
  <si>
    <t>פיתוח  סופי ברח' זאב במתחם והתחברות כביש סלילה ליהודה הנשיא. הפרויקט הסתיים. סגירת תב"ר.</t>
  </si>
  <si>
    <t>ליווי תוכנית הקו הירוק , קו המטרו , מהיר לעיר ואחרים המבוצעים ע"י מ. התחבורה. יועצי תנועה, מפקחים, יועצי בטיחות.</t>
  </si>
  <si>
    <t>תכנון התחדשות עירונית ביד התשעה במסגרת תוכנית כללית/תוכניות מתחמיות. 2024: שמאי מלווה, שיתופי ציבור והכנת מסמכי הסברה.</t>
  </si>
  <si>
    <t>עלויות אכיפה צווי בית משפט במרינה.</t>
  </si>
  <si>
    <r>
      <t xml:space="preserve">עבודה סלילה, גינון ותאורה במתחם. 2024:תכנון כביש שרות מנחם בגין , ביצוע כניסה לחניון אוניברסיטה רייכמן. </t>
    </r>
    <r>
      <rPr>
        <b/>
        <sz val="11"/>
        <rFont val="David"/>
        <family val="2"/>
      </rPr>
      <t/>
    </r>
  </si>
  <si>
    <t>תב"ע הר' 2394 (לשעבר הר  2159 )</t>
  </si>
  <si>
    <t>חיבור פארק שלב ב' עם שכונת המסילה בגשר הולכי רגל מעל כביש 20.</t>
  </si>
  <si>
    <t>הכנת מסמכי מדיניות ותוכניות אסטרטגיה להתחדשות עירונית . פרוייקטים מתוכננים 2024: רח' הרב קוק - ארלוזרוב , רח' בן גוריון.</t>
  </si>
  <si>
    <t>תוכנית מתארית ומפורטת חלקית לאורך רחוב המנהרה ועד פארק הואדי. התוכנית כוללת מתחם לשימור. יש עתירה לבימ"ש של בעלי קרקע פרטיים. סגירת תב"ר.</t>
  </si>
  <si>
    <t>ביצוע סקר חריגות בנייה עפ"י תיקון לחוק הרשויות. 2024 : פיענוח תצ"אות.</t>
  </si>
  <si>
    <t>תב"ע בשיתוף מועצת כפר שמריהו לתכנון קישוריות שביל אופניים ופארק בתחום המסילה המתפנה . סגירת תב"ר.</t>
  </si>
  <si>
    <t>פיתוח רחובות הארז והחרוב. תכנון וביצוע. חן סופיים. התב"ר לסגירה.</t>
  </si>
  <si>
    <t>פיתוח רחוב המדרון. רחוב ללא מוצא.</t>
  </si>
  <si>
    <t>הקמת צומת מרמזור- בן גוריון בר אילן</t>
  </si>
  <si>
    <r>
      <t xml:space="preserve">תכנון וביצוע רמזור בצומת. </t>
    </r>
    <r>
      <rPr>
        <sz val="11"/>
        <rFont val="David"/>
        <family val="2"/>
      </rPr>
      <t>תכנון מימון מ. התחבורה .</t>
    </r>
  </si>
  <si>
    <r>
      <t>לאור אישור תוכנית שימור ל - 70 אתרים , תקציב מסגרת ליועצים ,מתכננים וסקריי שימור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ושילוט פרויקטים לשימור במסגרת 100 שנה להרצליה.</t>
    </r>
  </si>
  <si>
    <t>תכנון וביצוע עבודות פיתוח גינון והשקיה ועבודות חשמל ותאורה. הפיתוח עקב בעיות ניקוז.</t>
  </si>
  <si>
    <t>עדכון מע. מידע הנדסי כתוצאה משינוי ייעודי קרקע עקב החלטות ועדות התכנון.המשך תבר 179.</t>
  </si>
  <si>
    <t>תכנון וביצוע מעגל תנועה ברחובות אלי לנדאו ניל"י. 2024 : תכנון</t>
  </si>
  <si>
    <t>מובל ניקוז בר כוכבא</t>
  </si>
  <si>
    <t>תכנון וביצוע מובל חדש ברח' אריה זייף-בר כוכבא. 2024 : תכנון.</t>
  </si>
  <si>
    <t>החלפת צינור ניקוז שנמצא בחלקות פרטיות, כולל שיקום כביש ומדרכות. 2024 : תכנון.</t>
  </si>
  <si>
    <t>סכום 100 אלשח נוסף ל - 2025.</t>
  </si>
  <si>
    <t>מימוש תקציב מרץ 2024</t>
  </si>
  <si>
    <t>עדכוני תקציב  נוספים</t>
  </si>
  <si>
    <t xml:space="preserve">המשך ביצוע רח' משכית, ביצוע עבודות פיתוח רח' שנקר כולל ביצוע פיילוט עבודות הצללה. מימון מ. הגנת הסביבה. </t>
  </si>
  <si>
    <t>עבודות השלמת שצ"פים וגינת כלבים. חן סופיים. התב"ר לסגירה.</t>
  </si>
  <si>
    <t>השלמת ביצוע פארק רבין צפון. מימון רמ"י ( שצ"פים מכרז "בית קורקס" , "גליל ים ג'")</t>
  </si>
  <si>
    <t>פיתוח רחוב גבעת החלומות לרבות עבודות ניקוז ותאורה. הפרויקט הסתיים. סגירת תב"ר.</t>
  </si>
  <si>
    <t>עבודות מבנה מועדון פטנג. בספורטק.</t>
  </si>
  <si>
    <t xml:space="preserve">ביצוע פיתוח ותשתית במתחם "מרינה לי". </t>
  </si>
  <si>
    <t xml:space="preserve">תכנון פיתוח מתחם "ניצבא" כולל פיתוח רחוב העצמאות מבן גוריון עד קהילת ציון. </t>
  </si>
  <si>
    <t>עבודות שיקום לשיפור איכות ומראה המים באגם.</t>
  </si>
  <si>
    <t>בניית אולם ספורט חדש בחטיבה. חן סופיים. התב"ר לסגירה.</t>
  </si>
  <si>
    <t xml:space="preserve">הקמת חניון תתקרקעי ברחוב משכית כולל מבנה מסחר ועבודות פיתוח. עדכון שם. </t>
  </si>
  <si>
    <t>הקמת קמפוס מדעים:בי"ס להנדסאים ותיכון חדש. כולל הצטיידות. מימון מ. החינוך. עדכון שם.</t>
  </si>
  <si>
    <r>
      <rPr>
        <sz val="11"/>
        <rFont val="David"/>
        <family val="2"/>
      </rPr>
      <t>פיתוח הגשר מעל כביש 20 איזור גליל ים</t>
    </r>
    <r>
      <rPr>
        <b/>
        <sz val="11"/>
        <rFont val="David"/>
        <family val="2"/>
      </rPr>
      <t xml:space="preserve">. </t>
    </r>
    <r>
      <rPr>
        <sz val="11"/>
        <rFont val="David"/>
        <family val="2"/>
      </rPr>
      <t xml:space="preserve"> תכנון. הביצוע ע"י נתיבי איילון.</t>
    </r>
  </si>
  <si>
    <r>
      <t>עבודות הקמת אולם ספורט בנגיד  כולל הריסת אולמות ומקלט קיימים.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חן סופיים. התב"ר לסגירה.</t>
    </r>
  </si>
  <si>
    <t>שיפוץ אולם ספורט היובל כולל פיתוח המבואה והמתחם. חן סופיים. ייסגר עם קבלת תקבול מ. הספורט.</t>
  </si>
  <si>
    <t xml:space="preserve">תוספת מבנה של 6 כיתות    ואולם ספורט חדש בבי"ס ויצמן. </t>
  </si>
  <si>
    <t>סל עבודות לשדרוג במרחב הציבורי קירצוף וריבוד באיזור התעשיה.</t>
  </si>
  <si>
    <t xml:space="preserve">תכנון פיתוח מתחם שיכון דרום. תכנון בין רח' בן גוריון-רבי עקיבא-בן יהודה. </t>
  </si>
  <si>
    <t xml:space="preserve">תכנון פיתוח הרחובות הר מירון בר כוכבא בעקבות אישור תוכנית התחדשות עירונית. </t>
  </si>
  <si>
    <t xml:space="preserve">עיצוב חצר לימודית בי"ס גורדון. מימון חלקי מ. החינוך. </t>
  </si>
  <si>
    <t>בדיקת התכנות לבניית גנ"י במתחמים שונים ברחבי העיר בהתאם לצרכים העירוניים מעת לעת. 2024: כולל בדיקת היתכנות במגרשים 200-202 בגליל ים ג'.</t>
  </si>
  <si>
    <t>הריסת מבני ספח והקמת מבנה חדש.תכנון ראשוני בי"ס בן צבי. תוספת 6 כיתות הרחבה ל - 24 כיתות.</t>
  </si>
  <si>
    <t>עבודות במתחם המשקל העירוני להסדרת נושא הבטיחות.</t>
  </si>
  <si>
    <t>הקמת תיכון 30 כיתות בשב"צ דן שומרון גוש 656 חל' 991. תכנון.</t>
  </si>
  <si>
    <t xml:space="preserve">בדיקת היתכנות להקמת בי"ס יסודי 18 כיתות. </t>
  </si>
  <si>
    <t>תכנון וביצוע של תוספת 6 כיתות ומעבדות בתיכון היובל. קדם מימון מ. החינוך.</t>
  </si>
  <si>
    <r>
      <rPr>
        <sz val="11"/>
        <rFont val="David"/>
        <family val="2"/>
      </rPr>
      <t>תכנון חט"ב חדשה 24 כיתות באלתרמן.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 החינוך.</t>
    </r>
  </si>
  <si>
    <t>תכנון מקווה במתחם גליל ים. חן סופיים.</t>
  </si>
  <si>
    <t>תכנון וביצוע 2 גנ"י. סגירת תב"ר.</t>
  </si>
  <si>
    <t xml:space="preserve"> בניה 2 כיתות גנ"י ו3 כיתות  מעון יום שיקומי בחנה רובינא. מימון מ. החינוך, קרן שלם והמוסד לב.לאומי. הצטיידות גם בתב"ר 20044 בחינוך. עדכון שם.</t>
  </si>
  <si>
    <t>תכנון 4 גנ"י ומעונות יום במתחם המסילה.</t>
  </si>
  <si>
    <t>הריסה ובניה  חדשה של מועדון צופי ים. הפרויקט הסתיים סגירת תב"ר.</t>
  </si>
  <si>
    <t>הקמת תחנות הצלה חדשות בחוף אכדיה צפון ובחוף סדני עלי. הפרויקט הסתיים. סגירת תב"ר.</t>
  </si>
  <si>
    <t>פרוייקט חינוכי של גנ"י שהוסמכו להיות "גנים ירוקים" .שילוב למידה בטבע/חורשות מס' ימים בשבוע. עבו' התאמת החורשות לשהיית ילדים. הפרויקט הסתיים. סגירת תב"ר.</t>
  </si>
  <si>
    <t>מתחם גליל ים</t>
  </si>
  <si>
    <t>מימון רמ"י במסגרת הסכם "הגג".</t>
  </si>
  <si>
    <t xml:space="preserve"> כיתות גן (7) . הפרויקט הסתים . סגירת תב"ר.</t>
  </si>
  <si>
    <t>עבודות פיתוח.עבודות השלמת ביצוע שצ"פים.מימון רמ"י במסגרת הסכם "הגג". 2024 : מימון הרשות.</t>
  </si>
  <si>
    <t>גשר מחבר בין הפארק לבין שבעת הכוכבים.</t>
  </si>
  <si>
    <t>סה"כ פרויקטים מתחם גליל ים</t>
  </si>
  <si>
    <t>תבר 20139</t>
  </si>
  <si>
    <t>סכום שנוצל.</t>
  </si>
  <si>
    <t>רמ"י שצ"פים</t>
  </si>
  <si>
    <t>רמ"י מוס"צ</t>
  </si>
  <si>
    <t>מימוש תקציב 4.4.2024</t>
  </si>
  <si>
    <t>רכישת מיכלי אצירה מפלסטיק ומתכת לפסולת ומיחזור. הפרויקט הסתיים. סגירת תב"ר.</t>
  </si>
  <si>
    <t xml:space="preserve">בנית פיר מעלית חיצוני בעקבות ביקורת של יועץ נגישות וקושי הנדסי לבנות את הפיר בתוך המבנה. כולל שיפוץ המרפסת והמדרגות. שינוי מימון מ. הדתות. </t>
  </si>
  <si>
    <t>מסגרת עבודות במרחב הציבורי. הפרויקט הסתיים. סגירת תב"ר.</t>
  </si>
  <si>
    <t>עבודות חיפוי חיצוני עפ"י דרישת מינהל הנדסה. הפרויקט הסתיים. סגירת תב"ר.</t>
  </si>
  <si>
    <t>הצבת מתקני שתייה מקוררים כולל תשתיות ברחבי העיר לרווחת התושבים. חן סופיים. איחוד עם תב"ר 1435.</t>
  </si>
  <si>
    <t>סככות צל חוף הכוכבים 2017</t>
  </si>
  <si>
    <t>מימון מ. הפנים. עבור רכישת 2 סככות נוספות הצללה לחוף הכוכבים.</t>
  </si>
  <si>
    <r>
      <t xml:space="preserve">החלפת מזגנים והחלפת תאורה ללדים במוס"ח. מימון מ. הכלכלה והתעשיה. </t>
    </r>
    <r>
      <rPr>
        <b/>
        <sz val="11"/>
        <rFont val="David"/>
        <family val="2"/>
      </rPr>
      <t xml:space="preserve"> </t>
    </r>
  </si>
  <si>
    <t>ציוד הצלה ובטיחות 2019</t>
  </si>
  <si>
    <t xml:space="preserve">החלפה והוספת ציוד הצלה ובטיחות. מימון מ. הפנים. ייסגר לאחר קבלת תקבול מ. הפנים. </t>
  </si>
  <si>
    <t xml:space="preserve">החלפת מזגנים , החלפת תאורה ללדים  ובקרת מבנים במוס"ח ובמוסדות עירוניים. חן סופיים. לקראת סגירה. </t>
  </si>
  <si>
    <t>התקנת חיבורים חיצוניים לגנרטורים  במבני חינוך וציבור לשימוש בעת הצורך. חן סופיים. התב"ר לסגירה.</t>
  </si>
  <si>
    <t xml:space="preserve">שיפוץ בית הספר כולל הכשרת מעבדות קיימות לכיתות לימוד עפ"י תוכנית שתאושר ע"י הנהלת העיר. </t>
  </si>
  <si>
    <t>התאמת מבנים בפארק לבי"ס דמוקרטי. הפרויקט הסתיים. סגירת תב"ר.</t>
  </si>
  <si>
    <t>מיול וזיווד חופים 2020 מ.הפנים</t>
  </si>
  <si>
    <t>מערכת מבוססת מצלמות לאכיפת החנייה והנת"צים ברחבי העיר. מימון נתיבי איילון.</t>
  </si>
  <si>
    <t>סל למערכות שונות ורכש לצרכי בטחון. מימון מ. הפנים.</t>
  </si>
  <si>
    <t>רכישת טרקטור לעבודות בחופים . סגירת תב"ר.</t>
  </si>
  <si>
    <t>רכישת נפת חול לסינון וניקוי החול בחופי הרחצה לתמיכה בטיפול בארוע זיהום הים בזפת. מימון מ. הגנת הסביבה.</t>
  </si>
  <si>
    <t>רכישת אופנוע ים 2021</t>
  </si>
  <si>
    <t>הקמת מעון יום במתנ"ס נווה ישראל.תוספת קומה והקמת 4 כיתות מעון, פיתוח הצטיידות ומיחשוב. הפרויקט הסתיים. סגירת תב"ר.</t>
  </si>
  <si>
    <t>שיפוץ כולל הצטיידות מבנה עירוני בבנין לב העיר למע"ש. הסתיים . סגירת תב"ר.</t>
  </si>
  <si>
    <t>עבודות לשדרוג מערכת צ'ילרים ומערכת VRF בבנין העירייה. הפרויקט הסתיים. סגירת תב"ר.</t>
  </si>
  <si>
    <t>עבודות שיקום ויציבות המבנה מרכז מסחרי נורדאו 1-3.</t>
  </si>
  <si>
    <t>עבודות התאמת מבנים - פישמן 1 ,השרון 23 -עבור מורים.</t>
  </si>
  <si>
    <t>שדרוג תאורה בהרצליה הצעירה</t>
  </si>
  <si>
    <t>תבר 20141</t>
  </si>
  <si>
    <t>תבר 20140</t>
  </si>
  <si>
    <t>הצטיידות  גנ"י חדשים  כולל  ח"מ במקביל לבניה .  פתיחת גנים במבנים קיימים , כולל שינוי הנובע מייחודיות גנ"י. חן סופיים. התב"ר לסגירה. ראה תב"ר 20044.</t>
  </si>
  <si>
    <t>הצטיידות מעבדה בהנדסאים .הפרויקט הסתיים. סגירת תב"ר.</t>
  </si>
  <si>
    <t>פרויקט החלפת ריהוט המותאם למאה ה - 21  בכל ביה"ס. תוכנית רב שנתית. יהיה במסגרת תב"ר 20030 שיפוצים מוס"ח.</t>
  </si>
  <si>
    <t>הצטיידות 3 מבני גן ו-2 מעונות יום בגליל ים. הפרויקט הסתיים.  סגירת תב"ר.</t>
  </si>
  <si>
    <t>נתוני ביצוע ושריון עודכנו : 18.12.23</t>
  </si>
  <si>
    <t>28.11.23:</t>
  </si>
  <si>
    <t xml:space="preserve">בשיחה עם אולגה. אין שינוי. </t>
  </si>
  <si>
    <t xml:space="preserve">תב"ר 1776 : הסכום עוגל מ - 1,709 אלפי ₪. </t>
  </si>
  <si>
    <t>מסגרת עבודות גידור מגרשי ספורט.</t>
  </si>
  <si>
    <t>עבודות שיפוץ במתקנים במגרשי הספורט בהתאם לדוחות מכון התקנים.</t>
  </si>
  <si>
    <t xml:space="preserve">המשך חידוש ציפוי מגרשי הספורט: יבור, רעות, אלון, נתיב ויד התשעה. </t>
  </si>
  <si>
    <t>הקמה ושיפוץ רצפות פרקט: חידוש רצפה באולם סמדר, החלפת רצפה בחדר מחול סמדר, חידוש רצפה באולם לב טוב .</t>
  </si>
  <si>
    <t>הצטיידות מועדון פטנג בספורטק, מועדון שחמט בבנין החדש, ענף אתלטיקה קלה, עבור רישוי עסקים א. ס. בן גוריון , שז"ר (2025).</t>
  </si>
  <si>
    <t>ארבע מאוורי תקרה גדולים לבריכה וציוד כושר עבור חדר כושר. הפרויקט הסתיים. סגירת תב"ר.</t>
  </si>
  <si>
    <t xml:space="preserve">הקמת מתקן הכולל מסלולי אתגרים ספוטיביים במגרש הספורט ברחוב האשל. הפרויקט הסתיים. סגירת תב"ר. </t>
  </si>
  <si>
    <t>החלפת דשא טבעי ב-2 מגרשי אימונים משק  והחלפת דשא מלאכותי במגרשי קאנטרי .</t>
  </si>
  <si>
    <t>התקנת שערים תקניים בארבעת מגרשי האימון.</t>
  </si>
  <si>
    <t>עבודות שונות,שיפוצים, ציוד בספריות, מרכזים קהילתיים, מוזיאונים עפ"י תוכנית עבודה.</t>
  </si>
  <si>
    <t>המשך הצטיידות עפ"י התוכנית המקורית.</t>
  </si>
  <si>
    <t xml:space="preserve">סגירת תב"ר . </t>
  </si>
  <si>
    <t>הפיכת הכיכר לחניון תת"ק הכולל תחנת שאיבה,  ומעליו שצ"פ. כחלק מהפיתוח הסביבתי הכולל הסדרת דרך הירידה לחוף.  ב - 2024 - תכנון ראשוני.</t>
  </si>
  <si>
    <t>תכנונים כללים ובלתי מתוכננים.</t>
  </si>
  <si>
    <t>עדכון תבר 20131 20.10.24</t>
  </si>
  <si>
    <t>מערכות מתקדמות לעיר חכמה כולל שו"ב מצלמות , ציוד נלווה ותשתיות מיחשוב. 2024:  כולל צמתים במערב העיר , גינות ציבוריות.</t>
  </si>
  <si>
    <r>
      <t xml:space="preserve">תוכנית הצטיידות למיחשוב מוס"ח .החלפת מחשבים ראוטרים וציוד מיחשוב. מימון מפעל הפיס. הפרויקט הסתיים. </t>
    </r>
    <r>
      <rPr>
        <sz val="11"/>
        <rFont val="David"/>
        <family val="2"/>
      </rPr>
      <t>סגירת תב"ר .</t>
    </r>
  </si>
  <si>
    <t xml:space="preserve"> המיזמים שזכו בקולות קוראים :  אקסלרייט בתחבורה,אתגר התמוטטות המצוק , פתרון לאתגר מעולם הנגר ,  מיזם פסולת וכלכלה מעגלית. </t>
  </si>
  <si>
    <t xml:space="preserve">רכש פורטינט . </t>
  </si>
  <si>
    <t xml:space="preserve">העברת מרכזיות אנלוגיות לרשת  IP כולל מוקדים ורכש מכשירים. </t>
  </si>
  <si>
    <t xml:space="preserve">פרוייקט עיר מתוחכמת </t>
  </si>
  <si>
    <t>הקמת תשתית עבור פרויקט עיר מתוחכמת כולל פיתוח תוכנית פעולה,  הקמת אגם מידע.</t>
  </si>
  <si>
    <t>נדרש ב - 2024</t>
  </si>
  <si>
    <t>פיצויי הפקעה - פארק הבאסה</t>
  </si>
  <si>
    <t>פיצויי הפקעה בפארק.</t>
  </si>
  <si>
    <t>פיצויי הפקעה בפארק תוכנית הר' 1941.</t>
  </si>
  <si>
    <t>תשלומי פיצויים להפקעות לביצוע שביל אופניים זמני ע"י משרד התחבורה.</t>
  </si>
  <si>
    <t>פיצויי הפקעה נכס גוש 6524/21,22 פטריאלי.</t>
  </si>
  <si>
    <t>פינוי  2 דיירים מוגנים מרכז מסחרי כצלנסון גוש 6558 חלקה 151.</t>
  </si>
  <si>
    <t>רכישת 2 משרדים מהמדינה בן גוריון 14. לא בוצע. לסגירה.</t>
  </si>
  <si>
    <t>יער עירוני וחקלאות קהילתית. הקמת גינות קהילתיות חדשות ושדרוג תשתיות בגינות קיימות. יערות מאכל, חורשות קהילתיות. תוכנית אב לחקלאות עירונית</t>
  </si>
  <si>
    <t>עב' פיתוח דחופות בלתי צפויות, מימוני ביניים, שיתעוררו במהלך השנה ויבוצעו עפ"י החלטות הנהלת העיר. שנים 2019/2020. הפרויקט הסתיים. סגירת תב"ר.</t>
  </si>
  <si>
    <t>הקצאות מרץ 2024 ו - 4.4.24</t>
  </si>
  <si>
    <t>אינפורמטיבי בלבד</t>
  </si>
  <si>
    <t>סה"כ ביצוע עד 31.12.2023</t>
  </si>
  <si>
    <t>אומדן לביצוע  2024 מעודכן</t>
  </si>
  <si>
    <t>יתרת תקציב פנויה 31.12.23</t>
  </si>
  <si>
    <t>תקציב מעודכן  נדרש 2024</t>
  </si>
  <si>
    <t>תקציב שאושר לביצוע בתוכנית הפיתוח 2024</t>
  </si>
  <si>
    <t xml:space="preserve">מימוש 6/2024 
 </t>
  </si>
  <si>
    <t xml:space="preserve">מימוש 7/2024 
 </t>
  </si>
  <si>
    <t xml:space="preserve">מימוש 8/2024 
 </t>
  </si>
  <si>
    <t xml:space="preserve">מימוש צפוי 9/2024 , 10/2024
 </t>
  </si>
  <si>
    <t>מימוש 27.9.24 , 26.9.24</t>
  </si>
  <si>
    <t>מימוש 8.10.24 , 17.10.24</t>
  </si>
  <si>
    <t>4/2.6.24</t>
  </si>
  <si>
    <t>8/18.6.24</t>
  </si>
  <si>
    <t>עדכון תקציב 2024.דחייה ל - 2025.</t>
  </si>
  <si>
    <t>6/4.8.24</t>
  </si>
  <si>
    <t>10/20.8.24</t>
  </si>
  <si>
    <t>פינוי בינוי ויצמן הסכם פיתוח מתחם 5</t>
  </si>
  <si>
    <t>חדש. פיתוח עפ"י הסכם הפיתוח שנחתם.</t>
  </si>
  <si>
    <t>עדכון תקציב 2024 השלמות פיתוח במתחם הבריגדה.</t>
  </si>
  <si>
    <t>עדכון תקציב 2024. דחייה ל - 2025.</t>
  </si>
  <si>
    <t xml:space="preserve">עדכון תקציב 2024. שינוי מימון. הפרויקט הסתיים . </t>
  </si>
  <si>
    <t xml:space="preserve">התחדשות עירונית יד  התשעה </t>
  </si>
  <si>
    <t>עדכון תקציב 2024.דחייה ל -2025.</t>
  </si>
  <si>
    <t>עדכון תקציב 2024. הקדמה מ - 2025.</t>
  </si>
  <si>
    <t>7/1.9.24</t>
  </si>
  <si>
    <t>11/17.9.24</t>
  </si>
  <si>
    <t>עדכון תקציב 2024. התב"ר הסתיים. לסגירה.</t>
  </si>
  <si>
    <t>עדכון תקציב 2024. התב"ר הסתיים. ממתין לתקבול רמ"י.</t>
  </si>
  <si>
    <t>עדכון אומדן ותקציב 2024.</t>
  </si>
  <si>
    <t>8/29.9.24</t>
  </si>
  <si>
    <t>12/15.10.24</t>
  </si>
  <si>
    <t>שינוי מימון. סגירת תב"ר.</t>
  </si>
  <si>
    <t>שצ"פ מערב קיר אקוסטי גליל ים ב</t>
  </si>
  <si>
    <t>הקטנת תקציב . סגירת תב"ר.</t>
  </si>
  <si>
    <t xml:space="preserve">מערכת כבישים   באזור תעשייה מערבי </t>
  </si>
  <si>
    <t>עדכון אומדן ותקציב לביצוע ב - 2024.</t>
  </si>
  <si>
    <t xml:space="preserve">שיפוצים מוס"ח </t>
  </si>
  <si>
    <t xml:space="preserve">חדש. שיפוצי  מוס"ח היערכות לשנה"ל תשפ"ה. </t>
  </si>
  <si>
    <t>5/30.6.24</t>
  </si>
  <si>
    <t>9/16.7.24</t>
  </si>
  <si>
    <t>בית קהילה רחוב המסילה</t>
  </si>
  <si>
    <t>שינוי מימון. מימון רמ"י מוס"צ מכרזי רמ"י.</t>
  </si>
  <si>
    <t>סימטת ניסנוב</t>
  </si>
  <si>
    <t>שינוי מימון. מימון רמ"י ישו מול חדש מכרזי רמ"י.</t>
  </si>
  <si>
    <t>עדכון אומדן ותקציב 2024. הבריכה האולימפית</t>
  </si>
  <si>
    <t>ביכנ"ס  הרצליה הירוקה</t>
  </si>
  <si>
    <t>עדכון תקציב 2024. הקדמה מ - 2025. הבריכה האולימפית</t>
  </si>
  <si>
    <t xml:space="preserve">מעון לאנשים עם מוגבלויות -  ביד התשעה </t>
  </si>
  <si>
    <t>מתחם קמפוס מדעים</t>
  </si>
  <si>
    <t>תכנונים כללים</t>
  </si>
  <si>
    <t xml:space="preserve">ביכנ"ס אברהם אבינו </t>
  </si>
  <si>
    <t>עדכון תקציב 2024. שינוי מימון.מ. החינוך.</t>
  </si>
  <si>
    <t xml:space="preserve">עדכון תקציב 2024. </t>
  </si>
  <si>
    <t>שינוי מימון.</t>
  </si>
  <si>
    <t>עדכון תקציב 2024.</t>
  </si>
  <si>
    <t xml:space="preserve">חדש. מסגרת עבודות לשיפור חזות פני העיר עפ"י ת.עבודה שתאושר ע"י הנהלת העיר. </t>
  </si>
  <si>
    <t>חדש. הצטיידות ומוכנות לשעת חרום.</t>
  </si>
  <si>
    <t>עדכון תקציב 2024. שינוי מימון. מ. החינוך.</t>
  </si>
  <si>
    <t>עדכון תקציב 2024. שינוי מימון.מפעל הפיס.</t>
  </si>
  <si>
    <t>פיר מעלית ומעלית בנין המועצה הדתית  כולל שיפוץ המרפסת ומדרגות</t>
  </si>
  <si>
    <t>עדכון תקציב 2024. קרן ייעודית.</t>
  </si>
  <si>
    <t>עדכון אומדן ותקציב 2024. מסגרת עבודות כולל בהיכל בעיר.</t>
  </si>
  <si>
    <t>עדכון תקציב 2024. מימון מ. הגנת הסביבה.</t>
  </si>
  <si>
    <t>עדכון תקציב 2024.  מ. החינוך.</t>
  </si>
  <si>
    <t>צי'לר מוזיאון הרצליה</t>
  </si>
  <si>
    <t>הסתיים. הקטנת תקציב וסגירת תב"ר.</t>
  </si>
  <si>
    <t xml:space="preserve">הקמת פינות מיחזור וגזם ברחבי העיר </t>
  </si>
  <si>
    <t>הסתיים. הקטנת תקציב. מ. הפנים. סגירת תב"ר.</t>
  </si>
  <si>
    <t>הסתיים. הקטנת תקציב. שינוי מימון מ. הפנים וסגירת תב"ר.</t>
  </si>
  <si>
    <t>סה"כ אגף ת.נ.ו.ק</t>
  </si>
  <si>
    <t>החברה לתיירות</t>
  </si>
  <si>
    <t>סה"כ החברה לתיירות</t>
  </si>
  <si>
    <t>עדכוני תקציב הפיתוח השנתי 2024</t>
  </si>
  <si>
    <t>עדכון נדרש תקציב פיתוח 2024</t>
  </si>
  <si>
    <r>
      <t xml:space="preserve">יעודי קרקע -מפת בסיס </t>
    </r>
    <r>
      <rPr>
        <b/>
        <sz val="11"/>
        <rFont val="David"/>
        <family val="2"/>
      </rPr>
      <t>נסגר 2024</t>
    </r>
  </si>
  <si>
    <r>
      <t xml:space="preserve">פיתוח מתחם רזיאל מע' תב"ע 1706 </t>
    </r>
    <r>
      <rPr>
        <b/>
        <sz val="11"/>
        <rFont val="David"/>
        <family val="2"/>
      </rPr>
      <t>נסגר 2024</t>
    </r>
  </si>
  <si>
    <r>
      <t xml:space="preserve">הוצאות אכיפה-דירות נופש במרינה </t>
    </r>
    <r>
      <rPr>
        <b/>
        <sz val="11"/>
        <rFont val="David"/>
        <family val="2"/>
      </rPr>
      <t>נסגר 2024</t>
    </r>
  </si>
  <si>
    <r>
      <t xml:space="preserve">חיבור גשר הולכי רגל כביש 20 </t>
    </r>
    <r>
      <rPr>
        <b/>
        <sz val="11"/>
        <rFont val="David"/>
        <family val="2"/>
      </rPr>
      <t>נסגר 2024</t>
    </r>
  </si>
  <si>
    <r>
      <t>תב"ע משולש המנהרה הר' 2350</t>
    </r>
    <r>
      <rPr>
        <sz val="11"/>
        <rFont val="David"/>
        <family val="2"/>
      </rPr>
      <t xml:space="preserve"> </t>
    </r>
    <r>
      <rPr>
        <b/>
        <sz val="11"/>
        <rFont val="David"/>
        <family val="2"/>
      </rPr>
      <t>נסגר 2024</t>
    </r>
  </si>
  <si>
    <r>
      <t xml:space="preserve">תב"ע תוכנית שיקום המסילה המתפנה הר '2435 </t>
    </r>
    <r>
      <rPr>
        <b/>
        <sz val="11"/>
        <rFont val="David"/>
        <family val="2"/>
      </rPr>
      <t>נסגר 2024</t>
    </r>
  </si>
  <si>
    <r>
      <t xml:space="preserve">פיתוח רח' הארז והחרוב </t>
    </r>
    <r>
      <rPr>
        <b/>
        <sz val="11"/>
        <rFont val="David"/>
        <family val="2"/>
      </rPr>
      <t>נסגר 2024</t>
    </r>
  </si>
  <si>
    <r>
      <t xml:space="preserve">שדרוג שצ"פ ברחוב בארי </t>
    </r>
    <r>
      <rPr>
        <b/>
        <sz val="11"/>
        <rFont val="David"/>
        <family val="2"/>
      </rPr>
      <t>נסגר 2024</t>
    </r>
  </si>
  <si>
    <r>
      <t xml:space="preserve">מובל ניקוז בר כוכבא </t>
    </r>
    <r>
      <rPr>
        <b/>
        <sz val="11"/>
        <rFont val="David"/>
        <family val="2"/>
      </rPr>
      <t>נסגר 2024</t>
    </r>
  </si>
  <si>
    <r>
      <t xml:space="preserve">אולם ספורט חטיבת זאב </t>
    </r>
    <r>
      <rPr>
        <b/>
        <sz val="11"/>
        <rFont val="David"/>
        <family val="2"/>
      </rPr>
      <t>נסגר 2024</t>
    </r>
  </si>
  <si>
    <r>
      <t xml:space="preserve">הקמת אולם ספורט הנגיד </t>
    </r>
    <r>
      <rPr>
        <b/>
        <sz val="11"/>
        <rFont val="David"/>
        <family val="2"/>
      </rPr>
      <t>נסגר 2024</t>
    </r>
  </si>
  <si>
    <r>
      <t xml:space="preserve">שיכון דרום הר' 2312 </t>
    </r>
    <r>
      <rPr>
        <b/>
        <sz val="11"/>
        <rFont val="David"/>
        <family val="2"/>
      </rPr>
      <t>נסגר 2024</t>
    </r>
  </si>
  <si>
    <r>
      <t xml:space="preserve">שדרוג מתחם המשקל העירוני </t>
    </r>
    <r>
      <rPr>
        <b/>
        <sz val="11"/>
        <rFont val="David"/>
        <family val="2"/>
      </rPr>
      <t>נסגר 2024</t>
    </r>
  </si>
  <si>
    <r>
      <t xml:space="preserve">מועדון קרמבו ים </t>
    </r>
    <r>
      <rPr>
        <b/>
        <sz val="11"/>
        <rFont val="David"/>
        <family val="2"/>
      </rPr>
      <t>נסגר 2024</t>
    </r>
  </si>
  <si>
    <r>
      <t xml:space="preserve">הקמת תחנות הצלה חוף אכדיה צפון וחוף סידני עלי </t>
    </r>
    <r>
      <rPr>
        <b/>
        <sz val="11"/>
        <rFont val="David"/>
        <family val="2"/>
      </rPr>
      <t>נסגר 2024</t>
    </r>
  </si>
  <si>
    <r>
      <t xml:space="preserve">פרוייקט התאמת חורשות וחצרות גנ"י פרויקט EACH </t>
    </r>
    <r>
      <rPr>
        <b/>
        <sz val="11"/>
        <rFont val="David"/>
        <family val="2"/>
      </rPr>
      <t>נסגר 2024</t>
    </r>
  </si>
  <si>
    <r>
      <t xml:space="preserve">שצ"פ מערב קיר אקוסטי גליל ים ב' </t>
    </r>
    <r>
      <rPr>
        <b/>
        <sz val="11"/>
        <rFont val="David"/>
        <family val="2"/>
      </rPr>
      <t>נסגר 2024</t>
    </r>
  </si>
  <si>
    <r>
      <t>בדיקת התכנות מתחמי פינוי בינוי ותכנון פרויקטים להתחדשות עירונית ופינוי בינוי.</t>
    </r>
    <r>
      <rPr>
        <sz val="11"/>
        <rFont val="David"/>
        <family val="2"/>
      </rPr>
      <t xml:space="preserve">  לווי ובקרת העיריה ליוזמות ותכניות שמקודמות ע"י חברות פרטיות.</t>
    </r>
  </si>
  <si>
    <r>
      <t>המדרון 15 שצ"פ</t>
    </r>
    <r>
      <rPr>
        <b/>
        <sz val="11"/>
        <rFont val="David"/>
        <family val="2"/>
      </rPr>
      <t xml:space="preserve"> נסגר 2024</t>
    </r>
  </si>
  <si>
    <r>
      <t>הקמת צומת מרמזור- בן גוריון בר אילן</t>
    </r>
    <r>
      <rPr>
        <b/>
        <sz val="11"/>
        <rFont val="David"/>
        <family val="2"/>
      </rPr>
      <t xml:space="preserve"> נסגר 2024</t>
    </r>
  </si>
  <si>
    <r>
      <t>פיתוח מתחם המסילה ודב הוז</t>
    </r>
    <r>
      <rPr>
        <b/>
        <sz val="11"/>
        <rFont val="David"/>
        <family val="2"/>
      </rPr>
      <t xml:space="preserve"> נסגר 2024</t>
    </r>
  </si>
  <si>
    <r>
      <t>רח' גבעת החלומות פיתוח</t>
    </r>
    <r>
      <rPr>
        <b/>
        <sz val="11"/>
        <rFont val="David"/>
        <family val="2"/>
      </rPr>
      <t xml:space="preserve"> נסגר 2024</t>
    </r>
  </si>
  <si>
    <r>
      <t>שיקום האגם בפארק</t>
    </r>
    <r>
      <rPr>
        <b/>
        <sz val="11"/>
        <rFont val="David"/>
        <family val="2"/>
      </rPr>
      <t xml:space="preserve"> נסגר 2024</t>
    </r>
  </si>
  <si>
    <r>
      <t>גשר מעל כביש 20</t>
    </r>
    <r>
      <rPr>
        <b/>
        <sz val="11"/>
        <rFont val="David"/>
        <family val="2"/>
      </rPr>
      <t xml:space="preserve"> נסגר 2024</t>
    </r>
  </si>
  <si>
    <t xml:space="preserve">הקמת חניון מרינה לי </t>
  </si>
  <si>
    <t>מסגרת עבודות של החלפת עמודי תאורה באיזור התעשיה. חן סופיים. התב"ר לסגירה.</t>
  </si>
  <si>
    <r>
      <t>שיפוץ אולם ספורט היובל</t>
    </r>
    <r>
      <rPr>
        <b/>
        <sz val="11"/>
        <rFont val="David"/>
        <family val="2"/>
      </rPr>
      <t xml:space="preserve"> נסגר 2024</t>
    </r>
  </si>
  <si>
    <t>תכנון שיפוץ/הריסה ובניה מחדש של בי"ס. הריסה של 18 כיתות, ובניה של 24 כיתות,6 כיתות  ח"מ. מימון מ. החינוך תוספת הרשאה.</t>
  </si>
  <si>
    <r>
      <t>בי"ס דמוקרטי</t>
    </r>
    <r>
      <rPr>
        <b/>
        <sz val="11"/>
        <rFont val="David"/>
        <family val="2"/>
      </rPr>
      <t xml:space="preserve"> נסגר 2024</t>
    </r>
  </si>
  <si>
    <r>
      <t>מקווה גליל ים</t>
    </r>
    <r>
      <rPr>
        <b/>
        <sz val="11"/>
        <rFont val="David"/>
        <family val="2"/>
      </rPr>
      <t xml:space="preserve"> נסגר 2024</t>
    </r>
  </si>
  <si>
    <r>
      <t>גנ"י אחד העם</t>
    </r>
    <r>
      <rPr>
        <b/>
        <sz val="11"/>
        <rFont val="David"/>
        <family val="2"/>
      </rPr>
      <t xml:space="preserve"> נסגר 2024</t>
    </r>
  </si>
  <si>
    <r>
      <t xml:space="preserve">רכישת מיכלי אצירה לפסולת ומיחזור </t>
    </r>
    <r>
      <rPr>
        <b/>
        <sz val="11"/>
        <rFont val="David"/>
        <family val="2"/>
      </rPr>
      <t>נסגר 2024</t>
    </r>
  </si>
  <si>
    <r>
      <t>פיר מעלית ומעלית בנין המועצה הדתית</t>
    </r>
    <r>
      <rPr>
        <b/>
        <sz val="11"/>
        <rFont val="David"/>
        <family val="2"/>
        <charset val="177"/>
      </rPr>
      <t xml:space="preserve">  </t>
    </r>
    <r>
      <rPr>
        <sz val="11"/>
        <rFont val="David"/>
        <family val="2"/>
      </rPr>
      <t>כולל שיפוץ המרפסת ומדרגות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>נסגר 2024</t>
    </r>
  </si>
  <si>
    <r>
      <t xml:space="preserve">שדרוג המרחב הציבורי (בית קינן) </t>
    </r>
    <r>
      <rPr>
        <b/>
        <sz val="11"/>
        <rFont val="David"/>
        <family val="2"/>
      </rPr>
      <t>נסגר 2024</t>
    </r>
  </si>
  <si>
    <r>
      <t>שיפוץ מעבדת רובוטיקה בהנדסאים</t>
    </r>
    <r>
      <rPr>
        <b/>
        <sz val="11"/>
        <rFont val="David"/>
        <family val="2"/>
      </rPr>
      <t xml:space="preserve"> נסגר 2024</t>
    </r>
  </si>
  <si>
    <r>
      <t>הצבת קולרים ברחבי העיר</t>
    </r>
    <r>
      <rPr>
        <b/>
        <sz val="11"/>
        <rFont val="David"/>
        <family val="2"/>
      </rPr>
      <t xml:space="preserve"> נסגר 2024</t>
    </r>
  </si>
  <si>
    <r>
      <t xml:space="preserve">סככות צל חוף הכוכבים 2017 </t>
    </r>
    <r>
      <rPr>
        <b/>
        <sz val="11"/>
        <rFont val="David"/>
        <family val="2"/>
      </rPr>
      <t>נסגר 2024</t>
    </r>
  </si>
  <si>
    <r>
      <t>חסכון,התייע' אנרגטית מוסח/ציבור</t>
    </r>
    <r>
      <rPr>
        <b/>
        <sz val="11"/>
        <rFont val="David"/>
        <family val="2"/>
      </rPr>
      <t xml:space="preserve"> נסגר 2024</t>
    </r>
  </si>
  <si>
    <r>
      <t>ציוד הצלה ובטיחות 2019</t>
    </r>
    <r>
      <rPr>
        <b/>
        <sz val="11"/>
        <rFont val="David"/>
        <family val="2"/>
      </rPr>
      <t xml:space="preserve"> נסגר 2024</t>
    </r>
  </si>
  <si>
    <r>
      <t xml:space="preserve">חסכון, התיעלות אנרגטית מוסח/ציבור 2020 </t>
    </r>
    <r>
      <rPr>
        <b/>
        <sz val="11"/>
        <rFont val="David"/>
        <family val="2"/>
      </rPr>
      <t>נסגר 2024</t>
    </r>
  </si>
  <si>
    <r>
      <t xml:space="preserve">התקנת חיבורים חיצוניים לגנרטורים מוסח/ציבור </t>
    </r>
    <r>
      <rPr>
        <b/>
        <sz val="11"/>
        <rFont val="David"/>
        <family val="2"/>
      </rPr>
      <t>נסגר 2024</t>
    </r>
  </si>
  <si>
    <r>
      <t>תיכון היובל</t>
    </r>
    <r>
      <rPr>
        <b/>
        <sz val="11"/>
        <rFont val="David"/>
        <family val="2"/>
      </rPr>
      <t xml:space="preserve"> נסגר 2024</t>
    </r>
  </si>
  <si>
    <r>
      <t xml:space="preserve">בי"ס דמוקרטי- התאמת מבנה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בפארק</t>
    </r>
    <r>
      <rPr>
        <sz val="11"/>
        <rFont val="David"/>
        <family val="2"/>
        <charset val="177"/>
      </rPr>
      <t xml:space="preserve">  </t>
    </r>
    <r>
      <rPr>
        <b/>
        <sz val="11"/>
        <rFont val="David"/>
        <family val="2"/>
      </rPr>
      <t>נסגר 2024</t>
    </r>
  </si>
  <si>
    <r>
      <t xml:space="preserve">מיול וזיווד חופים 2020 מ.הפנים </t>
    </r>
    <r>
      <rPr>
        <b/>
        <sz val="11"/>
        <rFont val="David"/>
        <family val="2"/>
      </rPr>
      <t>נסגר 2024</t>
    </r>
  </si>
  <si>
    <t>הקמת מבנים יבילים  וממ"ד באיצטדיון כולל תשתיות ופיתוח דרכי גישה. ממ"ד מק. ייעודית.</t>
  </si>
  <si>
    <r>
      <t>רכישת נפת חול לחופי הרחצה</t>
    </r>
    <r>
      <rPr>
        <b/>
        <sz val="11"/>
        <rFont val="David"/>
        <family val="2"/>
      </rPr>
      <t xml:space="preserve"> נסגר 2024</t>
    </r>
  </si>
  <si>
    <r>
      <t>רכישת אופנוע ים 2021</t>
    </r>
    <r>
      <rPr>
        <b/>
        <sz val="11"/>
        <rFont val="David"/>
        <family val="2"/>
      </rPr>
      <t xml:space="preserve"> נסגר 2024</t>
    </r>
  </si>
  <si>
    <r>
      <t xml:space="preserve">הסבת מעון יום בנווה ישראל </t>
    </r>
    <r>
      <rPr>
        <b/>
        <sz val="11"/>
        <rFont val="David"/>
        <family val="2"/>
      </rPr>
      <t>נסגר 2024</t>
    </r>
  </si>
  <si>
    <r>
      <t xml:space="preserve">שיפוץ משרדי לב העיר כולל מע"ש </t>
    </r>
    <r>
      <rPr>
        <b/>
        <sz val="11"/>
        <rFont val="David"/>
        <family val="2"/>
      </rPr>
      <t>נסגר 2024</t>
    </r>
  </si>
  <si>
    <r>
      <t>עבודות טיפול במערכת מיזוג אוויר בנין העיריה</t>
    </r>
    <r>
      <rPr>
        <b/>
        <sz val="11"/>
        <rFont val="David"/>
        <family val="2"/>
      </rPr>
      <t xml:space="preserve"> נסגר 2024</t>
    </r>
  </si>
  <si>
    <r>
      <t>שיקום המבנה המסחרי בנורדאו</t>
    </r>
    <r>
      <rPr>
        <b/>
        <sz val="11"/>
        <rFont val="David"/>
        <family val="2"/>
      </rPr>
      <t xml:space="preserve"> נסגר 2024</t>
    </r>
  </si>
  <si>
    <r>
      <t xml:space="preserve">עבודות התאמה במבנים המיועדים לדיור מורים </t>
    </r>
    <r>
      <rPr>
        <b/>
        <sz val="11"/>
        <rFont val="David"/>
        <family val="2"/>
      </rPr>
      <t>נסגר 2024</t>
    </r>
  </si>
  <si>
    <r>
      <t xml:space="preserve">הצטיידות גנ"י חדשים ח"ר,ח"מ </t>
    </r>
    <r>
      <rPr>
        <b/>
        <sz val="11"/>
        <rFont val="David"/>
        <family val="2"/>
      </rPr>
      <t>נסגר 2024</t>
    </r>
  </si>
  <si>
    <r>
      <t xml:space="preserve">סדנת רובוטיקה בהנדסאים </t>
    </r>
    <r>
      <rPr>
        <b/>
        <sz val="11"/>
        <rFont val="David"/>
        <family val="2"/>
      </rPr>
      <t>נסגר 2024</t>
    </r>
  </si>
  <si>
    <r>
      <t>חידוש ריהוט בי"ס</t>
    </r>
    <r>
      <rPr>
        <b/>
        <sz val="11"/>
        <rFont val="David"/>
        <family val="2"/>
      </rPr>
      <t xml:space="preserve"> נסגר 2024</t>
    </r>
  </si>
  <si>
    <r>
      <t xml:space="preserve">בריכה באפולוניה - הצטיידות </t>
    </r>
    <r>
      <rPr>
        <b/>
        <sz val="11"/>
        <rFont val="David"/>
        <family val="2"/>
      </rPr>
      <t>נסגר 2024</t>
    </r>
  </si>
  <si>
    <r>
      <t xml:space="preserve">מתחם נינג'ה מערב העיר </t>
    </r>
    <r>
      <rPr>
        <b/>
        <sz val="11"/>
        <rFont val="David"/>
        <family val="2"/>
      </rPr>
      <t>נסגר 2024</t>
    </r>
  </si>
  <si>
    <r>
      <t>החלפת שערים באצטדיון ומגרשי אימונים</t>
    </r>
    <r>
      <rPr>
        <b/>
        <sz val="11"/>
        <rFont val="David"/>
        <family val="2"/>
      </rPr>
      <t xml:space="preserve"> נסגר 2024</t>
    </r>
  </si>
  <si>
    <r>
      <t xml:space="preserve">הצטיידות מבנה תרבות מערב העיר </t>
    </r>
    <r>
      <rPr>
        <b/>
        <sz val="11"/>
        <rFont val="David"/>
        <family val="2"/>
      </rPr>
      <t>נסגר 2024</t>
    </r>
  </si>
  <si>
    <t xml:space="preserve">השלמת התב"ע לקבלת תוקף והכנת תצ"ר ואישורו במפ"י. מימון רמ"י . </t>
  </si>
  <si>
    <r>
      <t xml:space="preserve">תב"ע מרינה </t>
    </r>
    <r>
      <rPr>
        <b/>
        <sz val="11"/>
        <rFont val="David"/>
        <family val="2"/>
      </rPr>
      <t>נסגר 2024</t>
    </r>
  </si>
  <si>
    <r>
      <t xml:space="preserve">תוכנית הצטיידות  מיחשוב מוס"ח </t>
    </r>
    <r>
      <rPr>
        <b/>
        <sz val="11"/>
        <rFont val="David"/>
        <family val="2"/>
      </rPr>
      <t>נסגר 2024</t>
    </r>
  </si>
  <si>
    <r>
      <t>שביל אופניים הרצליה-ת"א הפקעות</t>
    </r>
    <r>
      <rPr>
        <b/>
        <sz val="11"/>
        <rFont val="David"/>
        <family val="2"/>
      </rPr>
      <t xml:space="preserve"> נסגר 2024</t>
    </r>
  </si>
  <si>
    <r>
      <t xml:space="preserve">פיצויי הפקעה פטריאלי 6524/21,22  </t>
    </r>
    <r>
      <rPr>
        <b/>
        <sz val="11"/>
        <rFont val="David"/>
        <family val="2"/>
      </rPr>
      <t>נסגר 2024</t>
    </r>
  </si>
  <si>
    <r>
      <t xml:space="preserve">פינוי דיירים מוגנים גוש 6558 חלקה 151  </t>
    </r>
    <r>
      <rPr>
        <b/>
        <sz val="11"/>
        <rFont val="David"/>
        <family val="2"/>
      </rPr>
      <t>נסגר 2024</t>
    </r>
  </si>
  <si>
    <r>
      <t xml:space="preserve">רכישת  משרדים בן גוריון 14 </t>
    </r>
    <r>
      <rPr>
        <b/>
        <sz val="11"/>
        <rFont val="David"/>
        <family val="2"/>
      </rPr>
      <t xml:space="preserve"> נסגר 2024</t>
    </r>
  </si>
  <si>
    <t xml:space="preserve">אגף ספורט </t>
  </si>
  <si>
    <t>אגף תנועת נוער תרבות וקהילה</t>
  </si>
  <si>
    <t>ערך הסף נכון להיום עומד על יותר מ  - 16,853 אלפי ₪.</t>
  </si>
  <si>
    <t>תשלום צארום בגין הריסת מבנה עפ"י הסכם מ - 2006</t>
  </si>
  <si>
    <t>תשלום עפ"י הסכם מ - 2006 וכתנאי לביצוע הריסה מבנה במסגרת אישור בקשת היתר על תוספת מבנה  מ-7/2024 .</t>
  </si>
  <si>
    <t>בניית 3 כיתות גן  נוספים כולל מרחבים מוגנים לאור הגידול באוכלוסיה . רח' התזמורת גליל ים ב'. צפי איכלוס 9/2025.</t>
  </si>
  <si>
    <t>גנ"י גליל ים ג'</t>
  </si>
  <si>
    <r>
      <t xml:space="preserve">הקמת מבנים יבילים  וממ"ד באיצטדיון כולל תשתיות ופיתוח דרכי גישה. </t>
    </r>
    <r>
      <rPr>
        <sz val="11"/>
        <rFont val="David"/>
        <family val="2"/>
        <charset val="177"/>
      </rPr>
      <t>ממ"ד מק. ייעודית.</t>
    </r>
  </si>
  <si>
    <r>
      <t>שדרוג</t>
    </r>
    <r>
      <rPr>
        <sz val="11"/>
        <rFont val="David"/>
        <family val="2"/>
        <charset val="177"/>
      </rPr>
      <t xml:space="preserve"> וטיפול המרחב הציבורי</t>
    </r>
  </si>
  <si>
    <t>עבודות עפר,בטיחות וגידור לטיפול במצוקים בחופי הים.</t>
  </si>
  <si>
    <t>מערכת מבוססת מצלמות לאכיפת החנייה והנת"צים ברחבי העיר.</t>
  </si>
  <si>
    <t>סל למערכות שונות ורכש לצרכי בטחון.</t>
  </si>
  <si>
    <t>מסגרת עבודות לשיפור חזות פני העיר עפ"י ת.עבודה שתאושר ע"י הנהלת העיר.</t>
  </si>
  <si>
    <t>הצטיידות ומוכנות לשעת חרום.</t>
  </si>
  <si>
    <t>הסבת מערכות השקייה לא מבוקרות למערכות מבוקרות</t>
  </si>
  <si>
    <t>הסבת ראשי מערכות השקיה אלו למערכות הנשלטות על ידי המערכת הממוחשבת לניהול ובקרה, תאפשר בקרה וניהול של המערכות.</t>
  </si>
  <si>
    <t>שיפוץ מתנ"ס יד התשעה</t>
  </si>
  <si>
    <t>שיפוץ אגף בטחון, שיטור עירוני , שרון 29</t>
  </si>
  <si>
    <t xml:space="preserve">לביצוע פרויקטים בשנת 2026 ואילך בסכום של  </t>
  </si>
  <si>
    <t>שיפוץ מתקנים לאירוח המכביה</t>
  </si>
  <si>
    <t>החלפת צינור ניקוז שנמצא בחלקות פרטיות, כולל שיקום כביש ומדרכות. 2025 : תכנון וביצוע.</t>
  </si>
  <si>
    <t>צ'ילר במוזיאון</t>
  </si>
  <si>
    <t>עבודות שיפוץ,מע. הגברה לקראת אירוח המכביה 2025. בקשת מימון מ. הספורט 750 אלשח.</t>
  </si>
  <si>
    <t>יועצי סביבה וקיימות בהיבטים תכנוניים במסגרת בקשות להיתרים ותכנון תב"עות. גיבוש מדיניות של תכנון בר קיימא כמענה לשינויי האקלים לצד ציפוף עירוני מוגבר.</t>
  </si>
  <si>
    <t>תוכנית תפעולית לניידות עירונית</t>
  </si>
  <si>
    <t>הכנת תוכנית מתווה הניידות והתחבורה החכמה בעיר.</t>
  </si>
  <si>
    <t>תוכנית אב להצללה</t>
  </si>
  <si>
    <t>ליווי הסכמי פיתוח וביצוע תשתיות של  שטחים ציבוריים המפותחים ע"י חב' יזמיות במתחמי התחדשות עירונית.</t>
  </si>
  <si>
    <t>ביכנ"ס ומרכז טיפול לגיל הרך מגרש 301. תכנון.</t>
  </si>
  <si>
    <t>תוכנית להצללת רחוב סוקולוב.</t>
  </si>
  <si>
    <t>מתנ"ס קהילתי  בשטח של כ-4000 מ"ר הכולל גלריה מקומית, ספרייה חדשה,  חדרי חוגים, מועדון גמלאים בית קפה כולל הצטיידות. חן סופיים. מימון רמ"י ( מוס"צ מכרז "הבריגדה").</t>
  </si>
  <si>
    <t>עבודות שונות,שיפוצים, ציוד בספריות, מרכזים קהילתיים, מוזיאונים ומבני תרבות עפ"י תוכנית עבודה שתאושר ע"י הנהלת העיר.</t>
  </si>
  <si>
    <t xml:space="preserve">                                       </t>
  </si>
  <si>
    <t>הכנת מסמך מדיניות אסטרטגית בנושא עידוד הליכתיות והצללה באמצעים מלאכותיים ברחבי העיר.</t>
  </si>
  <si>
    <t>תב"ר 2170 עבר למינהל כללי</t>
  </si>
  <si>
    <t>עבודות שיקום והסטת הנחל -304</t>
  </si>
  <si>
    <t>רכישת ציוד והצלה חופי ים</t>
  </si>
  <si>
    <t>אופנוע ים, כולל ציוד. מימון מ. הפנים.</t>
  </si>
  <si>
    <t>פיתוח תשתית מיחשוב לניהול צרכי ניידות ופתרונות תחבורה.</t>
  </si>
  <si>
    <t>מערכת לניהול פרויקטים פתרונות תחבורה</t>
  </si>
  <si>
    <t>התקנת קירוי קשיח ופוטוואלטי במגרשי ספורט. תיכון דור ותיכון חדש. הפרויקט הסתיים. התב"ר לסגירה.</t>
  </si>
  <si>
    <t xml:space="preserve">השלמת ביצוע  עבודות סלילה ופיתוח . </t>
  </si>
  <si>
    <t xml:space="preserve">עבודה סלילה, גינון ותאורה במתחם. 2025: תכנון - השלמת פיתוח שלב ב' ודרך שרות מנחם בגין. </t>
  </si>
  <si>
    <t xml:space="preserve">מיחשוב כלל התשתיות הקיימות במרחב הציבורי. </t>
  </si>
  <si>
    <t>תכנון וביצוע שבילי אופנים ברחבי העיר. מימון מפעל הפיס.</t>
  </si>
  <si>
    <t>עבודות פיתוח, גינון , השקייה, חשמל ותאורה .</t>
  </si>
  <si>
    <t>תכנון וביצוע מעגל תנועה ברחובות אלי לנדאו ניל"י.</t>
  </si>
  <si>
    <t xml:space="preserve"> תכנון מתחם חוף התכלת. מימון רמ"י.(ממתין  לתקבול רמ"י) .התב"ר לסגירה.</t>
  </si>
  <si>
    <t>תכנון צומת אשל בזל . פרויקט בטיחותי. מימון מ. התחבורה. הסתיים. (ממתין לתקבול מ. התחבורה).</t>
  </si>
  <si>
    <t>המשך עבודות פיתוח שצ"פ ("מערכות") במתחם אלוני ים הר' 2030 .</t>
  </si>
  <si>
    <t>עבודות פיתוח. מימון רמ"י במסגרת הסכם "הגג". מימון רמ"י ( שצ"פים מכרז "גליל ים ג'").</t>
  </si>
  <si>
    <t>פיתוח סימטה שהפכה לדרך במסגרת תב"ע 2029 בנווה עמל. העבודות כוללות החלפת תשתיות תת קרקעיות,הריסת מבנה והתחברות לרח' כצלנסון. מימון רמ"י ( ישן מול חדש מכרז רמ"י "בית קורקס").</t>
  </si>
  <si>
    <t>השלמת ביצוע פארק רבין צפון. מימון רמ"י ( שצ"פים מכרזי "בית קורקס" , "אולפני קסם").</t>
  </si>
  <si>
    <t>עבודות שיפוץ חדרי הלבשה יציע מערבי. תכנון וביצוע עפ"י דרישות ההתאחדות לכדורגל (התאמה לליגה א'). מימון מ. הספורט.</t>
  </si>
  <si>
    <r>
      <t xml:space="preserve">מתחם ספורט משותף: </t>
    </r>
    <r>
      <rPr>
        <sz val="11"/>
        <rFont val="David"/>
        <family val="2"/>
      </rPr>
      <t xml:space="preserve">הרחבת הבריכה </t>
    </r>
    <r>
      <rPr>
        <sz val="11"/>
        <rFont val="David"/>
        <family val="2"/>
        <charset val="177"/>
      </rPr>
      <t xml:space="preserve">אולם ומגרש ספורט לתיכון היובל, אולם ספורט לבי״ס נבון ואולם התעמלות מכשירים. </t>
    </r>
  </si>
  <si>
    <t>סל עבודות תכנון עפ"י דרישה.כולל ייעוץ הסכם גג רמי. מימון רמ"י .</t>
  </si>
  <si>
    <t>הפיכת תוכ. אסטרטגית  לתוכ.  סטטוטורית, לתוכ. מתאר בועדה המחוזית בהתאם ליו"ר הועדה המחוזית וליווי מימושה של התוכ. שקיבלה תוקף.</t>
  </si>
  <si>
    <t>תכנון לגנ"י במגרשים גליל ים ג'. 200,201,205 לביצוע 2026. 202,204 לביצוע 2027.</t>
  </si>
  <si>
    <t>תכנון פיתוח המתחם.</t>
  </si>
  <si>
    <t>תכנון מתחם פודטראק .</t>
  </si>
  <si>
    <t>בדיקה ותכנון שיקום מתחם מרכז מסחרי נוף ים.</t>
  </si>
  <si>
    <t>פיתוח תב"ע אולפני הרצליה.</t>
  </si>
  <si>
    <t>פיתוח מתחם הבוסתן.</t>
  </si>
  <si>
    <t xml:space="preserve">פרויקט  בניית אודיטוריום ,תוספת 6 כתות ו-2 ממ"דים ,שיפוץ כללי ומעלית כולל איטום גג אולם ספורט. שיפוץ חזיתות והצטיידות. </t>
  </si>
  <si>
    <t xml:space="preserve">שיקום חזיתות בנין דיור לקשיש ברח' שמאי. </t>
  </si>
  <si>
    <t>עבודות שיפוץ במבנה של העיריה (משרדי רשות החופים) לאור מצב המבנה (קורוזיה) המהווה סכנה .</t>
  </si>
  <si>
    <t>עבודות שונות בפארק בין היתר שיפוץ  מתקני משחק ,שיפוץ שרותים, חידוש מסלול גומי, שדרוג דקים תוספות עצים  ושדרוגים שונים עפ"י תוכנית עבודה שתאושר ע"י הנהלת העיר.</t>
  </si>
  <si>
    <t xml:space="preserve">סל להקמת ושדרוג תשתיות כולל עמודי תאורה והתקנת גופי תאורה בטכנולוגיה מתקדמת עפ"י תוכנית רב שנתית. </t>
  </si>
  <si>
    <t>תוכנית אב לשילוט של כל סוגי השילוט בעיר .</t>
  </si>
  <si>
    <t xml:space="preserve">תקציב מסגרת של עבודות במוס"ח לרבות שיפוצים יסודיים , התאמת מבנים ושדרוג גנ"י על פי תוכנית שתאושר ע"י הנהלת העיר. </t>
  </si>
  <si>
    <t>עבודות שיפוץ מתנ"ס ביד התשעה.</t>
  </si>
  <si>
    <t xml:space="preserve">עבודות שיפוץ מבני ת.ב.ל . </t>
  </si>
  <si>
    <t xml:space="preserve">הצטיידות חדשה: כיתות חדשות בעקבות גידול עפ"י צפי במס' תלמידים ופתיחת כיתות במקום החדש , שיפוץ כיתות קיימות בביצוע אגף תבל. סל מסגרת. </t>
  </si>
  <si>
    <t>הצטיידות  גנ"י חדשים  כולל  ח"מ במקביל לבניה .  פתיחת גנים במבנים קיימים , כולל שינוי הנובע מייחודיות גנ"י.</t>
  </si>
  <si>
    <t>המשך חידוש ציפוי מגרשי הספורט כולל רעות וגן רש"ל , ציפוי אקרילי מגרשי טניס בקאנטרי.</t>
  </si>
  <si>
    <t>הקמה ושיפוץ רצפות פרקט כולל אולם סמדר - זירה מרכזית, אולם לב טוב.</t>
  </si>
  <si>
    <t>הצטיידות אולםמות ספורט כולל חדש שז"ר ,מבנים יבילים חדשים באצטדיון.</t>
  </si>
  <si>
    <t>עבודות להתאמת אולמות ספורט לקבלת אישור רישוי עסק חדש על פני תכנית תלת שנתית. העבודות כוללות עבודות נגישות, מצלמות, מע. כריזה.</t>
  </si>
  <si>
    <t xml:space="preserve">תכנונים כללים ובלתי מתוכננים. </t>
  </si>
  <si>
    <t>עדכון תב"ע להסדרת בית הצדף.</t>
  </si>
  <si>
    <t>הקמת אתר עירוני חדש מתקדם , ידידותי ומותאם לכלל הצרכים העירוניים כולל מימשקים לתושבים ומימשקים למערכות התפעוליות . האתר יהיה רספונסיבי  ומתן מענה לפורטל האירגוני על בסיס אותה תשתית.</t>
  </si>
  <si>
    <t>תקן 27001 אבטחת מידע.</t>
  </si>
  <si>
    <t>תוכנית הצטיידות למיחשוב כל מוס"ח . החלפת מחשבים ראוטרים וציוד מיחשוב. מימון מפעל הפיס.</t>
  </si>
  <si>
    <t xml:space="preserve">חינוך לקיימות. קול קורא לשנים 2018-2020. מימון מ. להגנת הסביבה. </t>
  </si>
  <si>
    <t xml:space="preserve">הכנת תוכנית היערכות לשינויי האקלים הכוללת יועצים. מימון מ. הגנת הסביבה. </t>
  </si>
  <si>
    <t>תוכנית פעולות רב שנתית  לאנרגיה מקיימת.</t>
  </si>
  <si>
    <t>תכנון תב"ע לשכונה חדשה בהרצליה הצעירה. שטח בגודל של כ - 50 דונם , כ - 300 יח"ד.  עדכון שם.</t>
  </si>
  <si>
    <t>המשך ביצוע עבודות במתחם.  2025 : משכית.</t>
  </si>
  <si>
    <r>
      <t>הקמת מתנ"ס ברחוב המסילה כולל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הצטיידות. מימון רמ"י ( מוס"צ מכרז אולפני קסם).</t>
    </r>
  </si>
  <si>
    <t xml:space="preserve">עבודות שיפוץ מרכז הספורט אפולוניה. </t>
  </si>
  <si>
    <r>
      <t xml:space="preserve">מרכז תרבות </t>
    </r>
    <r>
      <rPr>
        <strike/>
        <sz val="11"/>
        <rFont val="David"/>
        <family val="2"/>
      </rPr>
      <t>בנושא האקלים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>וספריה</t>
    </r>
    <r>
      <rPr>
        <sz val="11"/>
        <rFont val="David"/>
        <family val="2"/>
        <charset val="177"/>
      </rPr>
      <t xml:space="preserve"> </t>
    </r>
    <r>
      <rPr>
        <b/>
        <sz val="11"/>
        <rFont val="David"/>
        <family val="2"/>
      </rPr>
      <t>עירונית</t>
    </r>
    <r>
      <rPr>
        <sz val="11"/>
        <rFont val="David"/>
        <family val="2"/>
        <charset val="177"/>
      </rPr>
      <t xml:space="preserve"> ברחוב בן גוריון</t>
    </r>
    <r>
      <rPr>
        <b/>
        <sz val="11"/>
        <rFont val="David"/>
        <family val="2"/>
      </rPr>
      <t xml:space="preserve"> (*) עדכון</t>
    </r>
  </si>
  <si>
    <t>הקמת מרכז תרבות כולל ספריה עירונית  ופעילויות חינוכיות. עדכון שם.</t>
  </si>
  <si>
    <t>פרויקטים שהיקפם עולה על 16,853 אלפי ₪ בביצוע החברה לפיתוח הרצליה.</t>
  </si>
  <si>
    <t>פרויקט שדרוג מובל ניקוז בנעמי שמר</t>
  </si>
  <si>
    <t>פרויקט : קאנטרי</t>
  </si>
  <si>
    <t>פרויקט : מרכז מטאור</t>
  </si>
  <si>
    <t>פרויקט : מתנ"ס נוף ים</t>
  </si>
  <si>
    <t>פרויקט : בי"ס ימי</t>
  </si>
  <si>
    <t>פרויקט פיתוח דן שומרון</t>
  </si>
  <si>
    <t>תב"ר 2092 נסגר.נגרע מהקובץ</t>
  </si>
  <si>
    <t>תב"ר 2170 עבר מהמיחשוב</t>
  </si>
  <si>
    <t>תב"ר 20108 עבר לחל"פ.</t>
  </si>
  <si>
    <t>תב"ר 20108 עבר מהנדסה</t>
  </si>
  <si>
    <t>מיזמים בתחום התחבורה כולל טכנולוגיות תחבורה מתקדמות, הנגשת מידע לציבור הנוסעים,כלים לתכנון ניידות.</t>
  </si>
  <si>
    <t>פיצויים ליתרת בעלי המקרקעין בגין ירידת ערך בעקבות תוכניות הר/1890 והר/1941. עדכון שם. איחוד עם תב"ר 1330.</t>
  </si>
  <si>
    <t>פיצויים ליתרת בעלי המקרקעין בגין ירידת ערך בעקבות תוכניות הר/1890 והר/1941. איחוד עם תב"ר 1177.</t>
  </si>
  <si>
    <t>מתוקצב מקרן עבודות פיתוח.</t>
  </si>
  <si>
    <r>
      <t>תב"ר 1177 : פיצויי הפקעה פארק הבאסה</t>
    </r>
    <r>
      <rPr>
        <b/>
        <sz val="12"/>
        <color theme="1"/>
        <rFont val="David"/>
        <family val="2"/>
      </rPr>
      <t xml:space="preserve"> - פיצויים פארק הבאסה.</t>
    </r>
  </si>
  <si>
    <t xml:space="preserve">תקשורת ברחבי העיר ומוסדות חינוך, הקמת תשתיות מיחשוב , </t>
  </si>
  <si>
    <t>תוכנית הצטיידות מיחשוב מוסדות חינוך.</t>
  </si>
  <si>
    <r>
      <t>תב"ר 20134 : פרויקט עיר מתוחכמת</t>
    </r>
    <r>
      <rPr>
        <b/>
        <sz val="12"/>
        <color theme="1"/>
        <rFont val="David"/>
        <family val="2"/>
      </rPr>
      <t xml:space="preserve"> - פרויקט עיר מבוססת דאטה.</t>
    </r>
  </si>
  <si>
    <r>
      <t>תב"ר 20085 : הקמת מרכזיה IP</t>
    </r>
    <r>
      <rPr>
        <b/>
        <sz val="12"/>
        <color theme="1"/>
        <rFont val="David"/>
        <family val="2"/>
      </rPr>
      <t xml:space="preserve"> - הקמת מרכזיה IP ותשתיות טלפוניה.</t>
    </r>
  </si>
  <si>
    <t>התקציב מיועד  בין היתר לתב"ע חזית חוף הים ויישומה, פתרונות חלופיים לשוברי הגלים.</t>
  </si>
  <si>
    <t>התקציב מיועד לשיפוץ מבני תרבות ונוער.</t>
  </si>
  <si>
    <t>התקציב מיועד בין היתר לעבודות התאמה לתקן מגרשי הספורט,ציפוי מגרשי ספורט ,</t>
  </si>
  <si>
    <t>הקמת מתקן כושר קרבי בחוף הים, הקמה ושיפוץ רצפות פרקט באולמות הספורט.</t>
  </si>
  <si>
    <t>החלפת דשא טבעי ב-2 מגרשי אימונים משק  והחלפת דשא מלאכותי במגרשי קאנטרי. 2025 : ביצוע עבודות הכשרת השטח.</t>
  </si>
  <si>
    <t>מתקן כושר עבור "כושר קרבי" בחוף ים.</t>
  </si>
  <si>
    <t>הסבת מעבדה יבשה לרטובה והצטיידות מעבדות רטובות במרכז המדעים. מימון מ. הפיס.</t>
  </si>
  <si>
    <t>הצטיידות מעבדות תיכון ראשונים. מימון מ. הפיס.</t>
  </si>
  <si>
    <t>מסגרת. הצטיידות גנ"י וותיקים. מימון מ. הפיס.</t>
  </si>
  <si>
    <t xml:space="preserve">החלפת מתחם מתקני משחק. </t>
  </si>
  <si>
    <t>אספקה והתקנת מזגנים לצ'ילר חדש במוזיאון הרצליה.</t>
  </si>
  <si>
    <t xml:space="preserve">התקנת מעליות, שרותים ,רמפות בבי"ס עפ"י תוכנית רב שנתית.  </t>
  </si>
  <si>
    <t xml:space="preserve">עבודות שיפוץ במועדון הנוער (דידה) יוסף נבו 18 הכוללות : תקרות, רצפות, שרותים, שיפוץ בית הקפה, מערכות סאונד, הצטיידויות. </t>
  </si>
  <si>
    <t xml:space="preserve">עבודות תאורה בהרצליה הצעירה- בילו גורדון ורבורג וברנר. </t>
  </si>
  <si>
    <t>ביצוע קו ניקוז איצטדיון הרצליה. קרן ייעודית.</t>
  </si>
  <si>
    <t>סה"כ 732</t>
  </si>
  <si>
    <t>סה"כ 73</t>
  </si>
  <si>
    <t>סה"כ 74</t>
  </si>
  <si>
    <t>סה"כ 76</t>
  </si>
  <si>
    <t>סה"כ 87</t>
  </si>
  <si>
    <t>סה"כ 747</t>
  </si>
  <si>
    <t>סה"כ 81</t>
  </si>
  <si>
    <t>סה"כ 82</t>
  </si>
  <si>
    <t>סה"כ 84</t>
  </si>
  <si>
    <t>סה"כ 848</t>
  </si>
  <si>
    <t>סה"כ 85</t>
  </si>
  <si>
    <t>סה"כ 93</t>
  </si>
  <si>
    <t>עבודות שיפוץ אשכול פיס זאב</t>
  </si>
  <si>
    <t>סה"כ 61</t>
  </si>
  <si>
    <t>סה"כ 72</t>
  </si>
  <si>
    <t>סה"כ 764</t>
  </si>
  <si>
    <t>סה"כ 99</t>
  </si>
  <si>
    <t>תב"ר 20140 שייך ל - 848500 -שדרוג המרחב הציבורי</t>
  </si>
  <si>
    <t>מויין למרחב הציבורי</t>
  </si>
  <si>
    <t>סה"כ תקציב שמומש/ימומש עד 31.12.24</t>
  </si>
  <si>
    <t>תוכנית פיתוח שנתית 2024 : מימוש - מינהל הנדסה</t>
  </si>
  <si>
    <t>יתרה שלא מומשה</t>
  </si>
  <si>
    <t>מימוש תקציב</t>
  </si>
  <si>
    <t>מקורות מימון - סה"כ מימוש תקציב עד 31.12.24</t>
  </si>
  <si>
    <t>תוכנית פיתוח שנתית 2024 : ריכוז לפי מינהל/אגפים/יחידות</t>
  </si>
  <si>
    <t>אומדן לביצוע 2024</t>
  </si>
  <si>
    <t>סה"כ תקציב שמומש/ימומש עד 31.12.2024</t>
  </si>
  <si>
    <t>מקורות מימון - סה"כ מימוש תקציב עד 31.12.2024</t>
  </si>
  <si>
    <t>תוכנית פיתוח שנתית 2024 : מימוש - החברה לפיתוח הרצליה</t>
  </si>
  <si>
    <r>
      <t>מערכת כבישים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  באזור תעשייה מערבי </t>
    </r>
  </si>
  <si>
    <t>תכנון כולל לסוגיית חיזוק הקשר בין מזרח העיר למערבה באמצעות תוספות של גשרים להולכי רגל ורכב דו גלגלי. הגשרים מהווים תנאים לקידום העצמת זכויות באיזור התעסוקה.</t>
  </si>
  <si>
    <t>תכנון מתחם צומת כדורי לפינוי ובינוי.בשלב הנעת התכנון לשלב סטטוטורי. מימון מ. הבינוי.</t>
  </si>
  <si>
    <r>
      <t xml:space="preserve">חניונים הר'1900 - </t>
    </r>
    <r>
      <rPr>
        <b/>
        <sz val="11"/>
        <rFont val="David"/>
        <family val="2"/>
      </rPr>
      <t>חניון משכית</t>
    </r>
    <r>
      <rPr>
        <sz val="11"/>
        <rFont val="David"/>
        <family val="2"/>
      </rPr>
      <t xml:space="preserve"> </t>
    </r>
    <r>
      <rPr>
        <strike/>
        <sz val="11"/>
        <rFont val="David"/>
        <family val="2"/>
      </rPr>
      <t xml:space="preserve">שינוי תב"ע </t>
    </r>
    <r>
      <rPr>
        <b/>
        <sz val="11"/>
        <rFont val="David"/>
        <family val="2"/>
      </rPr>
      <t xml:space="preserve">(*) עדכון </t>
    </r>
  </si>
  <si>
    <r>
      <t xml:space="preserve">מתחם קמפוס </t>
    </r>
    <r>
      <rPr>
        <b/>
        <sz val="11"/>
        <rFont val="David"/>
        <family val="2"/>
      </rPr>
      <t>המדעים</t>
    </r>
    <r>
      <rPr>
        <sz val="11"/>
        <rFont val="David"/>
        <family val="2"/>
      </rPr>
      <t xml:space="preserve"> הרצליה </t>
    </r>
    <r>
      <rPr>
        <strike/>
        <sz val="11"/>
        <rFont val="David"/>
        <family val="2"/>
      </rPr>
      <t xml:space="preserve">(יד גיורא) </t>
    </r>
    <r>
      <rPr>
        <b/>
        <sz val="11"/>
        <rFont val="David"/>
        <family val="2"/>
      </rPr>
      <t>(*)</t>
    </r>
  </si>
  <si>
    <r>
      <t xml:space="preserve"> מרכז מדעים וקהילה</t>
    </r>
    <r>
      <rPr>
        <b/>
        <sz val="11"/>
        <rFont val="David"/>
        <family val="2"/>
      </rPr>
      <t xml:space="preserve"> </t>
    </r>
  </si>
  <si>
    <t xml:space="preserve">עבודות בניה ופיתוח מרכז מדעיים וקהילה באלתרמן. מבנה 5 קומות ופיתוח. </t>
  </si>
  <si>
    <r>
      <t xml:space="preserve">הקמת </t>
    </r>
    <r>
      <rPr>
        <strike/>
        <sz val="11"/>
        <rFont val="David"/>
        <family val="2"/>
      </rPr>
      <t>מתנ"ס</t>
    </r>
    <r>
      <rPr>
        <sz val="11"/>
        <rFont val="David"/>
        <family val="2"/>
      </rPr>
      <t xml:space="preserve"> </t>
    </r>
    <r>
      <rPr>
        <b/>
        <sz val="11"/>
        <rFont val="David"/>
        <family val="2"/>
      </rPr>
      <t xml:space="preserve">(*) בית קהילה </t>
    </r>
    <r>
      <rPr>
        <sz val="11"/>
        <rFont val="David"/>
        <family val="2"/>
      </rPr>
      <t xml:space="preserve">רחוב המסילה  </t>
    </r>
  </si>
  <si>
    <r>
      <t xml:space="preserve">גנ"י נווה עמל ציפורן 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וחמניה</t>
    </r>
    <r>
      <rPr>
        <b/>
        <sz val="11"/>
        <rFont val="David"/>
        <family val="2"/>
      </rPr>
      <t xml:space="preserve"> נסגר 2024</t>
    </r>
  </si>
  <si>
    <t>בניית 3 גנ"י בנווה עמל. חלקות בבעלות רמ"י. נדחה עד הכרת מ. החינוך והסכם חכירה רמ"י.</t>
  </si>
  <si>
    <t>בניית 6 כיתות גנ"י במתחם ויצמן. מימון מ. החינוך עדכון.</t>
  </si>
  <si>
    <r>
      <t>בי"ס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ואולם ספורט ויצמן  </t>
    </r>
    <r>
      <rPr>
        <strike/>
        <sz val="11"/>
        <rFont val="David"/>
        <family val="2"/>
      </rPr>
      <t/>
    </r>
  </si>
  <si>
    <r>
      <t xml:space="preserve">שדרוג המרחב הציבורי באיזור התעשיה </t>
    </r>
    <r>
      <rPr>
        <b/>
        <sz val="11"/>
        <rFont val="David"/>
        <family val="2"/>
      </rPr>
      <t>נסגר 2024</t>
    </r>
  </si>
  <si>
    <t xml:space="preserve">תכנון פיתוח רחוב הפרטיזנים. מדרכה מזרחית/דרומית, עבודות ניקוז. </t>
  </si>
  <si>
    <r>
      <t xml:space="preserve">כיכר העוגן השונית </t>
    </r>
    <r>
      <rPr>
        <b/>
        <sz val="11"/>
        <rFont val="David"/>
        <family val="2"/>
      </rPr>
      <t>נסגר 2024</t>
    </r>
  </si>
  <si>
    <t>בחינת התכנות לגנ"י חדשים במתחמים שונים</t>
  </si>
  <si>
    <r>
      <t>שצ"פים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במתחם הר 1960</t>
    </r>
    <r>
      <rPr>
        <b/>
        <sz val="11"/>
        <rFont val="David"/>
        <family val="2"/>
      </rPr>
      <t xml:space="preserve"> </t>
    </r>
  </si>
  <si>
    <t>הריסת מבנים קיימים ובניה מתחם חדש:בי"ס יסודי 24 כיתות, 4 כיתות ח"מ, אולם ספורט, מגרש ספורט מוצלל, 4 כיתות גנ"י. מימון מ. החינוך.</t>
  </si>
  <si>
    <r>
      <t>גנ"י ו</t>
    </r>
    <r>
      <rPr>
        <b/>
        <sz val="11"/>
        <rFont val="David"/>
        <family val="2"/>
      </rPr>
      <t>מעון יום שיקומי</t>
    </r>
    <r>
      <rPr>
        <sz val="11"/>
        <rFont val="David"/>
        <family val="2"/>
      </rPr>
      <t xml:space="preserve">  חנה רובינא </t>
    </r>
    <r>
      <rPr>
        <b/>
        <sz val="11"/>
        <rFont val="David"/>
        <family val="2"/>
      </rPr>
      <t>(*) עדכון</t>
    </r>
  </si>
  <si>
    <r>
      <t xml:space="preserve">מתחם ספורט משותף במתחם אלתרמן אפולוניה </t>
    </r>
    <r>
      <rPr>
        <b/>
        <sz val="11"/>
        <rFont val="David"/>
        <family val="2"/>
      </rPr>
      <t/>
    </r>
  </si>
  <si>
    <t>מתחם ספורט משותף: הרחבת הבריכה אולם ומגרש ספורט לתיכון היובל, אולם ספורט לבי״ס נבון ואולם התעמלות מכשירים. תכנון</t>
  </si>
  <si>
    <r>
      <t xml:space="preserve">כיתות מעון וגן שטח 303 גליל ים א' </t>
    </r>
    <r>
      <rPr>
        <b/>
        <sz val="11"/>
        <rFont val="David"/>
        <family val="2"/>
      </rPr>
      <t>נסגר 2024</t>
    </r>
  </si>
  <si>
    <r>
      <t>שטח 408 גליל ים ב'-גנ"י, בי"ס, ספריה</t>
    </r>
    <r>
      <rPr>
        <b/>
        <sz val="11"/>
        <rFont val="David"/>
        <family val="2"/>
      </rPr>
      <t xml:space="preserve"> </t>
    </r>
  </si>
  <si>
    <t>בניית בי"ס יסודי 18 כיתות , 5 כיתות גן , מועדון תנועת נוער, אולם ספורט בינוני , מגרש ספורט משולב, חניון תתקרקעי 2 מפלסים.  מימון מ. החינוך בי"ס,גנ"י.</t>
  </si>
  <si>
    <r>
      <t>קיריית החינוך ( מגרש 406)-ספריה, מרכז קהילתי</t>
    </r>
    <r>
      <rPr>
        <b/>
        <sz val="11"/>
        <rFont val="David"/>
        <family val="2"/>
      </rPr>
      <t xml:space="preserve"> </t>
    </r>
  </si>
  <si>
    <t>תוכנית פיתוח שנתית 2024 : מימוש - מינהל תפעול</t>
  </si>
  <si>
    <t>תוכנית פיתוח שנתית 2024 : מימוש - מינהל חינוך</t>
  </si>
  <si>
    <r>
      <t xml:space="preserve">הצטיידות גנ"י ילדים גליל ים מגרשים  406 ,404,302 303,408 </t>
    </r>
    <r>
      <rPr>
        <b/>
        <sz val="11"/>
        <rFont val="David"/>
        <family val="2"/>
      </rPr>
      <t>נסגר 2024</t>
    </r>
  </si>
  <si>
    <t xml:space="preserve">הצטיידות  גנ"י חדשים  כולל  ח"מ במקביל לבניה .  פתיחת גנים במבנים קיימים , כולל שינוי הנובע מייחודיות גנ"י. כולל גנ"י חנה רובינא , פינסקר, גליל ים, דוד השמעוני. </t>
  </si>
  <si>
    <t>תוכנית פיתוח שנתית 2024 : מימוש - אגף ספורט</t>
  </si>
  <si>
    <t>תוכנית פיתוח שנתית 2024 : מימוש -  אגף תרבות נוער וקהילה</t>
  </si>
  <si>
    <t>תוכנית פיתוח שנתית 2024 : מימוש - אגף תקשוב ומערכות מידע</t>
  </si>
  <si>
    <t>תוכנית פיתוח שנתית 2024 : מימוש - החברה לפיתוח התיירות הרצליה</t>
  </si>
  <si>
    <t>תוכנית פיתוח שנתית 2024 : מימוש - אגף  נכסים וביטוח</t>
  </si>
  <si>
    <t>תוכנית פיתוח שנתית 2024 : מימוש - מינהל כללי</t>
  </si>
  <si>
    <r>
      <t xml:space="preserve">פרויקטים דחופים בצ"מ 2019/2020 </t>
    </r>
    <r>
      <rPr>
        <b/>
        <sz val="11"/>
        <rFont val="David"/>
        <family val="2"/>
      </rPr>
      <t>נסגר 2024</t>
    </r>
  </si>
  <si>
    <t>תכנון תב"ע תחנת שאיבה. מימון רמ"י ("קרית השחקים").</t>
  </si>
  <si>
    <r>
      <t>עבודות במרחב הציבורי בשטחים ציבוריים בשכונות השונות ברחבי העיר כולל ריהוט רחוב ,</t>
    </r>
    <r>
      <rPr>
        <strike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>פינוי אסבסט, טיפול בפסלים, קולרים עפ"י ת.עבודה שתאושר ע"י הנהלת העיר. ראה תב"ר המשך מס' 20140.</t>
    </r>
  </si>
  <si>
    <t xml:space="preserve">פיתוח   פארק רבין </t>
  </si>
  <si>
    <t xml:space="preserve">פארק גליל ים </t>
  </si>
  <si>
    <t xml:space="preserve">חניונים הר'1900 - חניון משכית </t>
  </si>
  <si>
    <t xml:space="preserve">שטח 408 גליל ים ב'-גנ"י, בי"ס, ספריה </t>
  </si>
  <si>
    <t xml:space="preserve">מתחם קמפוס המדעים הרצליה </t>
  </si>
  <si>
    <t xml:space="preserve"> מרכז מדעים וקהילה </t>
  </si>
  <si>
    <t xml:space="preserve">הקמת  בית קהילה רחוב המסילה  </t>
  </si>
  <si>
    <t xml:space="preserve">בי"ס ואולם ספורט ויצמן  </t>
  </si>
  <si>
    <t>בחינת התכנות (*) עדכון לגנ"י למוס"ח חדשים במתחמים שונים</t>
  </si>
  <si>
    <t xml:space="preserve">שצ"פים במתחם הר 1960 </t>
  </si>
  <si>
    <t>אולם ספורט בי"ס יוחנני  ובניית כיתות וגנ"י</t>
  </si>
  <si>
    <t xml:space="preserve">גנ"י ומעון יום שיקומי  חנה רובינא </t>
  </si>
  <si>
    <t xml:space="preserve">מתחם ספורט משותף במתחם אלתרמן אפולוניה </t>
  </si>
  <si>
    <t>מרכז תרבות בנושא האקלים וספריה עירונית ברחוב בן גוריון (*) עדכון</t>
  </si>
  <si>
    <t>היקפי פרויקט מעל 16,853,000 ₪</t>
  </si>
  <si>
    <t>דיבידנד מי הרצליה עבור ניקוז ותשתיות</t>
  </si>
  <si>
    <t>פיתוח קרית השחקים, פיתוח גליל ים ג' ועבודות ניקוז ותשתית.</t>
  </si>
  <si>
    <t>17-27</t>
  </si>
  <si>
    <t>28-52</t>
  </si>
  <si>
    <t>53-64</t>
  </si>
  <si>
    <t>65-66</t>
  </si>
  <si>
    <t>67-69</t>
  </si>
  <si>
    <t>70-71</t>
  </si>
  <si>
    <t>72-73</t>
  </si>
  <si>
    <t>74-76</t>
  </si>
  <si>
    <t>77-79</t>
  </si>
  <si>
    <t>80-84</t>
  </si>
  <si>
    <t>85-130</t>
  </si>
  <si>
    <t>131-133</t>
  </si>
  <si>
    <r>
      <t xml:space="preserve">דו"ח מפורט מובא בעמודים  </t>
    </r>
    <r>
      <rPr>
        <b/>
        <sz val="12"/>
        <rFont val="David"/>
        <family val="2"/>
      </rPr>
      <t xml:space="preserve">130 - 85 </t>
    </r>
  </si>
  <si>
    <t>פרוט הפרויקטים מובא בעמוד 133 - 131</t>
  </si>
  <si>
    <t>תאור הפרויקטים מובא בעמודים 27 - 23</t>
  </si>
  <si>
    <t>תוכנית מתאר כוללנית</t>
  </si>
  <si>
    <t>אצטדיון קו ניקוז</t>
  </si>
  <si>
    <t>הסכם פיתוח פינוי בינוי ויצמן</t>
  </si>
  <si>
    <t>תאור הפרויקטים מובא בעמודים 52 -39</t>
  </si>
  <si>
    <t>תכנון וביצוע קאנטרי הרצליה</t>
  </si>
  <si>
    <t>שצ"פ הואדי והמנהרה הרומית</t>
  </si>
  <si>
    <t>תקציב 2025</t>
  </si>
  <si>
    <t>עבודות שונות בפארק</t>
  </si>
  <si>
    <t>בית ליצירה אומנותית מועדון הנוער דידא</t>
  </si>
  <si>
    <t>בנוסף, תקציב מינהל התפעול כולל פרויקטים של הצללות בי"ס , גנ"י ומתנ"סים ,</t>
  </si>
  <si>
    <t>שיפוץ להסדרת יציבות המבנה נכס עירוני במגדל הצוק</t>
  </si>
  <si>
    <t>אחרים (*)</t>
  </si>
  <si>
    <t>מימון מפעל הפיס.</t>
  </si>
  <si>
    <r>
      <t xml:space="preserve">תב"ר 1701 : תב"ע 2394 (לשעבר הר' 2159) </t>
    </r>
    <r>
      <rPr>
        <b/>
        <sz val="12"/>
        <color theme="1"/>
        <rFont val="David"/>
        <family val="2"/>
      </rPr>
      <t xml:space="preserve"> - תב"ע 2394 (לשעבר הר' 2159) רמת רזיאל.</t>
    </r>
  </si>
  <si>
    <r>
      <t xml:space="preserve">תב"ר 20016 : מרכז תרבות בנושא האקלים ברחוב בן גוריון </t>
    </r>
    <r>
      <rPr>
        <b/>
        <sz val="12"/>
        <color theme="1"/>
        <rFont val="David"/>
        <family val="2"/>
      </rPr>
      <t xml:space="preserve"> - מרכז תרבות וספריה עירונית ברחוב בן גוריון.</t>
    </r>
  </si>
  <si>
    <r>
      <t>תב"ר 2149 : בחינת התכנות גנ"י חדשים במתחמים שונים</t>
    </r>
    <r>
      <rPr>
        <b/>
        <sz val="12"/>
        <color theme="1"/>
        <rFont val="David"/>
        <family val="2"/>
      </rPr>
      <t xml:space="preserve"> - בחינת היתכנות למוס"ח חדשים במתחמים שונים.</t>
    </r>
  </si>
  <si>
    <t>101 - 92</t>
  </si>
  <si>
    <t>110 - 102</t>
  </si>
  <si>
    <t>116 - 115</t>
  </si>
  <si>
    <t>118 - 117</t>
  </si>
  <si>
    <t>120 - 119</t>
  </si>
  <si>
    <t>המשך השקעה במוסדות חינוך ברחבי העיר ובמתחם גליל ים.</t>
  </si>
  <si>
    <t>מוזיאון הרצליה - הרחבה ושיפוץ.</t>
  </si>
  <si>
    <t>מויין לנכסים ציבוריים</t>
  </si>
  <si>
    <t>ביכנ"ס ע"ש הרב שלמה קוממי זצ"ל ומרכז לטיפול בגיל הרך מגרש 301 ג. ים</t>
  </si>
  <si>
    <t xml:space="preserve">עבודות הרחבת והכשרת חלקות נוספות  בבית העלמין החדש. </t>
  </si>
  <si>
    <t>עבודות מבנה מועדון פטנג. בספורטק. חן סופיים.לסגירה.</t>
  </si>
  <si>
    <t xml:space="preserve">כיתות מעון 5 יום 5 כיתות גן-. 404 ג.ים ב' </t>
  </si>
  <si>
    <r>
      <t xml:space="preserve">תכנון פיתוח רחוב הפרטיזנים. </t>
    </r>
    <r>
      <rPr>
        <sz val="11"/>
        <rFont val="David"/>
        <family val="2"/>
      </rPr>
      <t xml:space="preserve">מדרכה מזרחית/דרומית, עבו' ניקוז. </t>
    </r>
  </si>
  <si>
    <t>אגף תרבות , נוער וקהילה (ת.נ.ו.ק.)</t>
  </si>
  <si>
    <t>תקציב 2025 כולל ברובו את פיצויי ההפקעה בפארק הבאסה.</t>
  </si>
  <si>
    <t>פרויקטים דחופים בלתי צפויים מראש/מימוני ביניים ופרויקט , השתתפות העריה בחוק המטרו</t>
  </si>
  <si>
    <r>
      <t xml:space="preserve">החלפת מדרכות </t>
    </r>
    <r>
      <rPr>
        <b/>
        <sz val="11"/>
        <rFont val="David"/>
        <family val="2"/>
      </rPr>
      <t>נסגר 2024</t>
    </r>
  </si>
  <si>
    <r>
      <t>התחדשות עירונית יד  התשעה</t>
    </r>
    <r>
      <rPr>
        <b/>
        <sz val="11"/>
        <rFont val="David"/>
        <family val="2"/>
      </rPr>
      <t xml:space="preserve">  נסגר 2024</t>
    </r>
  </si>
  <si>
    <r>
      <t xml:space="preserve">פינוי בינוי מעונות שרה </t>
    </r>
    <r>
      <rPr>
        <b/>
        <sz val="11"/>
        <rFont val="David"/>
        <family val="2"/>
      </rPr>
      <t>נסגר 2024</t>
    </r>
  </si>
  <si>
    <r>
      <t xml:space="preserve">עיצוב חצר לימודית בי"ס גורדון </t>
    </r>
    <r>
      <rPr>
        <b/>
        <sz val="11"/>
        <rFont val="David"/>
        <family val="2"/>
      </rPr>
      <t>נסגר 2024</t>
    </r>
  </si>
  <si>
    <r>
      <t xml:space="preserve">פינוי בינוי מול התחנה </t>
    </r>
    <r>
      <rPr>
        <b/>
        <sz val="11"/>
        <rFont val="David"/>
        <family val="2"/>
      </rPr>
      <t>נסגר 2024</t>
    </r>
  </si>
  <si>
    <r>
      <t xml:space="preserve">הפרדה בין מי נגר למערכת ביוב עירונית </t>
    </r>
    <r>
      <rPr>
        <b/>
        <sz val="11"/>
        <rFont val="David"/>
        <family val="2"/>
      </rPr>
      <t>נסגר 2024</t>
    </r>
  </si>
  <si>
    <r>
      <t xml:space="preserve">תכנון כולל הרצליה פיתוח </t>
    </r>
    <r>
      <rPr>
        <b/>
        <sz val="11"/>
        <rFont val="David"/>
        <family val="2"/>
      </rPr>
      <t>נסגר 2024</t>
    </r>
  </si>
  <si>
    <t>91 - 87</t>
  </si>
  <si>
    <r>
      <t>התקנת מערכות תאורה led בעיר</t>
    </r>
    <r>
      <rPr>
        <b/>
        <sz val="11"/>
        <rFont val="David"/>
        <family val="2"/>
      </rPr>
      <t xml:space="preserve"> נסגר 2024</t>
    </r>
  </si>
  <si>
    <r>
      <t xml:space="preserve">פרויקט לווינים - ישראל 70 </t>
    </r>
    <r>
      <rPr>
        <b/>
        <sz val="11"/>
        <rFont val="David"/>
        <family val="2"/>
      </rPr>
      <t>נסגר 2024</t>
    </r>
  </si>
  <si>
    <r>
      <t xml:space="preserve">שיקום רציף חיל הים ותחנת הדלק </t>
    </r>
    <r>
      <rPr>
        <b/>
        <sz val="11"/>
        <rFont val="David"/>
        <family val="2"/>
      </rPr>
      <t>נסגר 2024</t>
    </r>
  </si>
  <si>
    <r>
      <t xml:space="preserve">שיקום רציפי המרינה  </t>
    </r>
    <r>
      <rPr>
        <b/>
        <sz val="11"/>
        <rFont val="David"/>
        <family val="2"/>
      </rPr>
      <t>נסגר 2024</t>
    </r>
  </si>
  <si>
    <r>
      <t xml:space="preserve">תוכנית אנרגיה עירונית </t>
    </r>
    <r>
      <rPr>
        <b/>
        <sz val="11"/>
        <rFont val="David"/>
        <family val="2"/>
      </rPr>
      <t>נסגר 2024</t>
    </r>
  </si>
  <si>
    <r>
      <t xml:space="preserve">תביעה פינוי גוש 6521  </t>
    </r>
    <r>
      <rPr>
        <b/>
        <sz val="11"/>
        <rFont val="David"/>
        <family val="2"/>
      </rPr>
      <t>נסגר 2024</t>
    </r>
  </si>
  <si>
    <r>
      <t xml:space="preserve">דמי חכירה רמ"י גוש 6558 חלקה 374 </t>
    </r>
    <r>
      <rPr>
        <b/>
        <sz val="11"/>
        <rFont val="David"/>
        <family val="2"/>
      </rPr>
      <t>נסגר 2024</t>
    </r>
  </si>
  <si>
    <r>
      <t xml:space="preserve">רכישת טרקטור לחוף הים </t>
    </r>
    <r>
      <rPr>
        <b/>
        <sz val="11"/>
        <rFont val="David"/>
        <family val="2"/>
      </rPr>
      <t>נסגר 2024</t>
    </r>
  </si>
  <si>
    <t>130 - 121</t>
  </si>
  <si>
    <t>תוכנית פיתוח שנתית 2024 : מימוש - איכות הסביבה(*)</t>
  </si>
  <si>
    <t>נכלל במינהל כללי</t>
  </si>
  <si>
    <t>פרויקט ממשלתי המתוקצב ע"י המדינה במקביל לרשות. תכנון שבוצע ע"י העיריה. (הרשאה רמ"י לנת"א 28 מלשח).</t>
  </si>
  <si>
    <t>ביצוע פיתוח ותשתית במתחם "מרינה לי", כולל חניון ושצ"פ.</t>
  </si>
  <si>
    <t>ביצוע שצ"פים במתחם : מלכי יהודה (האקליפטוס), קורן,דן שומרון, דורי,משה שמיר.</t>
  </si>
  <si>
    <t>בדיקת היתכנות דיור בר השגה במתחמים ברחבי העיר.</t>
  </si>
  <si>
    <t xml:space="preserve">הסדרת שטחי מוס"ח ברחבי העיר, שיקום חזית מבנה דיור לקשיש, שיפוץ מתנ"ס </t>
  </si>
  <si>
    <t>יד התשעה, מתיחת פנים בנווה עמל, פרויקט שיפוצי חזיתות בתים.</t>
  </si>
  <si>
    <t xml:space="preserve">נגישות אקוסטית גנ"י וכיתות בי"ס . מימון מ.החינוך. </t>
  </si>
  <si>
    <t>נגישות אקוסטית כיתות בי"ס בו צבי, ראשונים,ברנר . מימון מ.החינוך.</t>
  </si>
  <si>
    <t>עבודות שיפוץ אשכול פיס "זאב".</t>
  </si>
  <si>
    <t>מגרש ספורט יבור ויצמן</t>
  </si>
  <si>
    <t>עבודות שיפוץ מגרש הספורט יבור שכונת ויצמן.</t>
  </si>
  <si>
    <t>השקעה בהכנת תוכנית מתאר כוללנית.</t>
  </si>
  <si>
    <t>המשך השקעות במרכזים קהילתיים ברחבי העיר.</t>
  </si>
  <si>
    <t>השקעה בתוכנית פעולות לאנרגיה מקיימת.</t>
  </si>
  <si>
    <t>סל לשיפוץ כולל מזגנים ובינוי נכסים עירוניים. התוכ. עפ"י אישור הנהלת העיר.</t>
  </si>
  <si>
    <t>ביצוע סקר מקיף של כל העצים בעיר ע"י אגרונומים. זאת עפ"י דרישה מ. החקלאות עקב שינויי אקלים והזדקנות העצים במרחב הציבורי. התוכנית  תאושר ע"י הנהלת העיר.</t>
  </si>
  <si>
    <t>שדרוג הרחוב כולל:כבישים, מפרצי חנייה, מדרכות, גינון, תאורה, שילוט וריהוט רחוב.</t>
  </si>
  <si>
    <t>הצטיידות חד פעמית ליחידת חילוץ מתנדבים שעברו הכשרה בפיקוד העורף לתפקוד במצבי חרום ולמשמרות השכונה. התוכ. תאושר ע"י הנהלת העיר.</t>
  </si>
  <si>
    <t>מסגרת עבודות עפ"י ת.ע. שתאושר ע"י הנהלת העיר, שדרוג כבישים במקביל לעבודות תאגיד המים, מדרכות. עבודות עפ"י החלטות וע. תנועה:תכנון והסדרי תנועה בטיחותיים, הסדרי חניה. התוכ. תאושר ע"י הנהלת העיר.</t>
  </si>
  <si>
    <t>מסגרת עבודות לשיפור חזות פני העיר עפ"י תוכ.עבודה שתאושר ע"י הנהלת העיר.</t>
  </si>
  <si>
    <t>תשתיות תקשורת אלחוטית וסיבים אופטיים לעיר חכמה במוס"ח וברחבי העיר לפי תוכ. שתאושר ע"י הנהלת העיר.</t>
  </si>
  <si>
    <t>הקמת אתר עירוני חדש מתקדם , ידידותי ומותאם לכלל הצרכים העירוניים כולל מימשקים לתושבים ומימשקים למע. תפעוליות . האתר רספונסיבי  ומתן מענה לפורטל האירגוני על בסיס אותה תשתית.</t>
  </si>
  <si>
    <t>מע.מתקדמות לעיר חכמה ,שו"ב מצלמות , ציוד נלווה ותשתיות מיחשוב. 2025:  כולל צמתים במערב העיר , גינות ציבוריות. התוכנית תאושר ע"י הנהלת העיר.</t>
  </si>
  <si>
    <t>רכש חד פעמי לתשתיות מיחשוב הכולל מדפי אחסון, שרתים ,   ועוד. התוכ.תאושר  ע"י הנהלת העיר.</t>
  </si>
  <si>
    <t>עבודות הנגשה של מרחב ציבורי ומבני ציבור כנדרש עפ"י החוק עפ"י תוכנית רב שנתית. התוכ. תאושר ע"י הנהלת העיר.</t>
  </si>
  <si>
    <t>הסטה ושיקום אקולוגי של הנחל. הוגשה בקשה למימון הקרן לשמירת שטחים פתוחים ורשות ניקוז.</t>
  </si>
  <si>
    <r>
      <t xml:space="preserve">מעון לאנשים עם מוגבלויות - </t>
    </r>
    <r>
      <rPr>
        <sz val="11"/>
        <rFont val="David"/>
        <family val="2"/>
      </rPr>
      <t>ביד התשעה</t>
    </r>
    <r>
      <rPr>
        <b/>
        <sz val="11"/>
        <rFont val="David"/>
        <family val="2"/>
      </rPr>
      <t xml:space="preserve"> </t>
    </r>
  </si>
  <si>
    <t xml:space="preserve"> הקמת מבנה טניס חדש, שיפוץ מבני מתנ"ס קיים קירוי 2 מגרשי טניס ופיתוח סביבתי למתחם .מימון רמ"י (מוס"צ מכרז "ק. שחקים, גליל ים ג'").</t>
  </si>
  <si>
    <t xml:space="preserve">בניית 3 כיתות גן , בניית החניון במימון  חברת אפריקה ישראל. </t>
  </si>
  <si>
    <t>בדיקת התכנות לבניית מוס"ח במתחמים שונים ברחבי העיר בהתאם לצרכים העירוניים מעת לעת. 2025: כולל בדיקת היתכנות במגרשים בגליל ים ג'. עדכון שם.</t>
  </si>
  <si>
    <t xml:space="preserve">אולם ספורט ותוספת 6 כיתות בי"ס שז"ר. </t>
  </si>
  <si>
    <t xml:space="preserve">פיתוח רחוב חדש המזרחי ביותר בנווה עמל.  </t>
  </si>
  <si>
    <t>הצללת אזורים של מתקני משחקים לנוחות הציבור. עפ"י חוק שאושר והמחייב את הרשויות להקים הצללות בגני משחקים.  עפ"י תוכ. עבודה שתאושר ע"י הנהלת העיר.</t>
  </si>
  <si>
    <t>בניית מרחבי למידה  ב - 17 בי"ס . מימון מלא מ. החינוך.</t>
  </si>
  <si>
    <t xml:space="preserve">שדרוג התאורה באיצטדיון העירוני.  מימון מ. הספורט. </t>
  </si>
  <si>
    <t xml:space="preserve">תקציב מסגרת להקמת ממ"דים במוס"ח, מבני ציבור וברחבי העיר. קרן ייעודית. </t>
  </si>
  <si>
    <t>שלב ג - שיקום טריבונות, הקמת מתחם פעילות בחורשת אקליפטוסים במתחם, פתרון אחסון לציוד הכיתה לאתלטיקה קלה, תאורה עבור מסלול הריצה.</t>
  </si>
  <si>
    <t>הצטיידות אולמות ספורט כולל חדש שז"ר ,מבנים יבילים חדשים באצטדיון.</t>
  </si>
  <si>
    <t>ופרויקטים של איכות הסביבה שהעיקרי מביניהם הינו פרויקט פעולות לאנרגיה מקיימת.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</si>
</sst>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46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Arial"/>
      <family val="2"/>
      <scheme val="minor"/>
    </font>
    <font>
      <sz val="10"/>
      <name val="Arial"/>
      <family val="2"/>
    </font>
    <font>
      <b/>
      <u/>
      <sz val="18"/>
      <name val="David"/>
      <family val="2"/>
      <charset val="177"/>
    </font>
    <font>
      <b/>
      <u/>
      <sz val="14"/>
      <name val="David"/>
      <family val="2"/>
      <charset val="177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sz val="11"/>
      <color rgb="FF000000"/>
      <name val="Nachlieli CLM"/>
      <family val="2"/>
      <charset val="1"/>
    </font>
    <font>
      <b/>
      <u/>
      <sz val="16"/>
      <name val="David"/>
      <family val="2"/>
      <charset val="177"/>
    </font>
    <font>
      <b/>
      <u/>
      <sz val="16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theme="1"/>
      <name val="Wingdings"/>
      <charset val="2"/>
    </font>
    <font>
      <strike/>
      <sz val="12"/>
      <color theme="1"/>
      <name val="Times New Roman"/>
      <family val="1"/>
    </font>
    <font>
      <sz val="14"/>
      <color theme="1"/>
      <name val="David"/>
      <family val="2"/>
      <charset val="177"/>
    </font>
    <font>
      <b/>
      <u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u val="singleAccounting"/>
      <sz val="12"/>
      <color theme="1"/>
      <name val="David"/>
      <family val="2"/>
      <charset val="177"/>
    </font>
    <font>
      <b/>
      <u val="doubleAccounting"/>
      <sz val="12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8"/>
      <color rgb="FFFF0000"/>
      <name val="David"/>
      <family val="2"/>
      <charset val="177"/>
    </font>
    <font>
      <b/>
      <sz val="12"/>
      <color theme="1"/>
      <name val="David"/>
      <family val="2"/>
    </font>
    <font>
      <sz val="11"/>
      <color theme="1"/>
      <name val="Wingdings"/>
      <charset val="2"/>
    </font>
    <font>
      <sz val="12"/>
      <color theme="1"/>
      <name val="David"/>
      <family val="2"/>
    </font>
    <font>
      <strike/>
      <sz val="11"/>
      <name val="David"/>
      <family val="2"/>
    </font>
    <font>
      <b/>
      <sz val="18"/>
      <color theme="1"/>
      <name val="David"/>
      <family val="2"/>
    </font>
    <font>
      <b/>
      <u/>
      <sz val="18"/>
      <name val="David"/>
      <family val="2"/>
    </font>
    <font>
      <b/>
      <sz val="16"/>
      <color theme="1"/>
      <name val="David"/>
      <family val="2"/>
    </font>
    <font>
      <b/>
      <sz val="16"/>
      <color theme="1"/>
      <name val="Arial"/>
      <family val="2"/>
      <scheme val="minor"/>
    </font>
    <font>
      <b/>
      <u/>
      <sz val="12"/>
      <color theme="1"/>
      <name val="David"/>
      <family val="2"/>
    </font>
    <font>
      <b/>
      <sz val="11"/>
      <color theme="1"/>
      <name val="Wingdings"/>
      <charset val="2"/>
    </font>
    <font>
      <strike/>
      <sz val="12"/>
      <color theme="1"/>
      <name val="David"/>
      <family val="2"/>
      <charset val="177"/>
    </font>
    <font>
      <strike/>
      <sz val="11"/>
      <color theme="1"/>
      <name val="Arial"/>
      <family val="2"/>
      <charset val="177"/>
      <scheme val="minor"/>
    </font>
    <font>
      <b/>
      <strike/>
      <sz val="11"/>
      <color theme="1"/>
      <name val="Arial"/>
      <family val="2"/>
      <scheme val="minor"/>
    </font>
    <font>
      <b/>
      <sz val="10"/>
      <name val="David"/>
      <family val="2"/>
      <charset val="177"/>
    </font>
    <font>
      <sz val="9"/>
      <name val="David"/>
      <family val="2"/>
    </font>
    <font>
      <b/>
      <sz val="10"/>
      <name val="Arial"/>
      <family val="2"/>
    </font>
    <font>
      <sz val="12"/>
      <name val="Arial"/>
      <family val="2"/>
      <scheme val="minor"/>
    </font>
    <font>
      <b/>
      <sz val="16"/>
      <name val="David"/>
      <family val="2"/>
    </font>
    <font>
      <sz val="12"/>
      <color rgb="FFFF0000"/>
      <name val="David"/>
      <family val="2"/>
      <charset val="177"/>
    </font>
    <font>
      <b/>
      <sz val="12"/>
      <color rgb="FFFF0000"/>
      <name val="David"/>
      <family val="2"/>
      <charset val="177"/>
    </font>
    <font>
      <sz val="11"/>
      <color rgb="FF3333FF"/>
      <name val="David"/>
      <family val="2"/>
      <charset val="177"/>
    </font>
    <font>
      <sz val="11"/>
      <color rgb="FF7030A0"/>
      <name val="David"/>
      <family val="2"/>
      <charset val="177"/>
    </font>
    <font>
      <b/>
      <sz val="14"/>
      <name val="David"/>
      <family val="2"/>
    </font>
    <font>
      <b/>
      <u/>
      <sz val="16"/>
      <name val="David"/>
      <family val="2"/>
    </font>
    <font>
      <b/>
      <strike/>
      <sz val="11"/>
      <name val="David"/>
      <family val="2"/>
    </font>
    <font>
      <b/>
      <sz val="11"/>
      <color rgb="FFFF0000"/>
      <name val="David"/>
      <family val="2"/>
    </font>
    <font>
      <sz val="11"/>
      <color rgb="FFFF0000"/>
      <name val="David"/>
      <family val="2"/>
    </font>
    <font>
      <b/>
      <u/>
      <sz val="12"/>
      <name val="David"/>
      <family val="2"/>
    </font>
    <font>
      <sz val="14"/>
      <name val="David"/>
      <family val="2"/>
    </font>
    <font>
      <sz val="10"/>
      <name val="David"/>
      <family val="2"/>
    </font>
    <font>
      <sz val="11"/>
      <color rgb="FFFF0000"/>
      <name val="David"/>
      <family val="2"/>
      <charset val="177"/>
    </font>
    <font>
      <sz val="12"/>
      <color rgb="FFFF0000"/>
      <name val="David"/>
      <family val="2"/>
    </font>
    <font>
      <b/>
      <u/>
      <sz val="11"/>
      <name val="David"/>
      <family val="2"/>
    </font>
    <font>
      <b/>
      <sz val="11"/>
      <color rgb="FFFF0000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name val="Wingdings"/>
      <charset val="2"/>
    </font>
    <font>
      <b/>
      <sz val="11"/>
      <color rgb="FF3333FF"/>
      <name val="David"/>
      <family val="2"/>
    </font>
    <font>
      <b/>
      <sz val="11"/>
      <color rgb="FF7030A0"/>
      <name val="David"/>
      <family val="2"/>
      <charset val="177"/>
    </font>
    <font>
      <b/>
      <sz val="11"/>
      <color rgb="FF3333FF"/>
      <name val="David"/>
      <family val="2"/>
      <charset val="177"/>
    </font>
    <font>
      <b/>
      <sz val="11"/>
      <color rgb="FFFF0000"/>
      <name val="David"/>
      <family val="2"/>
      <charset val="177"/>
    </font>
    <font>
      <sz val="11"/>
      <color theme="1"/>
      <name val="David"/>
      <family val="2"/>
      <charset val="177"/>
    </font>
    <font>
      <b/>
      <sz val="12"/>
      <color rgb="FFFF0000"/>
      <name val="David"/>
      <family val="2"/>
    </font>
    <font>
      <strike/>
      <sz val="12"/>
      <name val="David"/>
      <family val="2"/>
      <charset val="177"/>
    </font>
    <font>
      <b/>
      <strike/>
      <u/>
      <sz val="12"/>
      <name val="David"/>
      <family val="2"/>
    </font>
    <font>
      <strike/>
      <sz val="11"/>
      <name val="Arial"/>
      <family val="2"/>
      <charset val="177"/>
      <scheme val="minor"/>
    </font>
    <font>
      <b/>
      <strike/>
      <sz val="12"/>
      <name val="David"/>
      <family val="2"/>
    </font>
    <font>
      <strike/>
      <sz val="11"/>
      <color theme="1"/>
      <name val="Wingdings"/>
      <charset val="2"/>
    </font>
    <font>
      <b/>
      <strike/>
      <sz val="11"/>
      <name val="David"/>
      <family val="2"/>
      <charset val="177"/>
    </font>
    <font>
      <b/>
      <u/>
      <sz val="18"/>
      <color rgb="FFFF0000"/>
      <name val="David"/>
      <family val="2"/>
      <charset val="177"/>
    </font>
    <font>
      <sz val="10"/>
      <name val="Arial"/>
      <family val="2"/>
      <charset val="177"/>
    </font>
    <font>
      <sz val="9"/>
      <name val="David"/>
      <family val="2"/>
      <charset val="177"/>
    </font>
    <font>
      <b/>
      <sz val="11"/>
      <name val="Arial"/>
      <family val="2"/>
      <charset val="177"/>
      <scheme val="minor"/>
    </font>
    <font>
      <b/>
      <u/>
      <sz val="14"/>
      <name val="David"/>
      <family val="2"/>
    </font>
    <font>
      <b/>
      <sz val="10"/>
      <name val="Arial"/>
      <family val="2"/>
      <charset val="177"/>
    </font>
    <font>
      <b/>
      <sz val="14"/>
      <color theme="1"/>
      <name val="Arial"/>
      <family val="2"/>
      <charset val="177"/>
      <scheme val="minor"/>
    </font>
    <font>
      <sz val="8"/>
      <name val="Arial"/>
      <family val="2"/>
    </font>
    <font>
      <b/>
      <sz val="20"/>
      <color rgb="FFFF0000"/>
      <name val="David"/>
      <family val="2"/>
      <charset val="177"/>
    </font>
    <font>
      <b/>
      <sz val="11"/>
      <color theme="1"/>
      <name val="David"/>
      <family val="2"/>
      <charset val="177"/>
    </font>
    <font>
      <sz val="11"/>
      <name val="Arial"/>
      <family val="2"/>
    </font>
    <font>
      <b/>
      <u/>
      <sz val="11"/>
      <name val="David"/>
      <family val="2"/>
      <charset val="177"/>
    </font>
    <font>
      <sz val="11"/>
      <color rgb="FF0070C0"/>
      <name val="David"/>
      <family val="2"/>
      <charset val="177"/>
    </font>
    <font>
      <sz val="11"/>
      <name val="Arial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6">
    <xf numFmtId="0" fontId="0" fillId="0" borderId="0"/>
    <xf numFmtId="0" fontId="50" fillId="0" borderId="0"/>
    <xf numFmtId="0" fontId="56" fillId="0" borderId="0">
      <alignment vertical="top"/>
    </xf>
    <xf numFmtId="0" fontId="50" fillId="2" borderId="1" applyNumberFormat="0" applyFont="0" applyAlignment="0" applyProtection="0"/>
    <xf numFmtId="0" fontId="57" fillId="0" borderId="0"/>
    <xf numFmtId="0" fontId="49" fillId="0" borderId="0"/>
    <xf numFmtId="0" fontId="49" fillId="0" borderId="0"/>
    <xf numFmtId="0" fontId="49" fillId="2" borderId="1" applyNumberFormat="0" applyFont="0" applyAlignment="0" applyProtection="0"/>
    <xf numFmtId="0" fontId="49" fillId="2" borderId="1" applyNumberFormat="0" applyFont="0" applyAlignment="0" applyProtection="0"/>
    <xf numFmtId="9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48" fillId="0" borderId="0"/>
    <xf numFmtId="43" fontId="63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0" fontId="47" fillId="0" borderId="0"/>
    <xf numFmtId="0" fontId="57" fillId="0" borderId="0"/>
    <xf numFmtId="0" fontId="47" fillId="0" borderId="0"/>
    <xf numFmtId="43" fontId="47" fillId="0" borderId="0" applyFont="0" applyFill="0" applyBorder="0" applyAlignment="0" applyProtection="0"/>
    <xf numFmtId="0" fontId="47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0" fontId="43" fillId="0" borderId="0"/>
    <xf numFmtId="0" fontId="42" fillId="0" borderId="0"/>
    <xf numFmtId="0" fontId="41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43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</cellStyleXfs>
  <cellXfs count="828">
    <xf numFmtId="0" fontId="0" fillId="0" borderId="0" xfId="0"/>
    <xf numFmtId="0" fontId="53" fillId="0" borderId="0" xfId="0" applyFont="1" applyAlignment="1">
      <alignment wrapText="1"/>
    </xf>
    <xf numFmtId="3" fontId="52" fillId="0" borderId="2" xfId="4" applyNumberFormat="1" applyFont="1" applyBorder="1" applyAlignment="1">
      <alignment horizontal="right" vertical="center" wrapText="1"/>
    </xf>
    <xf numFmtId="0" fontId="53" fillId="0" borderId="2" xfId="4" applyFont="1" applyBorder="1" applyAlignment="1">
      <alignment vertical="center" wrapText="1"/>
    </xf>
    <xf numFmtId="3" fontId="53" fillId="0" borderId="2" xfId="4" applyNumberFormat="1" applyFont="1" applyBorder="1" applyAlignment="1">
      <alignment vertical="center" wrapText="1"/>
    </xf>
    <xf numFmtId="0" fontId="53" fillId="0" borderId="0" xfId="4" applyFont="1" applyAlignment="1">
      <alignment vertical="center" wrapText="1"/>
    </xf>
    <xf numFmtId="0" fontId="52" fillId="0" borderId="0" xfId="4" applyFont="1" applyAlignment="1">
      <alignment vertical="center" wrapText="1"/>
    </xf>
    <xf numFmtId="0" fontId="52" fillId="0" borderId="2" xfId="4" applyFont="1" applyBorder="1" applyAlignment="1">
      <alignment vertical="center" wrapText="1"/>
    </xf>
    <xf numFmtId="3" fontId="52" fillId="0" borderId="2" xfId="4" applyNumberFormat="1" applyFont="1" applyBorder="1" applyAlignment="1">
      <alignment vertical="center" wrapText="1"/>
    </xf>
    <xf numFmtId="3" fontId="54" fillId="0" borderId="2" xfId="4" applyNumberFormat="1" applyFont="1" applyBorder="1" applyAlignment="1">
      <alignment vertical="center" wrapText="1"/>
    </xf>
    <xf numFmtId="0" fontId="53" fillId="0" borderId="0" xfId="4" applyFont="1"/>
    <xf numFmtId="3" fontId="53" fillId="0" borderId="0" xfId="4" applyNumberFormat="1" applyFont="1"/>
    <xf numFmtId="3" fontId="52" fillId="0" borderId="2" xfId="0" applyNumberFormat="1" applyFont="1" applyBorder="1" applyAlignment="1">
      <alignment horizontal="right" vertical="center" wrapText="1"/>
    </xf>
    <xf numFmtId="0" fontId="52" fillId="0" borderId="2" xfId="4" applyFont="1" applyBorder="1" applyAlignment="1">
      <alignment horizontal="right" vertical="center" wrapText="1"/>
    </xf>
    <xf numFmtId="0" fontId="53" fillId="0" borderId="0" xfId="4" applyFont="1" applyAlignment="1">
      <alignment wrapText="1"/>
    </xf>
    <xf numFmtId="0" fontId="52" fillId="0" borderId="2" xfId="0" applyFont="1" applyBorder="1" applyAlignment="1">
      <alignment horizontal="right" vertical="center" wrapText="1"/>
    </xf>
    <xf numFmtId="0" fontId="52" fillId="0" borderId="0" xfId="4" applyFont="1" applyAlignment="1">
      <alignment horizontal="right" vertical="center" wrapText="1"/>
    </xf>
    <xf numFmtId="3" fontId="54" fillId="0" borderId="0" xfId="4" applyNumberFormat="1" applyFont="1" applyAlignment="1">
      <alignment vertical="center" wrapText="1"/>
    </xf>
    <xf numFmtId="3" fontId="52" fillId="0" borderId="0" xfId="4" applyNumberFormat="1" applyFont="1" applyAlignment="1">
      <alignment horizontal="right" vertical="center" wrapText="1"/>
    </xf>
    <xf numFmtId="0" fontId="64" fillId="0" borderId="2" xfId="4" applyFont="1" applyBorder="1" applyAlignment="1">
      <alignment vertical="center" wrapText="1"/>
    </xf>
    <xf numFmtId="0" fontId="65" fillId="0" borderId="2" xfId="4" applyFont="1" applyBorder="1" applyAlignment="1">
      <alignment vertical="center" wrapText="1"/>
    </xf>
    <xf numFmtId="0" fontId="55" fillId="0" borderId="2" xfId="4" applyFont="1" applyBorder="1" applyAlignment="1">
      <alignment vertical="center" wrapText="1"/>
    </xf>
    <xf numFmtId="0" fontId="55" fillId="0" borderId="0" xfId="4" applyFont="1" applyAlignment="1">
      <alignment vertical="center" wrapText="1"/>
    </xf>
    <xf numFmtId="0" fontId="58" fillId="0" borderId="0" xfId="4" applyFont="1"/>
    <xf numFmtId="0" fontId="58" fillId="0" borderId="0" xfId="4" applyFont="1" applyAlignment="1">
      <alignment horizontal="right" vertical="center" wrapText="1"/>
    </xf>
    <xf numFmtId="0" fontId="58" fillId="0" borderId="0" xfId="4" applyFont="1" applyAlignment="1">
      <alignment horizontal="right" vertical="center"/>
    </xf>
    <xf numFmtId="0" fontId="58" fillId="0" borderId="0" xfId="4" applyFont="1" applyAlignment="1">
      <alignment vertical="center"/>
    </xf>
    <xf numFmtId="0" fontId="55" fillId="0" borderId="2" xfId="4" applyFont="1" applyBorder="1" applyAlignment="1">
      <alignment horizontal="right" vertical="center" wrapText="1"/>
    </xf>
    <xf numFmtId="0" fontId="55" fillId="0" borderId="0" xfId="4" applyFont="1"/>
    <xf numFmtId="3" fontId="54" fillId="0" borderId="2" xfId="4" applyNumberFormat="1" applyFont="1" applyBorder="1" applyAlignment="1">
      <alignment vertical="center"/>
    </xf>
    <xf numFmtId="3" fontId="54" fillId="0" borderId="0" xfId="4" applyNumberFormat="1" applyFont="1" applyAlignment="1">
      <alignment vertical="center"/>
    </xf>
    <xf numFmtId="0" fontId="54" fillId="0" borderId="0" xfId="4" applyFont="1" applyAlignment="1">
      <alignment vertical="center"/>
    </xf>
    <xf numFmtId="0" fontId="54" fillId="0" borderId="0" xfId="4" applyFont="1"/>
    <xf numFmtId="3" fontId="54" fillId="0" borderId="0" xfId="4" applyNumberFormat="1" applyFont="1"/>
    <xf numFmtId="0" fontId="54" fillId="0" borderId="0" xfId="4" applyFont="1" applyAlignment="1">
      <alignment horizontal="right" vertical="center" wrapText="1"/>
    </xf>
    <xf numFmtId="0" fontId="54" fillId="0" borderId="0" xfId="4" applyFont="1" applyAlignment="1">
      <alignment horizontal="right" vertical="center"/>
    </xf>
    <xf numFmtId="3" fontId="55" fillId="0" borderId="0" xfId="4" applyNumberFormat="1" applyFont="1" applyAlignment="1">
      <alignment horizontal="right" vertical="center"/>
    </xf>
    <xf numFmtId="165" fontId="54" fillId="0" borderId="0" xfId="12" applyNumberFormat="1" applyFont="1" applyFill="1" applyBorder="1" applyAlignment="1">
      <alignment horizontal="right" vertical="center"/>
    </xf>
    <xf numFmtId="0" fontId="55" fillId="0" borderId="0" xfId="4" applyFont="1" applyAlignment="1">
      <alignment horizontal="right" vertical="center"/>
    </xf>
    <xf numFmtId="3" fontId="54" fillId="0" borderId="0" xfId="4" applyNumberFormat="1" applyFont="1" applyAlignment="1">
      <alignment horizontal="right" vertical="center"/>
    </xf>
    <xf numFmtId="0" fontId="65" fillId="0" borderId="0" xfId="4" applyFont="1" applyAlignment="1">
      <alignment vertical="center" wrapText="1"/>
    </xf>
    <xf numFmtId="0" fontId="59" fillId="0" borderId="0" xfId="4" applyFont="1"/>
    <xf numFmtId="3" fontId="65" fillId="0" borderId="2" xfId="4" applyNumberFormat="1" applyFont="1" applyBorder="1" applyAlignment="1">
      <alignment vertical="center" wrapText="1"/>
    </xf>
    <xf numFmtId="0" fontId="54" fillId="0" borderId="0" xfId="16" applyFont="1"/>
    <xf numFmtId="49" fontId="54" fillId="0" borderId="0" xfId="16" applyNumberFormat="1" applyFont="1"/>
    <xf numFmtId="3" fontId="54" fillId="0" borderId="0" xfId="16" applyNumberFormat="1" applyFont="1"/>
    <xf numFmtId="0" fontId="54" fillId="0" borderId="10" xfId="16" applyFont="1" applyBorder="1"/>
    <xf numFmtId="0" fontId="54" fillId="0" borderId="11" xfId="16" applyFont="1" applyBorder="1"/>
    <xf numFmtId="0" fontId="54" fillId="0" borderId="17" xfId="16" applyFont="1" applyBorder="1"/>
    <xf numFmtId="3" fontId="54" fillId="0" borderId="2" xfId="16" applyNumberFormat="1" applyFont="1" applyBorder="1"/>
    <xf numFmtId="3" fontId="54" fillId="0" borderId="18" xfId="16" applyNumberFormat="1" applyFont="1" applyBorder="1"/>
    <xf numFmtId="0" fontId="55" fillId="0" borderId="11" xfId="16" applyFont="1" applyBorder="1"/>
    <xf numFmtId="3" fontId="54" fillId="0" borderId="17" xfId="16" applyNumberFormat="1" applyFont="1" applyBorder="1"/>
    <xf numFmtId="0" fontId="55" fillId="0" borderId="0" xfId="16" applyFont="1"/>
    <xf numFmtId="3" fontId="55" fillId="0" borderId="17" xfId="16" applyNumberFormat="1" applyFont="1" applyBorder="1"/>
    <xf numFmtId="3" fontId="55" fillId="0" borderId="2" xfId="16" applyNumberFormat="1" applyFont="1" applyBorder="1"/>
    <xf numFmtId="3" fontId="55" fillId="0" borderId="18" xfId="16" applyNumberFormat="1" applyFont="1" applyBorder="1"/>
    <xf numFmtId="3" fontId="54" fillId="0" borderId="16" xfId="16" applyNumberFormat="1" applyFont="1" applyBorder="1"/>
    <xf numFmtId="3" fontId="54" fillId="0" borderId="6" xfId="16" applyNumberFormat="1" applyFont="1" applyBorder="1"/>
    <xf numFmtId="0" fontId="55" fillId="0" borderId="12" xfId="16" applyFont="1" applyBorder="1"/>
    <xf numFmtId="3" fontId="55" fillId="0" borderId="19" xfId="16" applyNumberFormat="1" applyFont="1" applyBorder="1"/>
    <xf numFmtId="3" fontId="55" fillId="0" borderId="20" xfId="16" applyNumberFormat="1" applyFont="1" applyBorder="1"/>
    <xf numFmtId="3" fontId="55" fillId="0" borderId="21" xfId="16" applyNumberFormat="1" applyFont="1" applyBorder="1"/>
    <xf numFmtId="0" fontId="47" fillId="0" borderId="0" xfId="17"/>
    <xf numFmtId="0" fontId="70" fillId="0" borderId="0" xfId="17" applyFont="1" applyAlignment="1">
      <alignment horizontal="right" vertical="center" readingOrder="2"/>
    </xf>
    <xf numFmtId="0" fontId="71" fillId="0" borderId="0" xfId="17" applyFont="1" applyAlignment="1">
      <alignment horizontal="right" vertical="center" readingOrder="2"/>
    </xf>
    <xf numFmtId="0" fontId="72" fillId="0" borderId="0" xfId="17" applyFont="1" applyAlignment="1">
      <alignment horizontal="right" vertical="center" readingOrder="2"/>
    </xf>
    <xf numFmtId="0" fontId="73" fillId="0" borderId="0" xfId="17" applyFont="1" applyAlignment="1">
      <alignment horizontal="right" vertical="center" readingOrder="2"/>
    </xf>
    <xf numFmtId="0" fontId="74" fillId="0" borderId="0" xfId="17" applyFont="1" applyAlignment="1">
      <alignment horizontal="right" vertical="center" readingOrder="2"/>
    </xf>
    <xf numFmtId="0" fontId="75" fillId="0" borderId="0" xfId="17" applyFont="1" applyAlignment="1">
      <alignment horizontal="right" vertical="center" readingOrder="2"/>
    </xf>
    <xf numFmtId="0" fontId="71" fillId="0" borderId="0" xfId="17" quotePrefix="1" applyFont="1" applyAlignment="1">
      <alignment horizontal="right" vertical="center" readingOrder="2"/>
    </xf>
    <xf numFmtId="0" fontId="76" fillId="0" borderId="0" xfId="17" applyFont="1" applyAlignment="1">
      <alignment horizontal="right" vertical="center" readingOrder="2"/>
    </xf>
    <xf numFmtId="0" fontId="77" fillId="0" borderId="0" xfId="17" applyFont="1" applyAlignment="1">
      <alignment horizontal="right" vertical="center" readingOrder="2"/>
    </xf>
    <xf numFmtId="0" fontId="78" fillId="0" borderId="0" xfId="17" applyFont="1"/>
    <xf numFmtId="165" fontId="71" fillId="0" borderId="0" xfId="18" applyNumberFormat="1" applyFont="1" applyAlignment="1">
      <alignment horizontal="right" vertical="center" readingOrder="2"/>
    </xf>
    <xf numFmtId="165" fontId="79" fillId="0" borderId="0" xfId="18" applyNumberFormat="1" applyFont="1" applyAlignment="1">
      <alignment horizontal="right" vertical="center" readingOrder="2"/>
    </xf>
    <xf numFmtId="165" fontId="80" fillId="0" borderId="0" xfId="17" applyNumberFormat="1" applyFont="1" applyAlignment="1">
      <alignment horizontal="right" vertical="center" readingOrder="2"/>
    </xf>
    <xf numFmtId="0" fontId="73" fillId="0" borderId="2" xfId="17" applyFont="1" applyBorder="1" applyAlignment="1">
      <alignment horizontal="center" vertical="center" readingOrder="2"/>
    </xf>
    <xf numFmtId="0" fontId="73" fillId="0" borderId="2" xfId="17" applyFont="1" applyBorder="1" applyAlignment="1">
      <alignment horizontal="center" vertical="center" wrapText="1" readingOrder="2"/>
    </xf>
    <xf numFmtId="0" fontId="73" fillId="0" borderId="2" xfId="17" applyFont="1" applyBorder="1" applyAlignment="1">
      <alignment horizontal="right" vertical="center" readingOrder="2"/>
    </xf>
    <xf numFmtId="165" fontId="71" fillId="0" borderId="2" xfId="18" applyNumberFormat="1" applyFont="1" applyBorder="1" applyAlignment="1">
      <alignment horizontal="right" vertical="center" readingOrder="2"/>
    </xf>
    <xf numFmtId="0" fontId="73" fillId="0" borderId="2" xfId="17" applyFont="1" applyBorder="1" applyAlignment="1">
      <alignment horizontal="right" vertical="center" wrapText="1" readingOrder="2"/>
    </xf>
    <xf numFmtId="3" fontId="73" fillId="0" borderId="0" xfId="17" applyNumberFormat="1" applyFont="1" applyAlignment="1">
      <alignment horizontal="right" vertical="center" readingOrder="2"/>
    </xf>
    <xf numFmtId="0" fontId="73" fillId="0" borderId="30" xfId="17" applyFont="1" applyBorder="1" applyAlignment="1">
      <alignment horizontal="right" vertical="center" readingOrder="2"/>
    </xf>
    <xf numFmtId="0" fontId="81" fillId="0" borderId="31" xfId="17" applyFont="1" applyBorder="1"/>
    <xf numFmtId="0" fontId="47" fillId="0" borderId="32" xfId="17" applyBorder="1"/>
    <xf numFmtId="165" fontId="73" fillId="0" borderId="14" xfId="18" applyNumberFormat="1" applyFont="1" applyBorder="1" applyAlignment="1">
      <alignment horizontal="right" vertical="center" readingOrder="2"/>
    </xf>
    <xf numFmtId="165" fontId="73" fillId="0" borderId="15" xfId="18" applyNumberFormat="1" applyFont="1" applyBorder="1" applyAlignment="1">
      <alignment horizontal="right" vertical="center" readingOrder="2"/>
    </xf>
    <xf numFmtId="0" fontId="71" fillId="0" borderId="27" xfId="17" applyFont="1" applyBorder="1" applyAlignment="1">
      <alignment horizontal="right" vertical="center" readingOrder="2"/>
    </xf>
    <xf numFmtId="0" fontId="71" fillId="0" borderId="5" xfId="17" applyFont="1" applyBorder="1" applyAlignment="1">
      <alignment horizontal="right" vertical="center" readingOrder="2"/>
    </xf>
    <xf numFmtId="0" fontId="47" fillId="0" borderId="6" xfId="17" applyBorder="1"/>
    <xf numFmtId="3" fontId="71" fillId="0" borderId="2" xfId="17" applyNumberFormat="1" applyFont="1" applyBorder="1" applyAlignment="1">
      <alignment horizontal="right" vertical="center" readingOrder="2"/>
    </xf>
    <xf numFmtId="3" fontId="71" fillId="0" borderId="23" xfId="17" applyNumberFormat="1" applyFont="1" applyBorder="1" applyAlignment="1">
      <alignment horizontal="right" vertical="center" readingOrder="2"/>
    </xf>
    <xf numFmtId="9" fontId="47" fillId="0" borderId="0" xfId="9" applyFont="1"/>
    <xf numFmtId="0" fontId="71" fillId="0" borderId="4" xfId="17" applyFont="1" applyBorder="1" applyAlignment="1">
      <alignment horizontal="right" vertical="center" readingOrder="2"/>
    </xf>
    <xf numFmtId="0" fontId="71" fillId="0" borderId="33" xfId="17" applyFont="1" applyBorder="1" applyAlignment="1">
      <alignment horizontal="right" vertical="center" readingOrder="2"/>
    </xf>
    <xf numFmtId="0" fontId="71" fillId="0" borderId="8" xfId="17" applyFont="1" applyBorder="1" applyAlignment="1">
      <alignment horizontal="right" vertical="center" readingOrder="2"/>
    </xf>
    <xf numFmtId="0" fontId="47" fillId="0" borderId="7" xfId="17" applyBorder="1"/>
    <xf numFmtId="3" fontId="71" fillId="0" borderId="0" xfId="17" applyNumberFormat="1" applyFont="1" applyAlignment="1">
      <alignment horizontal="right" vertical="center" readingOrder="2"/>
    </xf>
    <xf numFmtId="0" fontId="73" fillId="0" borderId="34" xfId="17" applyFont="1" applyBorder="1" applyAlignment="1">
      <alignment horizontal="right" vertical="center" readingOrder="2"/>
    </xf>
    <xf numFmtId="0" fontId="71" fillId="0" borderId="35" xfId="17" applyFont="1" applyBorder="1" applyAlignment="1">
      <alignment horizontal="right" vertical="center" readingOrder="2"/>
    </xf>
    <xf numFmtId="0" fontId="47" fillId="0" borderId="36" xfId="17" applyBorder="1"/>
    <xf numFmtId="165" fontId="73" fillId="0" borderId="20" xfId="18" applyNumberFormat="1" applyFont="1" applyBorder="1" applyAlignment="1">
      <alignment vertical="center" readingOrder="2"/>
    </xf>
    <xf numFmtId="9" fontId="73" fillId="0" borderId="21" xfId="9" applyFont="1" applyBorder="1" applyAlignment="1">
      <alignment vertical="center" readingOrder="2"/>
    </xf>
    <xf numFmtId="165" fontId="73" fillId="0" borderId="0" xfId="18" applyNumberFormat="1" applyFont="1" applyBorder="1" applyAlignment="1">
      <alignment horizontal="right" vertical="center" readingOrder="2"/>
    </xf>
    <xf numFmtId="165" fontId="73" fillId="0" borderId="22" xfId="18" applyNumberFormat="1" applyFont="1" applyBorder="1" applyAlignment="1">
      <alignment horizontal="right" vertical="center" readingOrder="2"/>
    </xf>
    <xf numFmtId="0" fontId="73" fillId="0" borderId="5" xfId="17" applyFont="1" applyBorder="1" applyAlignment="1">
      <alignment horizontal="right" vertical="center" readingOrder="2"/>
    </xf>
    <xf numFmtId="0" fontId="62" fillId="0" borderId="6" xfId="17" applyFont="1" applyBorder="1"/>
    <xf numFmtId="165" fontId="73" fillId="0" borderId="25" xfId="18" applyNumberFormat="1" applyFont="1" applyBorder="1" applyAlignment="1">
      <alignment horizontal="right" vertical="center" readingOrder="2"/>
    </xf>
    <xf numFmtId="9" fontId="73" fillId="0" borderId="21" xfId="9" applyFont="1" applyBorder="1" applyAlignment="1">
      <alignment horizontal="right" vertical="center" readingOrder="2"/>
    </xf>
    <xf numFmtId="0" fontId="54" fillId="0" borderId="0" xfId="16" applyFont="1" applyAlignment="1">
      <alignment horizontal="center" vertical="center"/>
    </xf>
    <xf numFmtId="3" fontId="54" fillId="0" borderId="2" xfId="16" applyNumberFormat="1" applyFont="1" applyBorder="1" applyAlignment="1">
      <alignment vertical="center"/>
    </xf>
    <xf numFmtId="3" fontId="53" fillId="0" borderId="2" xfId="16" applyNumberFormat="1" applyFont="1" applyBorder="1" applyAlignment="1">
      <alignment vertical="center" wrapText="1"/>
    </xf>
    <xf numFmtId="3" fontId="55" fillId="0" borderId="2" xfId="16" applyNumberFormat="1" applyFont="1" applyBorder="1" applyAlignment="1">
      <alignment vertical="center"/>
    </xf>
    <xf numFmtId="0" fontId="54" fillId="0" borderId="0" xfId="16" applyFont="1" applyAlignment="1">
      <alignment vertical="center"/>
    </xf>
    <xf numFmtId="3" fontId="54" fillId="0" borderId="0" xfId="16" applyNumberFormat="1" applyFont="1" applyAlignment="1">
      <alignment vertical="center"/>
    </xf>
    <xf numFmtId="0" fontId="47" fillId="0" borderId="0" xfId="17" applyAlignment="1">
      <alignment horizontal="left"/>
    </xf>
    <xf numFmtId="0" fontId="77" fillId="0" borderId="0" xfId="17" applyFont="1" applyAlignment="1">
      <alignment horizontal="center" vertical="center" readingOrder="2"/>
    </xf>
    <xf numFmtId="0" fontId="71" fillId="0" borderId="0" xfId="17" quotePrefix="1" applyFont="1" applyAlignment="1">
      <alignment horizontal="left" vertical="center" readingOrder="2"/>
    </xf>
    <xf numFmtId="16" fontId="71" fillId="0" borderId="0" xfId="17" quotePrefix="1" applyNumberFormat="1" applyFont="1" applyAlignment="1">
      <alignment horizontal="left" vertical="center" readingOrder="2"/>
    </xf>
    <xf numFmtId="0" fontId="71" fillId="0" borderId="0" xfId="17" applyFont="1" applyAlignment="1">
      <alignment horizontal="left" vertical="center" readingOrder="2"/>
    </xf>
    <xf numFmtId="0" fontId="71" fillId="0" borderId="0" xfId="17" applyFont="1" applyAlignment="1">
      <alignment vertical="center" readingOrder="2"/>
    </xf>
    <xf numFmtId="0" fontId="52" fillId="0" borderId="2" xfId="16" applyFont="1" applyBorder="1" applyAlignment="1">
      <alignment horizontal="right" vertical="center" wrapText="1"/>
    </xf>
    <xf numFmtId="0" fontId="53" fillId="0" borderId="0" xfId="16" applyFont="1"/>
    <xf numFmtId="3" fontId="53" fillId="0" borderId="0" xfId="16" applyNumberFormat="1" applyFont="1"/>
    <xf numFmtId="3" fontId="52" fillId="0" borderId="2" xfId="16" applyNumberFormat="1" applyFont="1" applyBorder="1" applyAlignment="1">
      <alignment horizontal="right" vertical="center" wrapText="1"/>
    </xf>
    <xf numFmtId="0" fontId="53" fillId="0" borderId="0" xfId="16" applyFont="1" applyAlignment="1">
      <alignment vertical="center" wrapText="1"/>
    </xf>
    <xf numFmtId="0" fontId="53" fillId="0" borderId="2" xfId="16" applyFont="1" applyBorder="1" applyAlignment="1">
      <alignment vertical="center" wrapText="1"/>
    </xf>
    <xf numFmtId="0" fontId="52" fillId="0" borderId="0" xfId="16" applyFont="1" applyAlignment="1">
      <alignment vertical="center" wrapText="1"/>
    </xf>
    <xf numFmtId="0" fontId="52" fillId="0" borderId="2" xfId="16" applyFont="1" applyBorder="1" applyAlignment="1">
      <alignment vertical="center" wrapText="1"/>
    </xf>
    <xf numFmtId="3" fontId="52" fillId="0" borderId="2" xfId="16" applyNumberFormat="1" applyFont="1" applyBorder="1" applyAlignment="1">
      <alignment vertical="center" wrapText="1"/>
    </xf>
    <xf numFmtId="0" fontId="53" fillId="0" borderId="0" xfId="16" applyFont="1" applyAlignment="1">
      <alignment wrapText="1"/>
    </xf>
    <xf numFmtId="0" fontId="51" fillId="0" borderId="0" xfId="16" applyFont="1"/>
    <xf numFmtId="0" fontId="52" fillId="0" borderId="0" xfId="16" applyFont="1" applyAlignment="1">
      <alignment horizontal="right" vertical="center" wrapText="1"/>
    </xf>
    <xf numFmtId="165" fontId="71" fillId="0" borderId="18" xfId="18" applyNumberFormat="1" applyFont="1" applyBorder="1" applyAlignment="1">
      <alignment horizontal="right" vertical="center" readingOrder="2"/>
    </xf>
    <xf numFmtId="0" fontId="73" fillId="0" borderId="19" xfId="17" applyFont="1" applyBorder="1" applyAlignment="1">
      <alignment horizontal="right" vertical="center" readingOrder="2"/>
    </xf>
    <xf numFmtId="0" fontId="47" fillId="0" borderId="24" xfId="17" applyBorder="1"/>
    <xf numFmtId="9" fontId="73" fillId="0" borderId="2" xfId="9" applyFont="1" applyBorder="1" applyAlignment="1">
      <alignment horizontal="right" vertical="center" readingOrder="2"/>
    </xf>
    <xf numFmtId="0" fontId="51" fillId="0" borderId="0" xfId="0" applyFont="1"/>
    <xf numFmtId="3" fontId="83" fillId="0" borderId="20" xfId="17" applyNumberFormat="1" applyFont="1" applyBorder="1" applyAlignment="1">
      <alignment horizontal="right" vertical="center" readingOrder="2"/>
    </xf>
    <xf numFmtId="3" fontId="83" fillId="0" borderId="21" xfId="17" applyNumberFormat="1" applyFont="1" applyBorder="1" applyAlignment="1">
      <alignment horizontal="right" vertical="center" readingOrder="2"/>
    </xf>
    <xf numFmtId="0" fontId="73" fillId="0" borderId="38" xfId="17" applyFont="1" applyBorder="1" applyAlignment="1">
      <alignment horizontal="right" vertical="center" readingOrder="2"/>
    </xf>
    <xf numFmtId="0" fontId="81" fillId="0" borderId="30" xfId="17" applyFont="1" applyBorder="1"/>
    <xf numFmtId="0" fontId="71" fillId="0" borderId="38" xfId="17" applyFont="1" applyBorder="1" applyAlignment="1">
      <alignment horizontal="right" vertical="center" readingOrder="2"/>
    </xf>
    <xf numFmtId="3" fontId="53" fillId="0" borderId="0" xfId="13" quotePrefix="1" applyNumberFormat="1" applyFont="1" applyAlignment="1">
      <alignment horizontal="center" vertical="center"/>
    </xf>
    <xf numFmtId="0" fontId="59" fillId="0" borderId="0" xfId="16" applyFont="1"/>
    <xf numFmtId="0" fontId="83" fillId="0" borderId="0" xfId="17" applyFont="1" applyAlignment="1">
      <alignment horizontal="right" vertical="center" readingOrder="2"/>
    </xf>
    <xf numFmtId="165" fontId="71" fillId="0" borderId="2" xfId="18" applyNumberFormat="1" applyFont="1" applyFill="1" applyBorder="1" applyAlignment="1">
      <alignment horizontal="right" vertical="center" readingOrder="2"/>
    </xf>
    <xf numFmtId="0" fontId="57" fillId="0" borderId="0" xfId="16"/>
    <xf numFmtId="0" fontId="72" fillId="0" borderId="0" xfId="16" applyFont="1" applyAlignment="1">
      <alignment horizontal="right" vertical="center" readingOrder="2"/>
    </xf>
    <xf numFmtId="0" fontId="71" fillId="0" borderId="0" xfId="16" applyFont="1" applyAlignment="1">
      <alignment horizontal="right" vertical="center" readingOrder="2"/>
    </xf>
    <xf numFmtId="0" fontId="71" fillId="0" borderId="0" xfId="16" quotePrefix="1" applyFont="1" applyAlignment="1">
      <alignment horizontal="right" vertical="center" readingOrder="2"/>
    </xf>
    <xf numFmtId="0" fontId="83" fillId="0" borderId="0" xfId="17" quotePrefix="1" applyFont="1" applyAlignment="1">
      <alignment horizontal="right" vertical="center" readingOrder="2"/>
    </xf>
    <xf numFmtId="0" fontId="73" fillId="0" borderId="27" xfId="17" applyFont="1" applyBorder="1" applyAlignment="1">
      <alignment horizontal="right" vertical="center" readingOrder="2"/>
    </xf>
    <xf numFmtId="0" fontId="46" fillId="0" borderId="0" xfId="20"/>
    <xf numFmtId="0" fontId="70" fillId="0" borderId="0" xfId="20" applyFont="1" applyAlignment="1">
      <alignment horizontal="right" vertical="center" readingOrder="2"/>
    </xf>
    <xf numFmtId="0" fontId="71" fillId="0" borderId="0" xfId="20" applyFont="1" applyAlignment="1">
      <alignment horizontal="right" vertical="center" readingOrder="2"/>
    </xf>
    <xf numFmtId="0" fontId="73" fillId="0" borderId="0" xfId="20" applyFont="1" applyAlignment="1">
      <alignment horizontal="right" vertical="center" readingOrder="2"/>
    </xf>
    <xf numFmtId="0" fontId="81" fillId="0" borderId="0" xfId="20" applyFont="1"/>
    <xf numFmtId="165" fontId="73" fillId="0" borderId="0" xfId="21" applyNumberFormat="1" applyFont="1" applyBorder="1" applyAlignment="1">
      <alignment horizontal="right" vertical="center" readingOrder="2"/>
    </xf>
    <xf numFmtId="3" fontId="71" fillId="0" borderId="0" xfId="20" applyNumberFormat="1" applyFont="1" applyAlignment="1">
      <alignment horizontal="right" vertical="center" readingOrder="2"/>
    </xf>
    <xf numFmtId="0" fontId="62" fillId="0" borderId="0" xfId="20" applyFont="1"/>
    <xf numFmtId="165" fontId="73" fillId="0" borderId="0" xfId="21" applyNumberFormat="1" applyFont="1" applyBorder="1" applyAlignment="1">
      <alignment vertical="center" readingOrder="2"/>
    </xf>
    <xf numFmtId="0" fontId="71" fillId="0" borderId="0" xfId="20" quotePrefix="1" applyFont="1" applyAlignment="1">
      <alignment horizontal="right" vertical="center" readingOrder="2"/>
    </xf>
    <xf numFmtId="0" fontId="72" fillId="0" borderId="0" xfId="20" applyFont="1" applyAlignment="1">
      <alignment horizontal="right" vertical="center" readingOrder="2"/>
    </xf>
    <xf numFmtId="0" fontId="82" fillId="0" borderId="0" xfId="20" applyFont="1" applyAlignment="1">
      <alignment horizontal="right" vertical="center" readingOrder="2"/>
    </xf>
    <xf numFmtId="0" fontId="71" fillId="0" borderId="0" xfId="22" applyFont="1" applyAlignment="1">
      <alignment horizontal="right" vertical="center" readingOrder="2"/>
    </xf>
    <xf numFmtId="0" fontId="45" fillId="0" borderId="0" xfId="22"/>
    <xf numFmtId="0" fontId="70" fillId="0" borderId="0" xfId="22" applyFont="1" applyAlignment="1">
      <alignment horizontal="right" vertical="center" readingOrder="2"/>
    </xf>
    <xf numFmtId="0" fontId="84" fillId="0" borderId="0" xfId="22" applyFont="1"/>
    <xf numFmtId="3" fontId="73" fillId="0" borderId="29" xfId="22" applyNumberFormat="1" applyFont="1" applyBorder="1" applyAlignment="1">
      <alignment horizontal="right" vertical="center" readingOrder="2"/>
    </xf>
    <xf numFmtId="0" fontId="73" fillId="0" borderId="15" xfId="22" applyFont="1" applyBorder="1" applyAlignment="1">
      <alignment horizontal="center" vertical="center" readingOrder="2"/>
    </xf>
    <xf numFmtId="0" fontId="73" fillId="0" borderId="0" xfId="22" applyFont="1" applyAlignment="1">
      <alignment horizontal="right" vertical="center" readingOrder="2"/>
    </xf>
    <xf numFmtId="0" fontId="71" fillId="0" borderId="17" xfId="22" applyFont="1" applyBorder="1" applyAlignment="1">
      <alignment horizontal="right" vertical="center" readingOrder="2"/>
    </xf>
    <xf numFmtId="3" fontId="71" fillId="0" borderId="18" xfId="22" applyNumberFormat="1" applyFont="1" applyBorder="1" applyAlignment="1">
      <alignment horizontal="center" vertical="center" readingOrder="2"/>
    </xf>
    <xf numFmtId="0" fontId="73" fillId="0" borderId="19" xfId="22" applyFont="1" applyBorder="1" applyAlignment="1">
      <alignment horizontal="right" vertical="center" readingOrder="2"/>
    </xf>
    <xf numFmtId="0" fontId="71" fillId="0" borderId="0" xfId="22" quotePrefix="1" applyFont="1" applyAlignment="1">
      <alignment horizontal="right" vertical="center" readingOrder="2"/>
    </xf>
    <xf numFmtId="0" fontId="73" fillId="0" borderId="13" xfId="22" applyFont="1" applyBorder="1" applyAlignment="1">
      <alignment horizontal="right" vertical="center" readingOrder="2"/>
    </xf>
    <xf numFmtId="0" fontId="73" fillId="0" borderId="14" xfId="22" applyFont="1" applyBorder="1" applyAlignment="1">
      <alignment horizontal="center" vertical="center" readingOrder="2"/>
    </xf>
    <xf numFmtId="0" fontId="73" fillId="0" borderId="15" xfId="22" applyFont="1" applyBorder="1" applyAlignment="1">
      <alignment horizontal="right" vertical="center" readingOrder="2"/>
    </xf>
    <xf numFmtId="3" fontId="71" fillId="0" borderId="2" xfId="22" applyNumberFormat="1" applyFont="1" applyBorder="1" applyAlignment="1">
      <alignment horizontal="center" vertical="center" readingOrder="2"/>
    </xf>
    <xf numFmtId="9" fontId="71" fillId="0" borderId="18" xfId="9" applyFont="1" applyBorder="1" applyAlignment="1">
      <alignment horizontal="right" vertical="center" readingOrder="2"/>
    </xf>
    <xf numFmtId="3" fontId="73" fillId="0" borderId="20" xfId="22" applyNumberFormat="1" applyFont="1" applyBorder="1" applyAlignment="1">
      <alignment horizontal="center" vertical="center" readingOrder="2"/>
    </xf>
    <xf numFmtId="0" fontId="71" fillId="0" borderId="42" xfId="22" applyFont="1" applyBorder="1" applyAlignment="1">
      <alignment horizontal="right" vertical="center" readingOrder="2"/>
    </xf>
    <xf numFmtId="3" fontId="71" fillId="0" borderId="43" xfId="22" applyNumberFormat="1" applyFont="1" applyBorder="1" applyAlignment="1">
      <alignment horizontal="center" vertical="center" readingOrder="2"/>
    </xf>
    <xf numFmtId="3" fontId="71" fillId="0" borderId="21" xfId="22" applyNumberFormat="1" applyFont="1" applyBorder="1" applyAlignment="1">
      <alignment horizontal="center" vertical="center" readingOrder="2"/>
    </xf>
    <xf numFmtId="164" fontId="71" fillId="0" borderId="18" xfId="9" applyNumberFormat="1" applyFont="1" applyBorder="1" applyAlignment="1">
      <alignment horizontal="right" vertical="center" readingOrder="2"/>
    </xf>
    <xf numFmtId="0" fontId="71" fillId="0" borderId="42" xfId="22" applyFont="1" applyBorder="1" applyAlignment="1">
      <alignment horizontal="right" vertical="center" wrapText="1" readingOrder="2"/>
    </xf>
    <xf numFmtId="0" fontId="72" fillId="0" borderId="0" xfId="22" applyFont="1" applyAlignment="1">
      <alignment horizontal="right" vertical="center" readingOrder="2"/>
    </xf>
    <xf numFmtId="3" fontId="73" fillId="0" borderId="0" xfId="22" applyNumberFormat="1" applyFont="1" applyAlignment="1">
      <alignment horizontal="center" vertical="center" readingOrder="2"/>
    </xf>
    <xf numFmtId="9" fontId="73" fillId="0" borderId="0" xfId="9" applyFont="1" applyBorder="1" applyAlignment="1">
      <alignment horizontal="right" vertical="center" readingOrder="2"/>
    </xf>
    <xf numFmtId="0" fontId="66" fillId="0" borderId="0" xfId="4" applyFont="1" applyAlignment="1">
      <alignment horizontal="right" vertical="center"/>
    </xf>
    <xf numFmtId="0" fontId="66" fillId="0" borderId="0" xfId="4" applyFont="1" applyAlignment="1">
      <alignment vertical="center"/>
    </xf>
    <xf numFmtId="3" fontId="52" fillId="0" borderId="2" xfId="4" applyNumberFormat="1" applyFont="1" applyBorder="1" applyAlignment="1">
      <alignment horizontal="right" vertical="center"/>
    </xf>
    <xf numFmtId="3" fontId="71" fillId="0" borderId="0" xfId="22" applyNumberFormat="1" applyFont="1" applyAlignment="1">
      <alignment horizontal="center" vertical="center" readingOrder="2"/>
    </xf>
    <xf numFmtId="9" fontId="71" fillId="0" borderId="0" xfId="9" applyFont="1" applyBorder="1" applyAlignment="1">
      <alignment horizontal="right" vertical="center" readingOrder="2"/>
    </xf>
    <xf numFmtId="0" fontId="69" fillId="0" borderId="0" xfId="16" applyFont="1"/>
    <xf numFmtId="0" fontId="59" fillId="0" borderId="0" xfId="4" applyFont="1" applyAlignment="1">
      <alignment vertical="center"/>
    </xf>
    <xf numFmtId="164" fontId="47" fillId="0" borderId="0" xfId="9" applyNumberFormat="1" applyFont="1"/>
    <xf numFmtId="0" fontId="73" fillId="0" borderId="15" xfId="22" applyFont="1" applyBorder="1" applyAlignment="1">
      <alignment vertical="center" readingOrder="2"/>
    </xf>
    <xf numFmtId="164" fontId="71" fillId="0" borderId="18" xfId="9" applyNumberFormat="1" applyFont="1" applyBorder="1" applyAlignment="1">
      <alignment vertical="center" readingOrder="2"/>
    </xf>
    <xf numFmtId="0" fontId="53" fillId="0" borderId="2" xfId="4" applyFont="1" applyBorder="1" applyAlignment="1">
      <alignment vertical="center"/>
    </xf>
    <xf numFmtId="0" fontId="53" fillId="0" borderId="2" xfId="4" applyFont="1" applyBorder="1" applyAlignment="1">
      <alignment horizontal="right" vertical="center" wrapText="1"/>
    </xf>
    <xf numFmtId="3" fontId="64" fillId="0" borderId="2" xfId="4" applyNumberFormat="1" applyFont="1" applyBorder="1" applyAlignment="1">
      <alignment horizontal="right" vertical="center" wrapText="1"/>
    </xf>
    <xf numFmtId="0" fontId="51" fillId="0" borderId="0" xfId="16" applyFont="1" applyAlignment="1">
      <alignment wrapText="1"/>
    </xf>
    <xf numFmtId="0" fontId="53" fillId="0" borderId="0" xfId="16" applyFont="1" applyAlignment="1">
      <alignment vertical="center"/>
    </xf>
    <xf numFmtId="3" fontId="52" fillId="0" borderId="0" xfId="16" applyNumberFormat="1" applyFont="1" applyAlignment="1">
      <alignment horizontal="right" vertical="center" wrapText="1"/>
    </xf>
    <xf numFmtId="0" fontId="64" fillId="0" borderId="2" xfId="16" applyFont="1" applyBorder="1" applyAlignment="1">
      <alignment horizontal="right" vertical="center" wrapText="1"/>
    </xf>
    <xf numFmtId="0" fontId="65" fillId="0" borderId="2" xfId="16" applyFont="1" applyBorder="1" applyAlignment="1">
      <alignment vertical="center" wrapText="1"/>
    </xf>
    <xf numFmtId="0" fontId="53" fillId="0" borderId="2" xfId="16" applyFont="1" applyBorder="1" applyAlignment="1">
      <alignment vertical="center"/>
    </xf>
    <xf numFmtId="3" fontId="53" fillId="0" borderId="2" xfId="16" applyNumberFormat="1" applyFont="1" applyBorder="1" applyAlignment="1">
      <alignment horizontal="right" vertical="center" wrapText="1"/>
    </xf>
    <xf numFmtId="0" fontId="52" fillId="0" borderId="2" xfId="16" applyFont="1" applyBorder="1" applyAlignment="1">
      <alignment vertical="center"/>
    </xf>
    <xf numFmtId="0" fontId="52" fillId="0" borderId="0" xfId="16" applyFont="1"/>
    <xf numFmtId="0" fontId="64" fillId="0" borderId="2" xfId="16" applyFont="1" applyBorder="1" applyAlignment="1">
      <alignment vertical="center" wrapText="1"/>
    </xf>
    <xf numFmtId="3" fontId="52" fillId="0" borderId="0" xfId="16" applyNumberFormat="1" applyFont="1"/>
    <xf numFmtId="3" fontId="51" fillId="0" borderId="0" xfId="16" applyNumberFormat="1" applyFont="1"/>
    <xf numFmtId="0" fontId="87" fillId="0" borderId="0" xfId="17" quotePrefix="1" applyFont="1" applyAlignment="1">
      <alignment horizontal="right" vertical="center" readingOrder="2"/>
    </xf>
    <xf numFmtId="0" fontId="52" fillId="0" borderId="0" xfId="0" applyFont="1" applyAlignment="1">
      <alignment vertical="center" wrapText="1"/>
    </xf>
    <xf numFmtId="0" fontId="88" fillId="0" borderId="0" xfId="4" applyFont="1" applyAlignment="1">
      <alignment horizontal="right" vertical="center" wrapText="1"/>
    </xf>
    <xf numFmtId="0" fontId="88" fillId="0" borderId="0" xfId="4" applyFont="1" applyAlignment="1">
      <alignment horizontal="right" vertical="center"/>
    </xf>
    <xf numFmtId="0" fontId="88" fillId="0" borderId="0" xfId="4" applyFont="1"/>
    <xf numFmtId="0" fontId="53" fillId="0" borderId="0" xfId="16" applyFont="1" applyAlignment="1">
      <alignment horizontal="right" wrapText="1"/>
    </xf>
    <xf numFmtId="0" fontId="53" fillId="0" borderId="2" xfId="16" applyFont="1" applyBorder="1" applyAlignment="1">
      <alignment horizontal="right" vertical="center" wrapText="1"/>
    </xf>
    <xf numFmtId="0" fontId="59" fillId="0" borderId="0" xfId="16" applyFont="1" applyAlignment="1">
      <alignment wrapText="1"/>
    </xf>
    <xf numFmtId="165" fontId="71" fillId="0" borderId="0" xfId="17" applyNumberFormat="1" applyFont="1" applyAlignment="1">
      <alignment horizontal="right" vertical="center" readingOrder="2"/>
    </xf>
    <xf numFmtId="0" fontId="65" fillId="0" borderId="0" xfId="16" applyFont="1" applyAlignment="1">
      <alignment vertical="center" wrapText="1"/>
    </xf>
    <xf numFmtId="0" fontId="71" fillId="0" borderId="0" xfId="30" applyFont="1" applyAlignment="1">
      <alignment horizontal="right" vertical="center" readingOrder="2"/>
    </xf>
    <xf numFmtId="0" fontId="41" fillId="0" borderId="0" xfId="30"/>
    <xf numFmtId="0" fontId="70" fillId="0" borderId="0" xfId="30" applyFont="1" applyAlignment="1">
      <alignment horizontal="right" vertical="center" readingOrder="2"/>
    </xf>
    <xf numFmtId="0" fontId="84" fillId="0" borderId="0" xfId="30" applyFont="1"/>
    <xf numFmtId="3" fontId="73" fillId="0" borderId="29" xfId="30" applyNumberFormat="1" applyFont="1" applyBorder="1" applyAlignment="1">
      <alignment horizontal="right" vertical="center" readingOrder="2"/>
    </xf>
    <xf numFmtId="3" fontId="71" fillId="0" borderId="9" xfId="22" applyNumberFormat="1" applyFont="1" applyBorder="1" applyAlignment="1">
      <alignment horizontal="center" vertical="center" readingOrder="2"/>
    </xf>
    <xf numFmtId="0" fontId="65" fillId="0" borderId="0" xfId="16" applyFont="1"/>
    <xf numFmtId="0" fontId="65" fillId="0" borderId="2" xfId="4" applyFont="1" applyBorder="1" applyAlignment="1">
      <alignment vertical="center"/>
    </xf>
    <xf numFmtId="3" fontId="83" fillId="0" borderId="20" xfId="22" applyNumberFormat="1" applyFont="1" applyBorder="1" applyAlignment="1">
      <alignment horizontal="center" vertical="center" readingOrder="2"/>
    </xf>
    <xf numFmtId="9" fontId="83" fillId="0" borderId="21" xfId="9" applyFont="1" applyBorder="1" applyAlignment="1">
      <alignment horizontal="right" vertical="center" readingOrder="2"/>
    </xf>
    <xf numFmtId="3" fontId="65" fillId="0" borderId="2" xfId="16" applyNumberFormat="1" applyFont="1" applyBorder="1" applyAlignment="1">
      <alignment vertical="center" wrapText="1"/>
    </xf>
    <xf numFmtId="3" fontId="65" fillId="0" borderId="2" xfId="16" applyNumberFormat="1" applyFont="1" applyBorder="1" applyAlignment="1">
      <alignment horizontal="right" vertical="center" wrapText="1"/>
    </xf>
    <xf numFmtId="0" fontId="41" fillId="0" borderId="0" xfId="22" applyFont="1"/>
    <xf numFmtId="0" fontId="90" fillId="0" borderId="0" xfId="22" applyFont="1"/>
    <xf numFmtId="0" fontId="91" fillId="0" borderId="0" xfId="22" applyFont="1" applyAlignment="1">
      <alignment horizontal="right" vertical="center" readingOrder="2"/>
    </xf>
    <xf numFmtId="0" fontId="40" fillId="0" borderId="0" xfId="22" applyFont="1"/>
    <xf numFmtId="164" fontId="83" fillId="0" borderId="21" xfId="9" applyNumberFormat="1" applyFont="1" applyBorder="1" applyAlignment="1">
      <alignment horizontal="right" vertical="center" readingOrder="2"/>
    </xf>
    <xf numFmtId="165" fontId="54" fillId="0" borderId="0" xfId="4" applyNumberFormat="1" applyFont="1" applyAlignment="1">
      <alignment horizontal="right" vertical="center"/>
    </xf>
    <xf numFmtId="0" fontId="89" fillId="0" borderId="0" xfId="17" applyFont="1"/>
    <xf numFmtId="0" fontId="62" fillId="0" borderId="0" xfId="30" applyFont="1"/>
    <xf numFmtId="0" fontId="92" fillId="0" borderId="0" xfId="30" applyFont="1"/>
    <xf numFmtId="0" fontId="73" fillId="0" borderId="0" xfId="30" applyFont="1" applyAlignment="1">
      <alignment horizontal="right" vertical="center" readingOrder="2"/>
    </xf>
    <xf numFmtId="164" fontId="83" fillId="0" borderId="21" xfId="9" applyNumberFormat="1" applyFont="1" applyBorder="1" applyAlignment="1">
      <alignment vertical="center" readingOrder="2"/>
    </xf>
    <xf numFmtId="0" fontId="51" fillId="0" borderId="0" xfId="0" applyFont="1" applyAlignment="1">
      <alignment wrapText="1"/>
    </xf>
    <xf numFmtId="0" fontId="73" fillId="0" borderId="14" xfId="17" applyFont="1" applyBorder="1" applyAlignment="1">
      <alignment horizontal="right" vertical="center" readingOrder="2"/>
    </xf>
    <xf numFmtId="3" fontId="54" fillId="0" borderId="27" xfId="16" applyNumberFormat="1" applyFont="1" applyBorder="1"/>
    <xf numFmtId="0" fontId="93" fillId="0" borderId="0" xfId="17" applyFont="1" applyAlignment="1">
      <alignment horizontal="right" vertical="center" readingOrder="2"/>
    </xf>
    <xf numFmtId="0" fontId="94" fillId="0" borderId="0" xfId="17" applyFont="1"/>
    <xf numFmtId="0" fontId="95" fillId="0" borderId="0" xfId="17" applyFont="1"/>
    <xf numFmtId="165" fontId="71" fillId="0" borderId="18" xfId="18" applyNumberFormat="1" applyFont="1" applyBorder="1" applyAlignment="1">
      <alignment vertical="center" readingOrder="2"/>
    </xf>
    <xf numFmtId="165" fontId="53" fillId="0" borderId="0" xfId="10" applyNumberFormat="1" applyFont="1" applyFill="1" applyAlignment="1">
      <alignment wrapText="1"/>
    </xf>
    <xf numFmtId="3" fontId="64" fillId="0" borderId="2" xfId="16" applyNumberFormat="1" applyFont="1" applyBorder="1" applyAlignment="1">
      <alignment vertical="center" wrapText="1"/>
    </xf>
    <xf numFmtId="165" fontId="53" fillId="0" borderId="2" xfId="10" applyNumberFormat="1" applyFont="1" applyBorder="1" applyAlignment="1">
      <alignment vertical="center" wrapText="1"/>
    </xf>
    <xf numFmtId="3" fontId="54" fillId="0" borderId="0" xfId="16" applyNumberFormat="1" applyFont="1" applyAlignment="1">
      <alignment horizontal="center" vertical="center"/>
    </xf>
    <xf numFmtId="0" fontId="67" fillId="0" borderId="0" xfId="4" applyFont="1" applyAlignment="1">
      <alignment horizontal="right" vertical="center"/>
    </xf>
    <xf numFmtId="0" fontId="83" fillId="0" borderId="0" xfId="16" applyFont="1" applyAlignment="1">
      <alignment horizontal="right" vertical="center" readingOrder="2"/>
    </xf>
    <xf numFmtId="3" fontId="64" fillId="0" borderId="2" xfId="16" applyNumberFormat="1" applyFont="1" applyBorder="1" applyAlignment="1">
      <alignment horizontal="right" vertical="center" wrapText="1"/>
    </xf>
    <xf numFmtId="0" fontId="65" fillId="0" borderId="2" xfId="4" applyFont="1" applyBorder="1" applyAlignment="1">
      <alignment horizontal="right" vertical="center" wrapText="1"/>
    </xf>
    <xf numFmtId="0" fontId="85" fillId="0" borderId="0" xfId="30" applyFont="1" applyAlignment="1">
      <alignment horizontal="right" vertical="center" readingOrder="2"/>
    </xf>
    <xf numFmtId="0" fontId="71" fillId="0" borderId="0" xfId="30" applyFont="1" applyAlignment="1">
      <alignment vertical="center" readingOrder="2"/>
    </xf>
    <xf numFmtId="0" fontId="83" fillId="0" borderId="0" xfId="22" applyFont="1" applyAlignment="1">
      <alignment horizontal="right" vertical="center" readingOrder="2"/>
    </xf>
    <xf numFmtId="3" fontId="85" fillId="0" borderId="3" xfId="22" applyNumberFormat="1" applyFont="1" applyBorder="1" applyAlignment="1">
      <alignment horizontal="center" vertical="center" readingOrder="2"/>
    </xf>
    <xf numFmtId="9" fontId="83" fillId="0" borderId="0" xfId="9" applyFont="1" applyBorder="1" applyAlignment="1">
      <alignment horizontal="right" vertical="center" readingOrder="2"/>
    </xf>
    <xf numFmtId="3" fontId="85" fillId="0" borderId="18" xfId="22" applyNumberFormat="1" applyFont="1" applyBorder="1" applyAlignment="1">
      <alignment horizontal="center" vertical="center" readingOrder="2"/>
    </xf>
    <xf numFmtId="0" fontId="65" fillId="0" borderId="2" xfId="16" applyFont="1" applyBorder="1" applyAlignment="1">
      <alignment horizontal="right" vertical="center" wrapText="1"/>
    </xf>
    <xf numFmtId="3" fontId="65" fillId="0" borderId="2" xfId="4" applyNumberFormat="1" applyFont="1" applyBorder="1" applyAlignment="1">
      <alignment vertical="center"/>
    </xf>
    <xf numFmtId="0" fontId="65" fillId="0" borderId="0" xfId="4" applyFont="1" applyAlignment="1">
      <alignment vertical="center"/>
    </xf>
    <xf numFmtId="165" fontId="53" fillId="0" borderId="2" xfId="16" applyNumberFormat="1" applyFont="1" applyBorder="1" applyAlignment="1">
      <alignment horizontal="right" vertical="center" wrapText="1"/>
    </xf>
    <xf numFmtId="0" fontId="85" fillId="0" borderId="0" xfId="17" applyFont="1" applyAlignment="1">
      <alignment horizontal="right" vertical="center" readingOrder="2"/>
    </xf>
    <xf numFmtId="3" fontId="52" fillId="0" borderId="2" xfId="16" applyNumberFormat="1" applyFont="1" applyBorder="1" applyAlignment="1">
      <alignment horizontal="right" vertical="center"/>
    </xf>
    <xf numFmtId="0" fontId="67" fillId="0" borderId="0" xfId="4" applyFont="1" applyAlignment="1">
      <alignment horizontal="right" vertical="center" wrapText="1"/>
    </xf>
    <xf numFmtId="0" fontId="54" fillId="0" borderId="17" xfId="16" applyFont="1" applyBorder="1" applyAlignment="1">
      <alignment vertical="center"/>
    </xf>
    <xf numFmtId="3" fontId="55" fillId="0" borderId="18" xfId="16" applyNumberFormat="1" applyFont="1" applyBorder="1" applyAlignment="1">
      <alignment vertical="center"/>
    </xf>
    <xf numFmtId="0" fontId="55" fillId="0" borderId="13" xfId="16" applyFont="1" applyBorder="1" applyAlignment="1">
      <alignment horizontal="center" vertical="center"/>
    </xf>
    <xf numFmtId="3" fontId="55" fillId="0" borderId="14" xfId="16" applyNumberFormat="1" applyFont="1" applyBorder="1" applyAlignment="1">
      <alignment horizontal="center" vertical="center" wrapText="1"/>
    </xf>
    <xf numFmtId="0" fontId="55" fillId="0" borderId="15" xfId="16" applyFont="1" applyBorder="1" applyAlignment="1">
      <alignment horizontal="center" vertical="center"/>
    </xf>
    <xf numFmtId="0" fontId="55" fillId="0" borderId="19" xfId="16" applyFont="1" applyBorder="1" applyAlignment="1">
      <alignment vertical="center"/>
    </xf>
    <xf numFmtId="3" fontId="55" fillId="0" borderId="20" xfId="16" applyNumberFormat="1" applyFont="1" applyBorder="1" applyAlignment="1">
      <alignment vertical="center"/>
    </xf>
    <xf numFmtId="3" fontId="55" fillId="0" borderId="21" xfId="16" applyNumberFormat="1" applyFont="1" applyBorder="1" applyAlignment="1">
      <alignment vertical="center"/>
    </xf>
    <xf numFmtId="0" fontId="52" fillId="0" borderId="6" xfId="4" applyFont="1" applyBorder="1" applyAlignment="1">
      <alignment horizontal="right" vertical="center" wrapText="1"/>
    </xf>
    <xf numFmtId="0" fontId="57" fillId="0" borderId="0" xfId="0" applyFont="1"/>
    <xf numFmtId="0" fontId="25" fillId="0" borderId="0" xfId="17" applyFont="1"/>
    <xf numFmtId="0" fontId="57" fillId="0" borderId="0" xfId="16" applyAlignment="1">
      <alignment wrapText="1"/>
    </xf>
    <xf numFmtId="0" fontId="57" fillId="0" borderId="0" xfId="16" applyAlignment="1">
      <alignment vertical="center"/>
    </xf>
    <xf numFmtId="0" fontId="53" fillId="4" borderId="2" xfId="4" applyFont="1" applyFill="1" applyBorder="1" applyAlignment="1">
      <alignment vertical="center" wrapText="1"/>
    </xf>
    <xf numFmtId="0" fontId="53" fillId="5" borderId="2" xfId="4" applyFont="1" applyFill="1" applyBorder="1" applyAlignment="1">
      <alignment vertical="center" wrapText="1"/>
    </xf>
    <xf numFmtId="3" fontId="96" fillId="0" borderId="2" xfId="16" applyNumberFormat="1" applyFont="1" applyBorder="1" applyAlignment="1">
      <alignment horizontal="right" vertical="center" wrapText="1"/>
    </xf>
    <xf numFmtId="0" fontId="55" fillId="0" borderId="2" xfId="4" applyFont="1" applyBorder="1" applyAlignment="1">
      <alignment horizontal="center" vertical="center"/>
    </xf>
    <xf numFmtId="0" fontId="55" fillId="0" borderId="2" xfId="4" applyFont="1" applyBorder="1"/>
    <xf numFmtId="3" fontId="66" fillId="0" borderId="2" xfId="4" applyNumberFormat="1" applyFont="1" applyBorder="1" applyAlignment="1">
      <alignment vertical="center"/>
    </xf>
    <xf numFmtId="0" fontId="101" fillId="0" borderId="0" xfId="17" applyFont="1" applyAlignment="1">
      <alignment horizontal="right" vertical="center" readingOrder="2"/>
    </xf>
    <xf numFmtId="3" fontId="52" fillId="0" borderId="2" xfId="4" applyNumberFormat="1" applyFont="1" applyBorder="1" applyAlignment="1">
      <alignment vertical="center"/>
    </xf>
    <xf numFmtId="0" fontId="52" fillId="0" borderId="2" xfId="0" applyFont="1" applyBorder="1" applyAlignment="1">
      <alignment vertical="center" wrapText="1"/>
    </xf>
    <xf numFmtId="0" fontId="53" fillId="0" borderId="9" xfId="16" applyFont="1" applyBorder="1" applyAlignment="1">
      <alignment vertical="center" wrapText="1"/>
    </xf>
    <xf numFmtId="0" fontId="53" fillId="0" borderId="6" xfId="4" applyFont="1" applyBorder="1" applyAlignment="1">
      <alignment vertical="center" wrapText="1"/>
    </xf>
    <xf numFmtId="3" fontId="58" fillId="0" borderId="0" xfId="4" applyNumberFormat="1" applyFont="1" applyAlignment="1">
      <alignment vertical="center"/>
    </xf>
    <xf numFmtId="165" fontId="55" fillId="0" borderId="29" xfId="10" applyNumberFormat="1" applyFont="1" applyBorder="1" applyAlignment="1">
      <alignment horizontal="right" vertical="center" readingOrder="2"/>
    </xf>
    <xf numFmtId="0" fontId="54" fillId="0" borderId="0" xfId="17" applyFont="1" applyAlignment="1">
      <alignment horizontal="right" vertical="center" readingOrder="2"/>
    </xf>
    <xf numFmtId="3" fontId="55" fillId="0" borderId="29" xfId="17" applyNumberFormat="1" applyFont="1" applyBorder="1" applyAlignment="1">
      <alignment horizontal="right" vertical="center" readingOrder="2"/>
    </xf>
    <xf numFmtId="0" fontId="66" fillId="0" borderId="0" xfId="17" applyFont="1" applyAlignment="1">
      <alignment horizontal="right" vertical="center" readingOrder="2"/>
    </xf>
    <xf numFmtId="3" fontId="53" fillId="0" borderId="2" xfId="16" applyNumberFormat="1" applyFont="1" applyBorder="1"/>
    <xf numFmtId="0" fontId="73" fillId="0" borderId="2" xfId="22" applyFont="1" applyBorder="1" applyAlignment="1">
      <alignment horizontal="right" vertical="center" readingOrder="2"/>
    </xf>
    <xf numFmtId="0" fontId="73" fillId="0" borderId="2" xfId="22" applyFont="1" applyBorder="1" applyAlignment="1">
      <alignment horizontal="center" vertical="center" readingOrder="2"/>
    </xf>
    <xf numFmtId="0" fontId="71" fillId="0" borderId="2" xfId="22" applyFont="1" applyBorder="1" applyAlignment="1">
      <alignment horizontal="right" vertical="center" readingOrder="2"/>
    </xf>
    <xf numFmtId="3" fontId="103" fillId="0" borderId="2" xfId="4" applyNumberFormat="1" applyFont="1" applyBorder="1" applyAlignment="1">
      <alignment vertical="center" wrapText="1"/>
    </xf>
    <xf numFmtId="3" fontId="104" fillId="0" borderId="2" xfId="4" applyNumberFormat="1" applyFont="1" applyBorder="1" applyAlignment="1">
      <alignment vertical="center" wrapText="1"/>
    </xf>
    <xf numFmtId="165" fontId="65" fillId="0" borderId="0" xfId="10" applyNumberFormat="1" applyFont="1" applyFill="1" applyAlignment="1">
      <alignment wrapText="1"/>
    </xf>
    <xf numFmtId="0" fontId="105" fillId="0" borderId="0" xfId="4" applyFont="1"/>
    <xf numFmtId="165" fontId="52" fillId="0" borderId="0" xfId="10" applyNumberFormat="1" applyFont="1" applyFill="1" applyAlignment="1">
      <alignment wrapText="1"/>
    </xf>
    <xf numFmtId="0" fontId="54" fillId="0" borderId="0" xfId="16" applyFont="1" applyAlignment="1">
      <alignment wrapText="1"/>
    </xf>
    <xf numFmtId="0" fontId="58" fillId="0" borderId="0" xfId="16" applyFont="1" applyAlignment="1">
      <alignment horizontal="center" wrapText="1"/>
    </xf>
    <xf numFmtId="3" fontId="58" fillId="0" borderId="0" xfId="16" applyNumberFormat="1" applyFont="1" applyAlignment="1">
      <alignment horizontal="center"/>
    </xf>
    <xf numFmtId="3" fontId="65" fillId="0" borderId="0" xfId="4" applyNumberFormat="1" applyFont="1" applyAlignment="1">
      <alignment horizontal="right" vertical="center" wrapText="1"/>
    </xf>
    <xf numFmtId="165" fontId="47" fillId="0" borderId="0" xfId="12" applyNumberFormat="1" applyFont="1"/>
    <xf numFmtId="165" fontId="47" fillId="0" borderId="0" xfId="17" applyNumberFormat="1"/>
    <xf numFmtId="0" fontId="16" fillId="0" borderId="0" xfId="17" applyFont="1"/>
    <xf numFmtId="0" fontId="83" fillId="0" borderId="0" xfId="30" applyFont="1" applyAlignment="1">
      <alignment vertical="center" readingOrder="2"/>
    </xf>
    <xf numFmtId="0" fontId="98" fillId="0" borderId="0" xfId="16" applyFont="1" applyAlignment="1">
      <alignment wrapText="1"/>
    </xf>
    <xf numFmtId="0" fontId="71" fillId="0" borderId="0" xfId="30" applyFont="1" applyAlignment="1">
      <alignment vertical="top" readingOrder="2"/>
    </xf>
    <xf numFmtId="0" fontId="85" fillId="0" borderId="0" xfId="30" applyFont="1" applyAlignment="1">
      <alignment horizontal="right" vertical="top" readingOrder="2"/>
    </xf>
    <xf numFmtId="3" fontId="53" fillId="0" borderId="2" xfId="16" applyNumberFormat="1" applyFont="1" applyFill="1" applyBorder="1" applyAlignment="1">
      <alignment vertical="center" wrapText="1"/>
    </xf>
    <xf numFmtId="0" fontId="52" fillId="0" borderId="2" xfId="4" applyFont="1" applyFill="1" applyBorder="1" applyAlignment="1">
      <alignment horizontal="right" vertical="center" wrapText="1"/>
    </xf>
    <xf numFmtId="3" fontId="52" fillId="0" borderId="2" xfId="4" applyNumberFormat="1" applyFont="1" applyFill="1" applyBorder="1" applyAlignment="1">
      <alignment horizontal="right" vertical="center" wrapText="1"/>
    </xf>
    <xf numFmtId="3" fontId="52" fillId="0" borderId="0" xfId="4" applyNumberFormat="1" applyFont="1" applyFill="1" applyBorder="1" applyAlignment="1">
      <alignment horizontal="right" vertical="center" wrapText="1"/>
    </xf>
    <xf numFmtId="3" fontId="53" fillId="0" borderId="0" xfId="4" applyNumberFormat="1" applyFont="1" applyFill="1"/>
    <xf numFmtId="0" fontId="53" fillId="0" borderId="0" xfId="4" applyFont="1" applyFill="1"/>
    <xf numFmtId="3" fontId="52" fillId="0" borderId="2" xfId="4" applyNumberFormat="1" applyFont="1" applyFill="1" applyBorder="1" applyAlignment="1">
      <alignment vertical="center" wrapText="1"/>
    </xf>
    <xf numFmtId="0" fontId="65" fillId="0" borderId="0" xfId="4" applyFont="1" applyBorder="1" applyAlignment="1">
      <alignment vertical="center" wrapText="1"/>
    </xf>
    <xf numFmtId="0" fontId="65" fillId="0" borderId="0" xfId="16" applyFont="1" applyBorder="1" applyAlignment="1">
      <alignment vertical="center" wrapText="1"/>
    </xf>
    <xf numFmtId="3" fontId="65" fillId="0" borderId="0" xfId="16" applyNumberFormat="1" applyFont="1" applyBorder="1" applyAlignment="1">
      <alignment vertical="center" wrapText="1"/>
    </xf>
    <xf numFmtId="0" fontId="58" fillId="0" borderId="0" xfId="16" applyFont="1" applyAlignment="1">
      <alignment horizontal="center"/>
    </xf>
    <xf numFmtId="0" fontId="51" fillId="0" borderId="0" xfId="4" applyFont="1" applyFill="1" applyAlignment="1"/>
    <xf numFmtId="0" fontId="51" fillId="0" borderId="0" xfId="4" applyFont="1" applyFill="1"/>
    <xf numFmtId="0" fontId="53" fillId="0" borderId="2" xfId="4" applyFont="1" applyFill="1" applyBorder="1" applyAlignment="1">
      <alignment vertical="center" wrapText="1"/>
    </xf>
    <xf numFmtId="3" fontId="53" fillId="0" borderId="2" xfId="4" applyNumberFormat="1" applyFont="1" applyFill="1" applyBorder="1" applyAlignment="1">
      <alignment vertical="center" wrapText="1"/>
    </xf>
    <xf numFmtId="3" fontId="64" fillId="0" borderId="2" xfId="4" applyNumberFormat="1" applyFont="1" applyFill="1" applyBorder="1" applyAlignment="1">
      <alignment vertical="center" wrapText="1"/>
    </xf>
    <xf numFmtId="3" fontId="103" fillId="0" borderId="2" xfId="4" applyNumberFormat="1" applyFont="1" applyFill="1" applyBorder="1" applyAlignment="1">
      <alignment vertical="center" wrapText="1"/>
    </xf>
    <xf numFmtId="0" fontId="53" fillId="0" borderId="0" xfId="4" applyFont="1" applyFill="1" applyAlignment="1">
      <alignment vertical="center" wrapText="1"/>
    </xf>
    <xf numFmtId="0" fontId="65" fillId="0" borderId="2" xfId="4" applyFont="1" applyFill="1" applyBorder="1" applyAlignment="1">
      <alignment vertical="center" wrapText="1"/>
    </xf>
    <xf numFmtId="0" fontId="64" fillId="0" borderId="2" xfId="4" applyFont="1" applyFill="1" applyBorder="1" applyAlignment="1">
      <alignment vertical="center" wrapText="1"/>
    </xf>
    <xf numFmtId="0" fontId="52" fillId="0" borderId="0" xfId="4" applyFont="1" applyFill="1" applyAlignment="1">
      <alignment vertical="center" wrapText="1"/>
    </xf>
    <xf numFmtId="0" fontId="53" fillId="0" borderId="0" xfId="16" applyFont="1" applyFill="1" applyAlignment="1"/>
    <xf numFmtId="0" fontId="53" fillId="0" borderId="0" xfId="16" applyFont="1" applyFill="1"/>
    <xf numFmtId="0" fontId="66" fillId="0" borderId="0" xfId="16" applyFont="1" applyFill="1"/>
    <xf numFmtId="3" fontId="53" fillId="0" borderId="0" xfId="16" applyNumberFormat="1" applyFont="1" applyFill="1"/>
    <xf numFmtId="0" fontId="53" fillId="0" borderId="0" xfId="16" applyFont="1" applyFill="1" applyAlignment="1">
      <alignment wrapText="1"/>
    </xf>
    <xf numFmtId="0" fontId="53" fillId="0" borderId="2" xfId="16" applyFont="1" applyFill="1" applyBorder="1" applyAlignment="1">
      <alignment vertical="center" wrapText="1"/>
    </xf>
    <xf numFmtId="0" fontId="65" fillId="0" borderId="0" xfId="16" applyFont="1" applyFill="1"/>
    <xf numFmtId="0" fontId="65" fillId="0" borderId="0" xfId="4" applyFont="1" applyFill="1" applyAlignment="1">
      <alignment vertical="center" wrapText="1"/>
    </xf>
    <xf numFmtId="0" fontId="53" fillId="0" borderId="0" xfId="4" applyFont="1" applyFill="1" applyAlignment="1"/>
    <xf numFmtId="3" fontId="104" fillId="0" borderId="2" xfId="4" applyNumberFormat="1" applyFont="1" applyFill="1" applyBorder="1" applyAlignment="1">
      <alignment vertical="center" wrapText="1"/>
    </xf>
    <xf numFmtId="3" fontId="53" fillId="0" borderId="2" xfId="4" applyNumberFormat="1" applyFont="1" applyFill="1" applyBorder="1" applyAlignment="1">
      <alignment horizontal="right" vertical="center" wrapText="1"/>
    </xf>
    <xf numFmtId="0" fontId="53" fillId="0" borderId="2" xfId="4" applyFont="1" applyFill="1" applyBorder="1" applyAlignment="1">
      <alignment vertical="center"/>
    </xf>
    <xf numFmtId="3" fontId="52" fillId="0" borderId="0" xfId="16" applyNumberFormat="1" applyFont="1" applyFill="1" applyBorder="1" applyAlignment="1">
      <alignment horizontal="right" vertical="center" wrapText="1"/>
    </xf>
    <xf numFmtId="3" fontId="53" fillId="4" borderId="2" xfId="4" applyNumberFormat="1" applyFont="1" applyFill="1" applyBorder="1" applyAlignment="1">
      <alignment vertical="center" wrapText="1"/>
    </xf>
    <xf numFmtId="3" fontId="104" fillId="4" borderId="2" xfId="4" applyNumberFormat="1" applyFont="1" applyFill="1" applyBorder="1" applyAlignment="1">
      <alignment vertical="center" wrapText="1"/>
    </xf>
    <xf numFmtId="0" fontId="53" fillId="0" borderId="0" xfId="16" applyFont="1" applyFill="1" applyAlignment="1">
      <alignment vertical="center"/>
    </xf>
    <xf numFmtId="3" fontId="53" fillId="0" borderId="0" xfId="16" applyNumberFormat="1" applyFont="1" applyFill="1" applyBorder="1"/>
    <xf numFmtId="3" fontId="53" fillId="0" borderId="0" xfId="4" applyNumberFormat="1" applyFont="1" applyAlignment="1">
      <alignment horizontal="right" vertical="center" wrapText="1"/>
    </xf>
    <xf numFmtId="3" fontId="53" fillId="0" borderId="0" xfId="4" applyNumberFormat="1" applyFont="1" applyAlignment="1">
      <alignment horizontal="left"/>
    </xf>
    <xf numFmtId="0" fontId="52" fillId="0" borderId="0" xfId="4" applyFont="1" applyFill="1" applyBorder="1" applyAlignment="1">
      <alignment horizontal="right" vertical="center" wrapText="1"/>
    </xf>
    <xf numFmtId="0" fontId="52" fillId="0" borderId="2" xfId="4" applyFont="1" applyFill="1" applyBorder="1" applyAlignment="1">
      <alignment vertical="center" wrapText="1"/>
    </xf>
    <xf numFmtId="0" fontId="52" fillId="0" borderId="2" xfId="16" applyFont="1" applyFill="1" applyBorder="1" applyAlignment="1">
      <alignment vertical="center" wrapText="1"/>
    </xf>
    <xf numFmtId="0" fontId="52" fillId="0" borderId="0" xfId="16" applyFont="1" applyFill="1"/>
    <xf numFmtId="0" fontId="52" fillId="0" borderId="2" xfId="4" applyFont="1" applyFill="1" applyBorder="1" applyAlignment="1">
      <alignment vertical="center"/>
    </xf>
    <xf numFmtId="3" fontId="52" fillId="0" borderId="2" xfId="4" applyNumberFormat="1" applyFont="1" applyFill="1" applyBorder="1" applyAlignment="1">
      <alignment vertical="center"/>
    </xf>
    <xf numFmtId="0" fontId="52" fillId="0" borderId="0" xfId="4" applyFont="1" applyFill="1" applyAlignment="1">
      <alignment vertical="center"/>
    </xf>
    <xf numFmtId="0" fontId="64" fillId="0" borderId="2" xfId="4" quotePrefix="1" applyFont="1" applyFill="1" applyBorder="1" applyAlignment="1">
      <alignment vertical="center" wrapText="1"/>
    </xf>
    <xf numFmtId="165" fontId="53" fillId="0" borderId="0" xfId="10" applyNumberFormat="1" applyFont="1" applyFill="1" applyAlignment="1">
      <alignment vertical="center" wrapText="1"/>
    </xf>
    <xf numFmtId="0" fontId="52" fillId="0" borderId="0" xfId="16" applyFont="1" applyBorder="1" applyAlignment="1">
      <alignment horizontal="right" vertical="center" wrapText="1"/>
    </xf>
    <xf numFmtId="3" fontId="51" fillId="0" borderId="0" xfId="16" applyNumberFormat="1" applyFont="1" applyFill="1"/>
    <xf numFmtId="0" fontId="51" fillId="0" borderId="0" xfId="16" applyFont="1" applyFill="1"/>
    <xf numFmtId="0" fontId="51" fillId="0" borderId="0" xfId="16" applyFont="1" applyFill="1" applyAlignment="1">
      <alignment wrapText="1"/>
    </xf>
    <xf numFmtId="0" fontId="59" fillId="0" borderId="0" xfId="16" applyFont="1" applyFill="1" applyAlignment="1"/>
    <xf numFmtId="0" fontId="52" fillId="0" borderId="2" xfId="16" applyFont="1" applyFill="1" applyBorder="1" applyAlignment="1">
      <alignment horizontal="right" vertical="center" wrapText="1"/>
    </xf>
    <xf numFmtId="0" fontId="52" fillId="0" borderId="0" xfId="16" applyFont="1" applyFill="1" applyBorder="1" applyAlignment="1">
      <alignment horizontal="right" vertical="center" wrapText="1"/>
    </xf>
    <xf numFmtId="0" fontId="53" fillId="0" borderId="0" xfId="16" applyFont="1" applyFill="1" applyAlignment="1">
      <alignment vertical="center" wrapText="1"/>
    </xf>
    <xf numFmtId="0" fontId="65" fillId="0" borderId="0" xfId="4" applyFont="1" applyFill="1" applyAlignment="1">
      <alignment vertical="center"/>
    </xf>
    <xf numFmtId="0" fontId="57" fillId="0" borderId="0" xfId="16" applyFill="1" applyAlignment="1">
      <alignment wrapText="1"/>
    </xf>
    <xf numFmtId="0" fontId="57" fillId="0" borderId="0" xfId="16" applyFill="1"/>
    <xf numFmtId="0" fontId="65" fillId="0" borderId="0" xfId="4" applyFont="1" applyFill="1" applyBorder="1" applyAlignment="1">
      <alignment vertical="center" wrapText="1"/>
    </xf>
    <xf numFmtId="0" fontId="65" fillId="0" borderId="0" xfId="16" applyFont="1" applyFill="1" applyBorder="1"/>
    <xf numFmtId="0" fontId="64" fillId="0" borderId="0" xfId="4" applyFont="1" applyBorder="1" applyAlignment="1">
      <alignment vertical="center" wrapText="1"/>
    </xf>
    <xf numFmtId="3" fontId="65" fillId="0" borderId="2" xfId="4" applyNumberFormat="1" applyFont="1" applyBorder="1" applyAlignment="1">
      <alignment horizontal="right" vertical="center"/>
    </xf>
    <xf numFmtId="0" fontId="66" fillId="0" borderId="0" xfId="4" applyFont="1" applyAlignment="1">
      <alignment vertical="center" wrapText="1"/>
    </xf>
    <xf numFmtId="3" fontId="52" fillId="0" borderId="2" xfId="16" applyNumberFormat="1" applyFont="1" applyFill="1" applyBorder="1" applyAlignment="1">
      <alignment horizontal="right" vertical="center" wrapText="1"/>
    </xf>
    <xf numFmtId="0" fontId="58" fillId="0" borderId="0" xfId="16" applyFont="1" applyAlignment="1"/>
    <xf numFmtId="0" fontId="101" fillId="0" borderId="0" xfId="30" applyFont="1" applyAlignment="1">
      <alignment horizontal="right" vertical="center" readingOrder="2"/>
    </xf>
    <xf numFmtId="0" fontId="114" fillId="0" borderId="0" xfId="30" applyFont="1" applyAlignment="1">
      <alignment horizontal="right" vertical="center" readingOrder="2"/>
    </xf>
    <xf numFmtId="3" fontId="101" fillId="0" borderId="17" xfId="16" applyNumberFormat="1" applyFont="1" applyBorder="1"/>
    <xf numFmtId="0" fontId="55" fillId="0" borderId="0" xfId="4" applyFont="1" applyBorder="1" applyAlignment="1">
      <alignment horizontal="right" vertical="center"/>
    </xf>
    <xf numFmtId="0" fontId="54" fillId="0" borderId="0" xfId="4" applyFont="1" applyBorder="1" applyAlignment="1">
      <alignment vertical="center"/>
    </xf>
    <xf numFmtId="3" fontId="55" fillId="0" borderId="0" xfId="4" applyNumberFormat="1" applyFont="1" applyBorder="1" applyAlignment="1">
      <alignment horizontal="right" vertical="center"/>
    </xf>
    <xf numFmtId="0" fontId="86" fillId="0" borderId="0" xfId="4" applyFont="1"/>
    <xf numFmtId="0" fontId="86" fillId="0" borderId="0" xfId="4" applyFont="1" applyAlignment="1">
      <alignment wrapText="1"/>
    </xf>
    <xf numFmtId="3" fontId="86" fillId="0" borderId="0" xfId="4" applyNumberFormat="1" applyFont="1"/>
    <xf numFmtId="0" fontId="107" fillId="0" borderId="0" xfId="4" applyFont="1" applyAlignment="1">
      <alignment horizontal="right" vertical="center" wrapText="1"/>
    </xf>
    <xf numFmtId="3" fontId="53" fillId="0" borderId="0" xfId="16" applyNumberFormat="1" applyFont="1" applyBorder="1"/>
    <xf numFmtId="0" fontId="110" fillId="0" borderId="0" xfId="16" applyFont="1"/>
    <xf numFmtId="165" fontId="53" fillId="0" borderId="0" xfId="10" applyNumberFormat="1" applyFont="1" applyBorder="1" applyAlignment="1">
      <alignment vertical="center" wrapText="1"/>
    </xf>
    <xf numFmtId="0" fontId="102" fillId="0" borderId="0" xfId="17" applyFont="1" applyAlignment="1">
      <alignment horizontal="right" vertical="center" readingOrder="2"/>
    </xf>
    <xf numFmtId="0" fontId="116" fillId="0" borderId="0" xfId="17" applyFont="1"/>
    <xf numFmtId="3" fontId="59" fillId="0" borderId="0" xfId="16" applyNumberFormat="1" applyFont="1"/>
    <xf numFmtId="3" fontId="53" fillId="0" borderId="0" xfId="16" applyNumberFormat="1" applyFont="1" applyAlignment="1">
      <alignment wrapText="1"/>
    </xf>
    <xf numFmtId="0" fontId="85" fillId="0" borderId="27" xfId="22" applyFont="1" applyBorder="1" applyAlignment="1">
      <alignment vertical="center" readingOrder="2"/>
    </xf>
    <xf numFmtId="0" fontId="85" fillId="0" borderId="6" xfId="22" applyFont="1" applyBorder="1" applyAlignment="1">
      <alignment vertical="center" readingOrder="2"/>
    </xf>
    <xf numFmtId="0" fontId="64" fillId="0" borderId="2" xfId="0" applyFont="1" applyBorder="1" applyAlignment="1">
      <alignment horizontal="right" vertical="center" wrapText="1"/>
    </xf>
    <xf numFmtId="0" fontId="67" fillId="0" borderId="0" xfId="17" applyFont="1" applyAlignment="1">
      <alignment horizontal="right" vertical="center" readingOrder="2"/>
    </xf>
    <xf numFmtId="0" fontId="117" fillId="0" borderId="0" xfId="17" applyFont="1"/>
    <xf numFmtId="0" fontId="118" fillId="0" borderId="0" xfId="17" applyFont="1"/>
    <xf numFmtId="0" fontId="106" fillId="0" borderId="0" xfId="22" applyFont="1" applyAlignment="1">
      <alignment horizontal="right" vertical="center" readingOrder="2"/>
    </xf>
    <xf numFmtId="0" fontId="67" fillId="0" borderId="0" xfId="30" applyFont="1" applyAlignment="1">
      <alignment horizontal="right" vertical="center" readingOrder="2"/>
    </xf>
    <xf numFmtId="0" fontId="118" fillId="0" borderId="0" xfId="22" applyFont="1"/>
    <xf numFmtId="0" fontId="119" fillId="0" borderId="0" xfId="22" applyFont="1"/>
    <xf numFmtId="0" fontId="54" fillId="0" borderId="0" xfId="22" applyFont="1" applyAlignment="1">
      <alignment horizontal="right" vertical="center" readingOrder="2"/>
    </xf>
    <xf numFmtId="0" fontId="71" fillId="0" borderId="19" xfId="22" applyFont="1" applyBorder="1" applyAlignment="1">
      <alignment horizontal="right" vertical="center" wrapText="1" readingOrder="2"/>
    </xf>
    <xf numFmtId="0" fontId="54" fillId="0" borderId="0" xfId="30" applyFont="1" applyAlignment="1">
      <alignment horizontal="right" vertical="center" readingOrder="2"/>
    </xf>
    <xf numFmtId="0" fontId="118" fillId="0" borderId="0" xfId="30" applyFont="1"/>
    <xf numFmtId="0" fontId="119" fillId="0" borderId="0" xfId="30" applyFont="1"/>
    <xf numFmtId="0" fontId="65" fillId="0" borderId="2" xfId="16" applyFont="1" applyFill="1" applyBorder="1" applyAlignment="1">
      <alignment vertical="center" wrapText="1"/>
    </xf>
    <xf numFmtId="3" fontId="65" fillId="0" borderId="0" xfId="16" applyNumberFormat="1" applyFont="1" applyAlignment="1">
      <alignment horizontal="right" vertical="center" wrapText="1"/>
    </xf>
    <xf numFmtId="0" fontId="105" fillId="0" borderId="0" xfId="16" applyFont="1" applyAlignment="1">
      <alignment wrapText="1"/>
    </xf>
    <xf numFmtId="0" fontId="65" fillId="0" borderId="2" xfId="0" applyFont="1" applyBorder="1" applyAlignment="1">
      <alignment horizontal="right" vertical="center" wrapText="1"/>
    </xf>
    <xf numFmtId="165" fontId="52" fillId="0" borderId="0" xfId="10" applyNumberFormat="1" applyFont="1" applyFill="1" applyAlignment="1">
      <alignment vertical="center" wrapText="1"/>
    </xf>
    <xf numFmtId="3" fontId="122" fillId="0" borderId="2" xfId="4" applyNumberFormat="1" applyFont="1" applyFill="1" applyBorder="1" applyAlignment="1">
      <alignment vertical="center" wrapText="1"/>
    </xf>
    <xf numFmtId="0" fontId="65" fillId="0" borderId="0" xfId="16" applyFont="1" applyFill="1" applyAlignment="1">
      <alignment vertical="center" wrapText="1"/>
    </xf>
    <xf numFmtId="0" fontId="65" fillId="0" borderId="0" xfId="16" applyFont="1" applyFill="1" applyAlignment="1">
      <alignment wrapText="1"/>
    </xf>
    <xf numFmtId="3" fontId="64" fillId="0" borderId="2" xfId="4" applyNumberFormat="1" applyFont="1" applyBorder="1"/>
    <xf numFmtId="3" fontId="64" fillId="0" borderId="2" xfId="4" applyNumberFormat="1" applyFont="1" applyBorder="1" applyAlignment="1">
      <alignment vertical="center"/>
    </xf>
    <xf numFmtId="0" fontId="66" fillId="0" borderId="0" xfId="16" applyFont="1"/>
    <xf numFmtId="0" fontId="57" fillId="0" borderId="0" xfId="16" applyFont="1"/>
    <xf numFmtId="0" fontId="59" fillId="0" borderId="0" xfId="105" applyFont="1"/>
    <xf numFmtId="0" fontId="59" fillId="0" borderId="0" xfId="105" applyFont="1" applyAlignment="1">
      <alignment wrapText="1"/>
    </xf>
    <xf numFmtId="3" fontId="51" fillId="0" borderId="0" xfId="105" applyNumberFormat="1" applyFont="1"/>
    <xf numFmtId="0" fontId="51" fillId="0" borderId="0" xfId="105" applyFont="1"/>
    <xf numFmtId="0" fontId="51" fillId="0" borderId="0" xfId="105" applyFont="1" applyAlignment="1">
      <alignment wrapText="1"/>
    </xf>
    <xf numFmtId="0" fontId="11" fillId="0" borderId="0" xfId="105"/>
    <xf numFmtId="3" fontId="59" fillId="0" borderId="0" xfId="105" applyNumberFormat="1" applyFont="1"/>
    <xf numFmtId="0" fontId="53" fillId="0" borderId="0" xfId="105" applyFont="1"/>
    <xf numFmtId="0" fontId="96" fillId="0" borderId="0" xfId="4" quotePrefix="1" applyFont="1" applyBorder="1" applyAlignment="1">
      <alignment vertical="center"/>
    </xf>
    <xf numFmtId="3" fontId="52" fillId="0" borderId="2" xfId="106" applyNumberFormat="1" applyFont="1" applyBorder="1" applyAlignment="1">
      <alignment horizontal="right" vertical="center" wrapText="1"/>
    </xf>
    <xf numFmtId="0" fontId="59" fillId="0" borderId="0" xfId="107" applyFont="1" applyFill="1" applyAlignment="1"/>
    <xf numFmtId="3" fontId="59" fillId="0" borderId="0" xfId="107" applyNumberFormat="1" applyFont="1" applyFill="1" applyAlignment="1"/>
    <xf numFmtId="3" fontId="11" fillId="0" borderId="0" xfId="107" applyNumberFormat="1" applyFill="1"/>
    <xf numFmtId="0" fontId="11" fillId="0" borderId="0" xfId="107" applyFill="1"/>
    <xf numFmtId="0" fontId="62" fillId="0" borderId="0" xfId="107" applyFont="1" applyFill="1" applyAlignment="1">
      <alignment vertical="center"/>
    </xf>
    <xf numFmtId="3" fontId="53" fillId="0" borderId="2" xfId="108" applyNumberFormat="1" applyFont="1" applyBorder="1" applyAlignment="1">
      <alignment vertical="center" wrapText="1"/>
    </xf>
    <xf numFmtId="3" fontId="108" fillId="0" borderId="0" xfId="16" applyNumberFormat="1" applyFont="1"/>
    <xf numFmtId="0" fontId="64" fillId="0" borderId="2" xfId="4" applyFont="1" applyBorder="1" applyAlignment="1">
      <alignment vertical="center"/>
    </xf>
    <xf numFmtId="0" fontId="64" fillId="0" borderId="2" xfId="16" applyFont="1" applyBorder="1" applyAlignment="1">
      <alignment vertical="center" wrapText="1" readingOrder="1"/>
    </xf>
    <xf numFmtId="3" fontId="53" fillId="0" borderId="2" xfId="16" applyNumberFormat="1" applyFont="1" applyBorder="1" applyAlignment="1">
      <alignment horizontal="center" vertical="center" wrapText="1"/>
    </xf>
    <xf numFmtId="0" fontId="59" fillId="0" borderId="0" xfId="108" applyFont="1" applyAlignment="1"/>
    <xf numFmtId="3" fontId="51" fillId="0" borderId="0" xfId="108" applyNumberFormat="1" applyFont="1"/>
    <xf numFmtId="0" fontId="51" fillId="0" borderId="0" xfId="108" applyFont="1"/>
    <xf numFmtId="0" fontId="51" fillId="0" borderId="0" xfId="108" applyFont="1" applyAlignment="1"/>
    <xf numFmtId="0" fontId="53" fillId="0" borderId="0" xfId="108" applyFont="1"/>
    <xf numFmtId="0" fontId="11" fillId="0" borderId="0" xfId="108"/>
    <xf numFmtId="0" fontId="53" fillId="0" borderId="0" xfId="108" applyFont="1" applyAlignment="1"/>
    <xf numFmtId="3" fontId="53" fillId="0" borderId="0" xfId="108" applyNumberFormat="1" applyFont="1"/>
    <xf numFmtId="3" fontId="52" fillId="0" borderId="2" xfId="108" applyNumberFormat="1" applyFont="1" applyBorder="1" applyAlignment="1">
      <alignment horizontal="right" vertical="center" wrapText="1"/>
    </xf>
    <xf numFmtId="3" fontId="52" fillId="0" borderId="2" xfId="108" applyNumberFormat="1" applyFont="1" applyBorder="1" applyAlignment="1">
      <alignment horizontal="right" vertical="center"/>
    </xf>
    <xf numFmtId="0" fontId="53" fillId="0" borderId="2" xfId="108" applyFont="1" applyBorder="1" applyAlignment="1">
      <alignment vertical="center" wrapText="1"/>
    </xf>
    <xf numFmtId="3" fontId="53" fillId="0" borderId="2" xfId="108" applyNumberFormat="1" applyFont="1" applyFill="1" applyBorder="1" applyAlignment="1">
      <alignment vertical="center" wrapText="1"/>
    </xf>
    <xf numFmtId="3" fontId="113" fillId="0" borderId="2" xfId="108" applyNumberFormat="1" applyFont="1" applyFill="1" applyBorder="1" applyAlignment="1">
      <alignment vertical="center" wrapText="1"/>
    </xf>
    <xf numFmtId="3" fontId="124" fillId="0" borderId="2" xfId="108" applyNumberFormat="1" applyFont="1" applyFill="1" applyBorder="1" applyAlignment="1">
      <alignment vertical="center" wrapText="1"/>
    </xf>
    <xf numFmtId="3" fontId="52" fillId="0" borderId="2" xfId="109" applyNumberFormat="1" applyFont="1" applyFill="1" applyBorder="1" applyAlignment="1">
      <alignment horizontal="right" vertical="center" wrapText="1"/>
    </xf>
    <xf numFmtId="0" fontId="105" fillId="0" borderId="0" xfId="16" applyFont="1" applyFill="1" applyAlignment="1"/>
    <xf numFmtId="3" fontId="52" fillId="0" borderId="2" xfId="109" applyNumberFormat="1" applyFont="1" applyBorder="1" applyAlignment="1">
      <alignment horizontal="right" vertical="center" wrapText="1"/>
    </xf>
    <xf numFmtId="3" fontId="108" fillId="0" borderId="0" xfId="16" applyNumberFormat="1" applyFont="1" applyFill="1"/>
    <xf numFmtId="0" fontId="125" fillId="0" borderId="0" xfId="17" quotePrefix="1" applyFont="1" applyAlignment="1">
      <alignment horizontal="right" vertical="center" readingOrder="2"/>
    </xf>
    <xf numFmtId="0" fontId="127" fillId="0" borderId="0" xfId="17" applyFont="1" applyAlignment="1">
      <alignment horizontal="right" vertical="center" readingOrder="2"/>
    </xf>
    <xf numFmtId="0" fontId="126" fillId="0" borderId="0" xfId="17" applyFont="1" applyAlignment="1">
      <alignment horizontal="right" vertical="center" readingOrder="2"/>
    </xf>
    <xf numFmtId="0" fontId="128" fillId="0" borderId="0" xfId="17" applyFont="1"/>
    <xf numFmtId="0" fontId="129" fillId="0" borderId="0" xfId="17" applyFont="1" applyAlignment="1">
      <alignment horizontal="right" vertical="center" readingOrder="2"/>
    </xf>
    <xf numFmtId="0" fontId="125" fillId="0" borderId="0" xfId="17" applyFont="1" applyAlignment="1">
      <alignment horizontal="right" vertical="center" readingOrder="2"/>
    </xf>
    <xf numFmtId="0" fontId="51" fillId="0" borderId="0" xfId="4" applyFont="1"/>
    <xf numFmtId="0" fontId="111" fillId="0" borderId="0" xfId="4" applyFont="1"/>
    <xf numFmtId="0" fontId="96" fillId="0" borderId="0" xfId="4" quotePrefix="1" applyFont="1" applyAlignment="1">
      <alignment horizontal="center"/>
    </xf>
    <xf numFmtId="0" fontId="65" fillId="0" borderId="0" xfId="4" applyFont="1"/>
    <xf numFmtId="0" fontId="51" fillId="0" borderId="0" xfId="4" applyFont="1" applyAlignment="1">
      <alignment wrapText="1"/>
    </xf>
    <xf numFmtId="0" fontId="112" fillId="0" borderId="0" xfId="4" quotePrefix="1" applyFont="1"/>
    <xf numFmtId="0" fontId="96" fillId="0" borderId="0" xfId="4" quotePrefix="1" applyFont="1"/>
    <xf numFmtId="0" fontId="96" fillId="0" borderId="0" xfId="4" quotePrefix="1" applyFont="1" applyAlignment="1">
      <alignment horizontal="center" vertical="center"/>
    </xf>
    <xf numFmtId="3" fontId="53" fillId="0" borderId="0" xfId="4" applyNumberFormat="1" applyFont="1" applyAlignment="1">
      <alignment horizontal="center" vertical="center"/>
    </xf>
    <xf numFmtId="3" fontId="64" fillId="0" borderId="0" xfId="4" applyNumberFormat="1" applyFont="1" applyAlignment="1">
      <alignment horizontal="center" vertical="center"/>
    </xf>
    <xf numFmtId="0" fontId="99" fillId="0" borderId="0" xfId="110" applyFont="1"/>
    <xf numFmtId="0" fontId="111" fillId="0" borderId="0" xfId="4" quotePrefix="1" applyFont="1" applyAlignment="1">
      <alignment horizontal="center" vertical="center"/>
    </xf>
    <xf numFmtId="0" fontId="112" fillId="0" borderId="0" xfId="4" quotePrefix="1" applyFont="1" applyAlignment="1">
      <alignment horizontal="center" vertical="center"/>
    </xf>
    <xf numFmtId="3" fontId="65" fillId="0" borderId="2" xfId="4" applyNumberFormat="1" applyFont="1" applyBorder="1" applyAlignment="1">
      <alignment horizontal="right" vertical="center" wrapText="1"/>
    </xf>
    <xf numFmtId="3" fontId="64" fillId="0" borderId="2" xfId="4" applyNumberFormat="1" applyFont="1" applyBorder="1" applyAlignment="1">
      <alignment vertical="center" wrapText="1"/>
    </xf>
    <xf numFmtId="0" fontId="64" fillId="0" borderId="2" xfId="4" applyFont="1" applyBorder="1" applyAlignment="1">
      <alignment horizontal="right" vertical="center" wrapText="1"/>
    </xf>
    <xf numFmtId="3" fontId="53" fillId="0" borderId="2" xfId="4" quotePrefix="1" applyNumberFormat="1" applyFont="1" applyBorder="1" applyAlignment="1">
      <alignment vertical="center" wrapText="1"/>
    </xf>
    <xf numFmtId="0" fontId="53" fillId="0" borderId="2" xfId="4" applyFont="1" applyBorder="1" applyAlignment="1">
      <alignment vertical="center" wrapText="1" readingOrder="2"/>
    </xf>
    <xf numFmtId="0" fontId="64" fillId="0" borderId="0" xfId="4" applyFont="1" applyAlignment="1">
      <alignment vertical="center" wrapText="1"/>
    </xf>
    <xf numFmtId="3" fontId="65" fillId="0" borderId="0" xfId="16" applyNumberFormat="1" applyFont="1" applyAlignment="1">
      <alignment vertical="center" wrapText="1"/>
    </xf>
    <xf numFmtId="3" fontId="53" fillId="0" borderId="2" xfId="4" applyNumberFormat="1" applyFont="1" applyBorder="1"/>
    <xf numFmtId="3" fontId="64" fillId="0" borderId="0" xfId="4" applyNumberFormat="1" applyFont="1"/>
    <xf numFmtId="3" fontId="52" fillId="0" borderId="0" xfId="16" applyNumberFormat="1" applyFont="1" applyAlignment="1">
      <alignment vertical="center" wrapText="1"/>
    </xf>
    <xf numFmtId="0" fontId="110" fillId="0" borderId="0" xfId="4" applyFont="1" applyAlignment="1">
      <alignment vertical="center"/>
    </xf>
    <xf numFmtId="0" fontId="51" fillId="0" borderId="0" xfId="16" applyFont="1" applyAlignment="1">
      <alignment horizontal="right" wrapText="1"/>
    </xf>
    <xf numFmtId="3" fontId="52" fillId="0" borderId="2" xfId="111" applyNumberFormat="1" applyFont="1" applyBorder="1" applyAlignment="1">
      <alignment horizontal="right" vertical="center" wrapText="1"/>
    </xf>
    <xf numFmtId="3" fontId="108" fillId="0" borderId="2" xfId="16" applyNumberFormat="1" applyFont="1" applyBorder="1" applyAlignment="1">
      <alignment vertical="center" wrapText="1"/>
    </xf>
    <xf numFmtId="0" fontId="65" fillId="0" borderId="6" xfId="4" applyFont="1" applyBorder="1" applyAlignment="1">
      <alignment vertical="center" wrapText="1"/>
    </xf>
    <xf numFmtId="0" fontId="53" fillId="0" borderId="6" xfId="16" applyFont="1" applyBorder="1" applyAlignment="1">
      <alignment vertical="center" wrapText="1"/>
    </xf>
    <xf numFmtId="0" fontId="53" fillId="0" borderId="0" xfId="113" applyFont="1"/>
    <xf numFmtId="3" fontId="53" fillId="0" borderId="2" xfId="4" applyNumberFormat="1" applyFont="1" applyBorder="1" applyAlignment="1">
      <alignment horizontal="right" vertical="center" wrapText="1"/>
    </xf>
    <xf numFmtId="0" fontId="52" fillId="0" borderId="0" xfId="4" applyFont="1" applyAlignment="1">
      <alignment vertical="center"/>
    </xf>
    <xf numFmtId="3" fontId="52" fillId="0" borderId="2" xfId="115" applyNumberFormat="1" applyFont="1" applyBorder="1" applyAlignment="1">
      <alignment horizontal="right" vertical="center"/>
    </xf>
    <xf numFmtId="3" fontId="108" fillId="0" borderId="0" xfId="4" applyNumberFormat="1" applyFont="1" applyAlignment="1">
      <alignment vertical="center" wrapText="1"/>
    </xf>
    <xf numFmtId="0" fontId="93" fillId="0" borderId="0" xfId="22" applyFont="1" applyAlignment="1">
      <alignment horizontal="right" vertical="center" readingOrder="2"/>
    </xf>
    <xf numFmtId="0" fontId="130" fillId="0" borderId="0" xfId="22" applyFont="1"/>
    <xf numFmtId="0" fontId="94" fillId="0" borderId="0" xfId="22" applyFont="1"/>
    <xf numFmtId="17" fontId="52" fillId="0" borderId="2" xfId="4" quotePrefix="1" applyNumberFormat="1" applyFont="1" applyBorder="1" applyAlignment="1">
      <alignment horizontal="right" vertical="center" wrapText="1"/>
    </xf>
    <xf numFmtId="17" fontId="123" fillId="0" borderId="2" xfId="4" quotePrefix="1" applyNumberFormat="1" applyFont="1" applyBorder="1" applyAlignment="1">
      <alignment horizontal="right" vertical="center" wrapText="1"/>
    </xf>
    <xf numFmtId="3" fontId="108" fillId="0" borderId="2" xfId="4" applyNumberFormat="1" applyFont="1" applyBorder="1" applyAlignment="1">
      <alignment horizontal="right" vertical="center" wrapText="1"/>
    </xf>
    <xf numFmtId="3" fontId="64" fillId="3" borderId="2" xfId="4" applyNumberFormat="1" applyFont="1" applyFill="1" applyBorder="1" applyAlignment="1">
      <alignment vertical="center" wrapText="1"/>
    </xf>
    <xf numFmtId="3" fontId="64" fillId="0" borderId="0" xfId="4" applyNumberFormat="1" applyFont="1" applyAlignment="1">
      <alignment horizontal="right" vertical="center" wrapText="1"/>
    </xf>
    <xf numFmtId="3" fontId="52" fillId="0" borderId="0" xfId="4" applyNumberFormat="1" applyFont="1" applyAlignment="1">
      <alignment vertical="center" wrapText="1"/>
    </xf>
    <xf numFmtId="3" fontId="52" fillId="0" borderId="0" xfId="4" applyNumberFormat="1" applyFont="1" applyAlignment="1">
      <alignment horizontal="right" vertical="center"/>
    </xf>
    <xf numFmtId="3" fontId="131" fillId="0" borderId="0" xfId="4" applyNumberFormat="1" applyFont="1" applyAlignment="1">
      <alignment vertical="center" wrapText="1"/>
    </xf>
    <xf numFmtId="3" fontId="131" fillId="0" borderId="0" xfId="4" applyNumberFormat="1" applyFont="1" applyAlignment="1">
      <alignment horizontal="right" vertical="center" wrapText="1"/>
    </xf>
    <xf numFmtId="0" fontId="115" fillId="0" borderId="0" xfId="4" applyFont="1"/>
    <xf numFmtId="0" fontId="108" fillId="0" borderId="0" xfId="16" applyFont="1"/>
    <xf numFmtId="17" fontId="108" fillId="0" borderId="2" xfId="4" quotePrefix="1" applyNumberFormat="1" applyFont="1" applyBorder="1" applyAlignment="1">
      <alignment horizontal="right" vertical="center" wrapText="1"/>
    </xf>
    <xf numFmtId="3" fontId="53" fillId="3" borderId="2" xfId="16" applyNumberFormat="1" applyFont="1" applyFill="1" applyBorder="1" applyAlignment="1">
      <alignment vertical="center" wrapText="1"/>
    </xf>
    <xf numFmtId="3" fontId="53" fillId="0" borderId="0" xfId="4" applyNumberFormat="1" applyFont="1" applyAlignment="1">
      <alignment vertical="center" wrapText="1"/>
    </xf>
    <xf numFmtId="3" fontId="53" fillId="0" borderId="0" xfId="4" applyNumberFormat="1" applyFont="1" applyAlignment="1">
      <alignment horizontal="right" wrapText="1"/>
    </xf>
    <xf numFmtId="0" fontId="52" fillId="0" borderId="2" xfId="4" applyFont="1" applyBorder="1" applyAlignment="1">
      <alignment horizontal="center" vertical="center" wrapText="1"/>
    </xf>
    <xf numFmtId="3" fontId="52" fillId="0" borderId="2" xfId="4" applyNumberFormat="1" applyFont="1" applyBorder="1" applyAlignment="1">
      <alignment horizontal="center" vertical="center" wrapText="1"/>
    </xf>
    <xf numFmtId="3" fontId="52" fillId="0" borderId="2" xfId="118" applyNumberFormat="1" applyFont="1" applyBorder="1" applyAlignment="1">
      <alignment horizontal="center" vertical="center" wrapText="1"/>
    </xf>
    <xf numFmtId="3" fontId="53" fillId="3" borderId="2" xfId="4" applyNumberFormat="1" applyFont="1" applyFill="1" applyBorder="1" applyAlignment="1">
      <alignment vertical="center" wrapText="1"/>
    </xf>
    <xf numFmtId="0" fontId="59" fillId="0" borderId="0" xfId="119" applyFont="1"/>
    <xf numFmtId="0" fontId="59" fillId="0" borderId="0" xfId="119" applyFont="1" applyAlignment="1">
      <alignment wrapText="1"/>
    </xf>
    <xf numFmtId="3" fontId="51" fillId="0" borderId="0" xfId="119" applyNumberFormat="1" applyFont="1"/>
    <xf numFmtId="0" fontId="51" fillId="0" borderId="0" xfId="119" applyFont="1"/>
    <xf numFmtId="0" fontId="51" fillId="0" borderId="0" xfId="119" applyFont="1" applyAlignment="1">
      <alignment wrapText="1"/>
    </xf>
    <xf numFmtId="3" fontId="59" fillId="0" borderId="0" xfId="119" applyNumberFormat="1" applyFont="1"/>
    <xf numFmtId="0" fontId="53" fillId="0" borderId="0" xfId="119" applyFont="1"/>
    <xf numFmtId="0" fontId="59" fillId="0" borderId="0" xfId="120" applyFont="1"/>
    <xf numFmtId="3" fontId="59" fillId="0" borderId="0" xfId="120" applyNumberFormat="1" applyFont="1"/>
    <xf numFmtId="3" fontId="52" fillId="0" borderId="0" xfId="4" applyNumberFormat="1" applyFont="1" applyAlignment="1">
      <alignment vertical="center"/>
    </xf>
    <xf numFmtId="3" fontId="53" fillId="0" borderId="2" xfId="121" applyNumberFormat="1" applyFont="1" applyBorder="1" applyAlignment="1">
      <alignment vertical="center" wrapText="1"/>
    </xf>
    <xf numFmtId="0" fontId="59" fillId="0" borderId="0" xfId="121" applyFont="1"/>
    <xf numFmtId="3" fontId="51" fillId="0" borderId="0" xfId="121" applyNumberFormat="1" applyFont="1"/>
    <xf numFmtId="0" fontId="51" fillId="0" borderId="0" xfId="121" applyFont="1"/>
    <xf numFmtId="0" fontId="53" fillId="0" borderId="0" xfId="121" applyFont="1" applyAlignment="1">
      <alignment vertical="center" wrapText="1"/>
    </xf>
    <xf numFmtId="0" fontId="53" fillId="0" borderId="0" xfId="121" applyFont="1"/>
    <xf numFmtId="3" fontId="52" fillId="0" borderId="2" xfId="121" applyNumberFormat="1" applyFont="1" applyBorder="1" applyAlignment="1">
      <alignment horizontal="right" vertical="center" wrapText="1"/>
    </xf>
    <xf numFmtId="3" fontId="52" fillId="0" borderId="2" xfId="121" applyNumberFormat="1" applyFont="1" applyBorder="1" applyAlignment="1">
      <alignment horizontal="right" vertical="center"/>
    </xf>
    <xf numFmtId="0" fontId="53" fillId="0" borderId="2" xfId="121" applyFont="1" applyBorder="1" applyAlignment="1">
      <alignment vertical="center" wrapText="1"/>
    </xf>
    <xf numFmtId="0" fontId="64" fillId="0" borderId="2" xfId="4" quotePrefix="1" applyFont="1" applyBorder="1" applyAlignment="1">
      <alignment vertical="center" wrapText="1"/>
    </xf>
    <xf numFmtId="3" fontId="52" fillId="0" borderId="2" xfId="122" applyNumberFormat="1" applyFont="1" applyBorder="1" applyAlignment="1">
      <alignment horizontal="right" vertical="center" wrapText="1"/>
    </xf>
    <xf numFmtId="3" fontId="64" fillId="0" borderId="0" xfId="4" applyNumberFormat="1" applyFont="1" applyAlignment="1">
      <alignment vertical="center" wrapText="1"/>
    </xf>
    <xf numFmtId="0" fontId="64" fillId="0" borderId="0" xfId="16" applyFont="1"/>
    <xf numFmtId="0" fontId="64" fillId="0" borderId="0" xfId="4" applyFont="1" applyAlignment="1">
      <alignment vertical="center"/>
    </xf>
    <xf numFmtId="165" fontId="55" fillId="0" borderId="0" xfId="10" applyNumberFormat="1" applyFont="1" applyAlignment="1">
      <alignment vertical="center" wrapText="1"/>
    </xf>
    <xf numFmtId="3" fontId="67" fillId="0" borderId="0" xfId="4" applyNumberFormat="1" applyFont="1" applyAlignment="1">
      <alignment horizontal="right" vertical="center"/>
    </xf>
    <xf numFmtId="3" fontId="66" fillId="0" borderId="2" xfId="4" applyNumberFormat="1" applyFont="1" applyBorder="1"/>
    <xf numFmtId="0" fontId="6" fillId="0" borderId="0" xfId="123"/>
    <xf numFmtId="0" fontId="132" fillId="0" borderId="0" xfId="16" applyFont="1"/>
    <xf numFmtId="0" fontId="58" fillId="0" borderId="0" xfId="16" applyFont="1"/>
    <xf numFmtId="3" fontId="58" fillId="0" borderId="0" xfId="16" applyNumberFormat="1" applyFont="1"/>
    <xf numFmtId="17" fontId="65" fillId="0" borderId="2" xfId="4" quotePrefix="1" applyNumberFormat="1" applyFont="1" applyBorder="1" applyAlignment="1">
      <alignment horizontal="right" vertical="center" wrapText="1"/>
    </xf>
    <xf numFmtId="0" fontId="133" fillId="0" borderId="0" xfId="16" applyFont="1"/>
    <xf numFmtId="0" fontId="134" fillId="0" borderId="0" xfId="4" applyFont="1"/>
    <xf numFmtId="0" fontId="118" fillId="0" borderId="0" xfId="119" applyFont="1"/>
    <xf numFmtId="3" fontId="118" fillId="0" borderId="0" xfId="120" applyNumberFormat="1" applyFont="1"/>
    <xf numFmtId="0" fontId="118" fillId="0" borderId="0" xfId="120" applyFont="1"/>
    <xf numFmtId="0" fontId="135" fillId="0" borderId="0" xfId="120" applyFont="1" applyAlignment="1">
      <alignment vertical="center"/>
    </xf>
    <xf numFmtId="0" fontId="64" fillId="0" borderId="0" xfId="16" applyFont="1" applyAlignment="1">
      <alignment wrapText="1"/>
    </xf>
    <xf numFmtId="3" fontId="64" fillId="0" borderId="0" xfId="16" applyNumberFormat="1" applyFont="1"/>
    <xf numFmtId="3" fontId="64" fillId="0" borderId="2" xfId="121" applyNumberFormat="1" applyFont="1" applyBorder="1" applyAlignment="1">
      <alignment vertical="center" wrapText="1"/>
    </xf>
    <xf numFmtId="0" fontId="64" fillId="0" borderId="0" xfId="16" applyFont="1" applyAlignment="1">
      <alignment vertical="center" wrapText="1"/>
    </xf>
    <xf numFmtId="3" fontId="64" fillId="0" borderId="2" xfId="16" applyNumberFormat="1" applyFont="1" applyBorder="1"/>
    <xf numFmtId="3" fontId="64" fillId="0" borderId="2" xfId="16" applyNumberFormat="1" applyFont="1" applyBorder="1" applyAlignment="1">
      <alignment horizontal="center"/>
    </xf>
    <xf numFmtId="3" fontId="64" fillId="0" borderId="0" xfId="16" applyNumberFormat="1" applyFont="1" applyAlignment="1">
      <alignment horizontal="center"/>
    </xf>
    <xf numFmtId="0" fontId="136" fillId="0" borderId="0" xfId="16" applyFont="1"/>
    <xf numFmtId="0" fontId="136" fillId="0" borderId="0" xfId="16" applyFont="1" applyAlignment="1">
      <alignment wrapText="1"/>
    </xf>
    <xf numFmtId="3" fontId="105" fillId="0" borderId="0" xfId="16" applyNumberFormat="1" applyFont="1"/>
    <xf numFmtId="0" fontId="105" fillId="0" borderId="0" xfId="16" applyFont="1"/>
    <xf numFmtId="0" fontId="57" fillId="0" borderId="0" xfId="16" applyFont="1" applyAlignment="1">
      <alignment wrapText="1"/>
    </xf>
    <xf numFmtId="0" fontId="118" fillId="0" borderId="0" xfId="121" applyFont="1"/>
    <xf numFmtId="0" fontId="57" fillId="0" borderId="0" xfId="16" applyFont="1" applyAlignment="1">
      <alignment vertical="center"/>
    </xf>
    <xf numFmtId="0" fontId="65" fillId="0" borderId="0" xfId="16" applyFont="1" applyAlignment="1">
      <alignment horizontal="right" vertical="center" wrapText="1"/>
    </xf>
    <xf numFmtId="3" fontId="65" fillId="0" borderId="2" xfId="120" applyNumberFormat="1" applyFont="1" applyBorder="1" applyAlignment="1">
      <alignment horizontal="right" vertical="center"/>
    </xf>
    <xf numFmtId="3" fontId="71" fillId="0" borderId="0" xfId="22" applyNumberFormat="1" applyFont="1" applyAlignment="1">
      <alignment horizontal="right" vertical="center" readingOrder="2"/>
    </xf>
    <xf numFmtId="0" fontId="108" fillId="0" borderId="0" xfId="16" applyFont="1" applyAlignment="1">
      <alignment vertical="center"/>
    </xf>
    <xf numFmtId="0" fontId="97" fillId="0" borderId="0" xfId="4" applyFont="1"/>
    <xf numFmtId="0" fontId="100" fillId="0" borderId="0" xfId="4" applyFont="1"/>
    <xf numFmtId="3" fontId="52" fillId="0" borderId="2" xfId="125" applyNumberFormat="1" applyFont="1" applyBorder="1" applyAlignment="1">
      <alignment horizontal="center" vertical="center" wrapText="1"/>
    </xf>
    <xf numFmtId="0" fontId="137" fillId="0" borderId="0" xfId="16" applyFont="1"/>
    <xf numFmtId="3" fontId="109" fillId="0" borderId="2" xfId="4" applyNumberFormat="1" applyFont="1" applyBorder="1" applyAlignment="1">
      <alignment vertical="center" wrapText="1"/>
    </xf>
    <xf numFmtId="0" fontId="55" fillId="0" borderId="2" xfId="4" applyFont="1" applyBorder="1" applyAlignment="1">
      <alignment wrapText="1"/>
    </xf>
    <xf numFmtId="0" fontId="51" fillId="0" borderId="0" xfId="4" applyFont="1" applyFill="1" applyAlignment="1">
      <alignment horizontal="right"/>
    </xf>
    <xf numFmtId="3" fontId="51" fillId="0" borderId="0" xfId="4" applyNumberFormat="1" applyFont="1" applyFill="1"/>
    <xf numFmtId="3" fontId="138" fillId="0" borderId="0" xfId="107" applyNumberFormat="1" applyFont="1" applyFill="1"/>
    <xf numFmtId="0" fontId="138" fillId="0" borderId="0" xfId="107" applyFont="1" applyFill="1"/>
    <xf numFmtId="0" fontId="51" fillId="0" borderId="0" xfId="4" applyFont="1" applyFill="1" applyBorder="1" applyAlignment="1">
      <alignment horizontal="right" vertical="center" wrapText="1"/>
    </xf>
    <xf numFmtId="0" fontId="59" fillId="0" borderId="0" xfId="16" applyFont="1" applyFill="1" applyAlignment="1">
      <alignment horizontal="right"/>
    </xf>
    <xf numFmtId="3" fontId="64" fillId="0" borderId="2" xfId="4" quotePrefix="1" applyNumberFormat="1" applyFont="1" applyBorder="1" applyAlignment="1">
      <alignment vertical="center" wrapText="1"/>
    </xf>
    <xf numFmtId="0" fontId="64" fillId="0" borderId="0" xfId="4" applyFont="1"/>
    <xf numFmtId="0" fontId="55" fillId="0" borderId="0" xfId="4" applyFont="1" applyAlignment="1">
      <alignment vertical="center"/>
    </xf>
    <xf numFmtId="0" fontId="140" fillId="0" borderId="0" xfId="4" applyFont="1" applyAlignment="1">
      <alignment vertical="center"/>
    </xf>
    <xf numFmtId="3" fontId="51" fillId="0" borderId="0" xfId="16" applyNumberFormat="1" applyFont="1" applyAlignment="1">
      <alignment horizontal="right" wrapText="1"/>
    </xf>
    <xf numFmtId="3" fontId="102" fillId="0" borderId="0" xfId="4" applyNumberFormat="1" applyFont="1" applyBorder="1" applyAlignment="1">
      <alignment horizontal="right" vertical="center"/>
    </xf>
    <xf numFmtId="0" fontId="125" fillId="0" borderId="4" xfId="4" applyFont="1" applyBorder="1"/>
    <xf numFmtId="0" fontId="125" fillId="0" borderId="6" xfId="4" applyFont="1" applyBorder="1"/>
    <xf numFmtId="0" fontId="85" fillId="0" borderId="0" xfId="22" applyFont="1" applyBorder="1" applyAlignment="1">
      <alignment vertical="center" readingOrder="2"/>
    </xf>
    <xf numFmtId="3" fontId="73" fillId="0" borderId="0" xfId="22" applyNumberFormat="1" applyFont="1" applyBorder="1" applyAlignment="1">
      <alignment horizontal="center" vertical="center" readingOrder="2"/>
    </xf>
    <xf numFmtId="164" fontId="83" fillId="0" borderId="0" xfId="9" applyNumberFormat="1" applyFont="1" applyBorder="1" applyAlignment="1">
      <alignment vertical="center" readingOrder="2"/>
    </xf>
    <xf numFmtId="0" fontId="85" fillId="0" borderId="0" xfId="30" applyFont="1" applyAlignment="1">
      <alignment vertical="center" readingOrder="2"/>
    </xf>
    <xf numFmtId="0" fontId="3" fillId="0" borderId="0" xfId="30" applyFont="1"/>
    <xf numFmtId="165" fontId="53" fillId="0" borderId="0" xfId="12" applyNumberFormat="1" applyFont="1"/>
    <xf numFmtId="165" fontId="53" fillId="0" borderId="0" xfId="12" applyNumberFormat="1" applyFont="1" applyAlignment="1">
      <alignment wrapText="1"/>
    </xf>
    <xf numFmtId="165" fontId="52" fillId="0" borderId="0" xfId="12" applyNumberFormat="1" applyFont="1" applyAlignment="1">
      <alignment horizontal="right" vertical="center" wrapText="1"/>
    </xf>
    <xf numFmtId="0" fontId="52" fillId="0" borderId="9" xfId="4" applyFont="1" applyFill="1" applyBorder="1" applyAlignment="1">
      <alignment vertical="center" wrapText="1"/>
    </xf>
    <xf numFmtId="0" fontId="65" fillId="0" borderId="9" xfId="4" applyFont="1" applyFill="1" applyBorder="1" applyAlignment="1">
      <alignment vertical="center" wrapText="1"/>
    </xf>
    <xf numFmtId="0" fontId="52" fillId="0" borderId="9" xfId="16" applyFont="1" applyFill="1" applyBorder="1" applyAlignment="1">
      <alignment vertical="center" wrapText="1"/>
    </xf>
    <xf numFmtId="3" fontId="52" fillId="0" borderId="9" xfId="4" applyNumberFormat="1" applyFont="1" applyFill="1" applyBorder="1" applyAlignment="1">
      <alignment vertical="center" wrapText="1"/>
    </xf>
    <xf numFmtId="0" fontId="53" fillId="0" borderId="0" xfId="16" applyFont="1" applyFill="1" applyBorder="1" applyAlignment="1"/>
    <xf numFmtId="0" fontId="53" fillId="0" borderId="0" xfId="16" applyFont="1" applyFill="1" applyBorder="1" applyAlignment="1">
      <alignment vertical="center"/>
    </xf>
    <xf numFmtId="0" fontId="53" fillId="0" borderId="0" xfId="16" applyFont="1" applyFill="1" applyBorder="1" applyAlignment="1">
      <alignment wrapText="1"/>
    </xf>
    <xf numFmtId="0" fontId="53" fillId="0" borderId="0" xfId="16" applyFont="1" applyFill="1" applyBorder="1" applyAlignment="1">
      <alignment horizontal="right" wrapText="1"/>
    </xf>
    <xf numFmtId="0" fontId="53" fillId="0" borderId="0" xfId="16" applyFont="1" applyFill="1" applyBorder="1"/>
    <xf numFmtId="0" fontId="59" fillId="0" borderId="0" xfId="107" applyFont="1" applyFill="1" applyBorder="1" applyAlignment="1"/>
    <xf numFmtId="3" fontId="11" fillId="0" borderId="0" xfId="107" applyNumberFormat="1" applyFill="1" applyBorder="1"/>
    <xf numFmtId="0" fontId="11" fillId="0" borderId="0" xfId="107" applyFill="1" applyBorder="1"/>
    <xf numFmtId="0" fontId="57" fillId="0" borderId="0" xfId="16" applyBorder="1" applyAlignment="1">
      <alignment wrapText="1"/>
    </xf>
    <xf numFmtId="0" fontId="11" fillId="0" borderId="0" xfId="108" applyBorder="1"/>
    <xf numFmtId="165" fontId="65" fillId="0" borderId="0" xfId="10" applyNumberFormat="1" applyFont="1" applyFill="1" applyBorder="1" applyAlignment="1">
      <alignment wrapText="1"/>
    </xf>
    <xf numFmtId="0" fontId="57" fillId="0" borderId="0" xfId="16" applyBorder="1"/>
    <xf numFmtId="0" fontId="53" fillId="0" borderId="0" xfId="16" applyFont="1" applyBorder="1" applyAlignment="1">
      <alignment vertical="center"/>
    </xf>
    <xf numFmtId="0" fontId="65" fillId="0" borderId="9" xfId="4" applyFont="1" applyBorder="1" applyAlignment="1">
      <alignment vertical="center" wrapText="1"/>
    </xf>
    <xf numFmtId="0" fontId="53" fillId="0" borderId="0" xfId="16" applyFont="1" applyBorder="1"/>
    <xf numFmtId="3" fontId="108" fillId="0" borderId="0" xfId="16" applyNumberFormat="1" applyFont="1" applyBorder="1"/>
    <xf numFmtId="3" fontId="65" fillId="0" borderId="9" xfId="4" applyNumberFormat="1" applyFont="1" applyFill="1" applyBorder="1" applyAlignment="1">
      <alignment vertical="center"/>
    </xf>
    <xf numFmtId="0" fontId="64" fillId="0" borderId="0" xfId="4" applyFont="1" applyFill="1" applyBorder="1" applyAlignment="1">
      <alignment vertical="center"/>
    </xf>
    <xf numFmtId="0" fontId="64" fillId="0" borderId="0" xfId="4" applyFont="1" applyFill="1" applyBorder="1" applyAlignment="1">
      <alignment vertical="center" wrapText="1"/>
    </xf>
    <xf numFmtId="3" fontId="64" fillId="0" borderId="0" xfId="4" applyNumberFormat="1" applyFont="1" applyFill="1" applyBorder="1" applyAlignment="1">
      <alignment vertical="center"/>
    </xf>
    <xf numFmtId="0" fontId="59" fillId="0" borderId="0" xfId="16" applyFont="1" applyFill="1" applyBorder="1" applyAlignment="1">
      <alignment horizontal="right"/>
    </xf>
    <xf numFmtId="0" fontId="64" fillId="0" borderId="0" xfId="16" applyFont="1" applyFill="1" applyBorder="1"/>
    <xf numFmtId="3" fontId="64" fillId="0" borderId="0" xfId="4" applyNumberFormat="1" applyFont="1" applyAlignment="1">
      <alignment vertical="center"/>
    </xf>
    <xf numFmtId="0" fontId="111" fillId="0" borderId="0" xfId="16" applyFont="1" applyAlignment="1">
      <alignment horizontal="right" wrapText="1"/>
    </xf>
    <xf numFmtId="0" fontId="64" fillId="0" borderId="2" xfId="16" applyFont="1" applyFill="1" applyBorder="1" applyAlignment="1">
      <alignment vertical="center" wrapText="1"/>
    </xf>
    <xf numFmtId="3" fontId="64" fillId="0" borderId="0" xfId="16" applyNumberFormat="1" applyFont="1" applyBorder="1" applyAlignment="1">
      <alignment vertical="center" wrapText="1"/>
    </xf>
    <xf numFmtId="0" fontId="64" fillId="0" borderId="0" xfId="16" applyFont="1" applyBorder="1" applyAlignment="1">
      <alignment vertical="center" wrapText="1"/>
    </xf>
    <xf numFmtId="165" fontId="64" fillId="0" borderId="0" xfId="10" applyNumberFormat="1" applyFont="1" applyFill="1" applyAlignment="1">
      <alignment wrapText="1"/>
    </xf>
    <xf numFmtId="0" fontId="59" fillId="0" borderId="0" xfId="4" applyFont="1" applyAlignment="1">
      <alignment horizontal="right"/>
    </xf>
    <xf numFmtId="0" fontId="51" fillId="0" borderId="0" xfId="4" applyFont="1" applyAlignment="1">
      <alignment horizontal="right" wrapText="1"/>
    </xf>
    <xf numFmtId="0" fontId="53" fillId="0" borderId="0" xfId="4" applyFont="1" applyAlignment="1">
      <alignment horizontal="right" wrapText="1"/>
    </xf>
    <xf numFmtId="0" fontId="64" fillId="0" borderId="0" xfId="16" applyFont="1" applyBorder="1" applyAlignment="1">
      <alignment horizontal="right" vertical="center" wrapText="1"/>
    </xf>
    <xf numFmtId="0" fontId="65" fillId="0" borderId="0" xfId="16" applyFont="1" applyBorder="1" applyAlignment="1">
      <alignment horizontal="right" vertical="center" wrapText="1"/>
    </xf>
    <xf numFmtId="0" fontId="53" fillId="0" borderId="0" xfId="4" applyFont="1" applyAlignment="1">
      <alignment horizontal="right"/>
    </xf>
    <xf numFmtId="0" fontId="96" fillId="0" borderId="0" xfId="4" quotePrefix="1" applyFont="1" applyAlignment="1">
      <alignment horizontal="right"/>
    </xf>
    <xf numFmtId="0" fontId="53" fillId="0" borderId="2" xfId="4" applyFont="1" applyBorder="1" applyAlignment="1">
      <alignment horizontal="right" vertical="center" wrapText="1" readingOrder="2"/>
    </xf>
    <xf numFmtId="0" fontId="64" fillId="0" borderId="0" xfId="4" applyFont="1" applyBorder="1" applyAlignment="1">
      <alignment horizontal="right" vertical="center" wrapText="1"/>
    </xf>
    <xf numFmtId="0" fontId="65" fillId="0" borderId="0" xfId="4" applyFont="1" applyBorder="1" applyAlignment="1">
      <alignment horizontal="right" vertical="center" wrapText="1"/>
    </xf>
    <xf numFmtId="0" fontId="65" fillId="0" borderId="0" xfId="16" applyFont="1" applyAlignment="1">
      <alignment vertical="center"/>
    </xf>
    <xf numFmtId="165" fontId="65" fillId="0" borderId="0" xfId="10" applyNumberFormat="1" applyFont="1" applyFill="1" applyAlignment="1">
      <alignment vertical="center" wrapText="1"/>
    </xf>
    <xf numFmtId="3" fontId="120" fillId="0" borderId="2" xfId="4" applyNumberFormat="1" applyFont="1" applyBorder="1" applyAlignment="1">
      <alignment vertical="center" wrapText="1"/>
    </xf>
    <xf numFmtId="3" fontId="65" fillId="0" borderId="2" xfId="4" quotePrefix="1" applyNumberFormat="1" applyFont="1" applyBorder="1" applyAlignment="1">
      <alignment vertical="center" wrapText="1"/>
    </xf>
    <xf numFmtId="0" fontId="59" fillId="0" borderId="0" xfId="16" applyFont="1" applyAlignment="1">
      <alignment horizontal="right" wrapText="1"/>
    </xf>
    <xf numFmtId="0" fontId="64" fillId="0" borderId="0" xfId="16" applyFont="1" applyAlignment="1">
      <alignment horizontal="right" vertical="center" wrapText="1"/>
    </xf>
    <xf numFmtId="3" fontId="53" fillId="0" borderId="0" xfId="16" applyNumberFormat="1" applyFont="1" applyAlignment="1">
      <alignment horizontal="right" wrapText="1"/>
    </xf>
    <xf numFmtId="3" fontId="64" fillId="0" borderId="0" xfId="4" applyNumberFormat="1" applyFont="1" applyAlignment="1">
      <alignment horizontal="right" vertical="center"/>
    </xf>
    <xf numFmtId="0" fontId="105" fillId="0" borderId="0" xfId="16" applyFont="1" applyAlignment="1">
      <alignment horizontal="right" wrapText="1"/>
    </xf>
    <xf numFmtId="0" fontId="97" fillId="0" borderId="0" xfId="4" applyFont="1" applyAlignment="1">
      <alignment horizontal="right"/>
    </xf>
    <xf numFmtId="0" fontId="100" fillId="0" borderId="0" xfId="4" applyFont="1" applyAlignment="1">
      <alignment horizontal="right"/>
    </xf>
    <xf numFmtId="0" fontId="57" fillId="0" borderId="0" xfId="16" applyAlignment="1">
      <alignment horizontal="right"/>
    </xf>
    <xf numFmtId="3" fontId="52" fillId="0" borderId="2" xfId="125" applyNumberFormat="1" applyFont="1" applyBorder="1" applyAlignment="1">
      <alignment horizontal="right" vertical="center" wrapText="1"/>
    </xf>
    <xf numFmtId="0" fontId="53" fillId="4" borderId="2" xfId="4" applyFont="1" applyFill="1" applyBorder="1" applyAlignment="1">
      <alignment horizontal="right" vertical="center" wrapText="1"/>
    </xf>
    <xf numFmtId="0" fontId="65" fillId="0" borderId="0" xfId="4" applyFont="1" applyAlignment="1">
      <alignment horizontal="right" vertical="center" wrapText="1"/>
    </xf>
    <xf numFmtId="3" fontId="52" fillId="0" borderId="0" xfId="4" applyNumberFormat="1" applyFont="1"/>
    <xf numFmtId="3" fontId="121" fillId="0" borderId="2" xfId="4" applyNumberFormat="1" applyFont="1" applyBorder="1" applyAlignment="1">
      <alignment vertical="center" wrapText="1"/>
    </xf>
    <xf numFmtId="3" fontId="123" fillId="0" borderId="2" xfId="4" applyNumberFormat="1" applyFont="1" applyBorder="1" applyAlignment="1">
      <alignment vertical="center" wrapText="1"/>
    </xf>
    <xf numFmtId="3" fontId="65" fillId="0" borderId="2" xfId="16" applyNumberFormat="1" applyFont="1" applyBorder="1" applyAlignment="1">
      <alignment horizontal="center" vertical="center" wrapText="1"/>
    </xf>
    <xf numFmtId="3" fontId="65" fillId="0" borderId="2" xfId="108" applyNumberFormat="1" applyFont="1" applyBorder="1" applyAlignment="1">
      <alignment vertical="center" wrapText="1"/>
    </xf>
    <xf numFmtId="3" fontId="52" fillId="0" borderId="2" xfId="108" applyNumberFormat="1" applyFont="1" applyBorder="1" applyAlignment="1">
      <alignment vertical="center" wrapText="1"/>
    </xf>
    <xf numFmtId="0" fontId="52" fillId="0" borderId="2" xfId="108" applyFont="1" applyBorder="1" applyAlignment="1">
      <alignment vertical="center" wrapText="1"/>
    </xf>
    <xf numFmtId="3" fontId="52" fillId="0" borderId="2" xfId="108" applyNumberFormat="1" applyFont="1" applyFill="1" applyBorder="1" applyAlignment="1">
      <alignment vertical="center" wrapText="1"/>
    </xf>
    <xf numFmtId="3" fontId="141" fillId="0" borderId="2" xfId="108" applyNumberFormat="1" applyFont="1" applyFill="1" applyBorder="1" applyAlignment="1">
      <alignment vertical="center" wrapText="1"/>
    </xf>
    <xf numFmtId="0" fontId="137" fillId="0" borderId="0" xfId="16" applyFont="1" applyAlignment="1">
      <alignment wrapText="1"/>
    </xf>
    <xf numFmtId="0" fontId="62" fillId="0" borderId="0" xfId="108" applyFont="1"/>
    <xf numFmtId="0" fontId="137" fillId="0" borderId="0" xfId="16" applyFont="1" applyAlignment="1">
      <alignment vertical="center"/>
    </xf>
    <xf numFmtId="0" fontId="136" fillId="0" borderId="0" xfId="16" applyFont="1" applyFill="1" applyAlignment="1">
      <alignment horizontal="right"/>
    </xf>
    <xf numFmtId="0" fontId="52" fillId="0" borderId="2" xfId="4" quotePrefix="1" applyFont="1" applyFill="1" applyBorder="1" applyAlignment="1">
      <alignment vertical="center" wrapText="1"/>
    </xf>
    <xf numFmtId="0" fontId="52" fillId="0" borderId="0" xfId="16" applyFont="1" applyFill="1" applyAlignment="1">
      <alignment wrapText="1"/>
    </xf>
    <xf numFmtId="0" fontId="137" fillId="0" borderId="0" xfId="16" applyFont="1" applyAlignment="1"/>
    <xf numFmtId="0" fontId="2" fillId="0" borderId="0" xfId="123" applyFont="1"/>
    <xf numFmtId="0" fontId="142" fillId="0" borderId="0" xfId="16" applyFont="1"/>
    <xf numFmtId="0" fontId="143" fillId="0" borderId="0" xfId="16" applyFont="1"/>
    <xf numFmtId="0" fontId="53" fillId="0" borderId="13" xfId="16" applyFont="1" applyBorder="1"/>
    <xf numFmtId="0" fontId="53" fillId="0" borderId="14" xfId="16" applyFont="1" applyBorder="1"/>
    <xf numFmtId="0" fontId="52" fillId="0" borderId="14" xfId="16" applyFont="1" applyBorder="1" applyAlignment="1">
      <alignment horizontal="center"/>
    </xf>
    <xf numFmtId="0" fontId="52" fillId="0" borderId="14" xfId="16" applyFont="1" applyBorder="1" applyAlignment="1">
      <alignment horizontal="center" wrapText="1"/>
    </xf>
    <xf numFmtId="0" fontId="53" fillId="0" borderId="17" xfId="16" applyFont="1" applyBorder="1" applyAlignment="1">
      <alignment horizontal="center" vertical="center" wrapText="1"/>
    </xf>
    <xf numFmtId="0" fontId="53" fillId="0" borderId="2" xfId="16" applyFont="1" applyBorder="1" applyAlignment="1">
      <alignment horizontal="center" vertical="center" wrapText="1"/>
    </xf>
    <xf numFmtId="0" fontId="52" fillId="0" borderId="2" xfId="16" applyFont="1" applyBorder="1" applyAlignment="1">
      <alignment horizontal="center" vertical="center" wrapText="1"/>
    </xf>
    <xf numFmtId="0" fontId="53" fillId="0" borderId="0" xfId="16" applyFont="1" applyAlignment="1">
      <alignment horizontal="center" vertical="center" wrapText="1"/>
    </xf>
    <xf numFmtId="3" fontId="53" fillId="0" borderId="2" xfId="16" applyNumberFormat="1" applyFont="1" applyBorder="1" applyAlignment="1">
      <alignment vertical="center"/>
    </xf>
    <xf numFmtId="0" fontId="53" fillId="0" borderId="17" xfId="16" applyFont="1" applyBorder="1" applyAlignment="1">
      <alignment horizontal="right" vertical="center" wrapText="1"/>
    </xf>
    <xf numFmtId="3" fontId="53" fillId="3" borderId="2" xfId="16" applyNumberFormat="1" applyFont="1" applyFill="1" applyBorder="1" applyAlignment="1">
      <alignment vertical="center"/>
    </xf>
    <xf numFmtId="3" fontId="53" fillId="0" borderId="18" xfId="16" applyNumberFormat="1" applyFont="1" applyBorder="1" applyAlignment="1">
      <alignment vertical="center"/>
    </xf>
    <xf numFmtId="3" fontId="52" fillId="0" borderId="2" xfId="16" applyNumberFormat="1" applyFont="1" applyBorder="1" applyAlignment="1">
      <alignment vertical="center"/>
    </xf>
    <xf numFmtId="0" fontId="52" fillId="0" borderId="17" xfId="16" applyFont="1" applyBorder="1" applyAlignment="1">
      <alignment horizontal="right" vertical="center"/>
    </xf>
    <xf numFmtId="3" fontId="113" fillId="0" borderId="2" xfId="16" applyNumberFormat="1" applyFont="1" applyBorder="1" applyAlignment="1">
      <alignment vertical="center"/>
    </xf>
    <xf numFmtId="3" fontId="144" fillId="0" borderId="2" xfId="16" applyNumberFormat="1" applyFont="1" applyBorder="1" applyAlignment="1">
      <alignment vertical="center"/>
    </xf>
    <xf numFmtId="3" fontId="53" fillId="0" borderId="6" xfId="16" applyNumberFormat="1" applyFont="1" applyBorder="1" applyAlignment="1">
      <alignment vertical="center"/>
    </xf>
    <xf numFmtId="3" fontId="52" fillId="0" borderId="18" xfId="16" applyNumberFormat="1" applyFont="1" applyBorder="1" applyAlignment="1">
      <alignment vertical="center"/>
    </xf>
    <xf numFmtId="3" fontId="123" fillId="0" borderId="2" xfId="16" applyNumberFormat="1" applyFont="1" applyBorder="1" applyAlignment="1">
      <alignment vertical="center"/>
    </xf>
    <xf numFmtId="0" fontId="53" fillId="0" borderId="17" xfId="16" applyFont="1" applyBorder="1" applyAlignment="1">
      <alignment vertical="center"/>
    </xf>
    <xf numFmtId="0" fontId="142" fillId="0" borderId="0" xfId="16" applyFont="1" applyAlignment="1">
      <alignment vertical="center"/>
    </xf>
    <xf numFmtId="0" fontId="143" fillId="0" borderId="0" xfId="16" applyFont="1" applyAlignment="1">
      <alignment vertical="center"/>
    </xf>
    <xf numFmtId="0" fontId="52" fillId="0" borderId="0" xfId="16" applyFont="1" applyAlignment="1">
      <alignment vertical="center"/>
    </xf>
    <xf numFmtId="0" fontId="52" fillId="0" borderId="17" xfId="16" applyFont="1" applyBorder="1" applyAlignment="1">
      <alignment vertical="center"/>
    </xf>
    <xf numFmtId="0" fontId="108" fillId="0" borderId="2" xfId="16" applyFont="1" applyBorder="1" applyAlignment="1">
      <alignment vertical="center"/>
    </xf>
    <xf numFmtId="0" fontId="123" fillId="0" borderId="2" xfId="16" applyFont="1" applyBorder="1" applyAlignment="1">
      <alignment vertical="center"/>
    </xf>
    <xf numFmtId="0" fontId="123" fillId="0" borderId="0" xfId="16" applyFont="1" applyAlignment="1">
      <alignment vertical="center"/>
    </xf>
    <xf numFmtId="0" fontId="52" fillId="0" borderId="19" xfId="16" applyFont="1" applyBorder="1" applyAlignment="1">
      <alignment vertical="center"/>
    </xf>
    <xf numFmtId="0" fontId="52" fillId="0" borderId="20" xfId="16" applyFont="1" applyBorder="1" applyAlignment="1">
      <alignment vertical="center"/>
    </xf>
    <xf numFmtId="0" fontId="52" fillId="0" borderId="20" xfId="16" applyFont="1" applyBorder="1" applyAlignment="1">
      <alignment vertical="center" wrapText="1"/>
    </xf>
    <xf numFmtId="3" fontId="52" fillId="0" borderId="20" xfId="16" applyNumberFormat="1" applyFont="1" applyBorder="1" applyAlignment="1">
      <alignment vertical="center"/>
    </xf>
    <xf numFmtId="3" fontId="52" fillId="0" borderId="20" xfId="16" applyNumberFormat="1" applyFont="1" applyBorder="1" applyAlignment="1">
      <alignment vertical="center" wrapText="1"/>
    </xf>
    <xf numFmtId="0" fontId="53" fillId="0" borderId="39" xfId="16" applyFont="1" applyBorder="1"/>
    <xf numFmtId="0" fontId="53" fillId="0" borderId="4" xfId="16" applyFont="1" applyBorder="1" applyAlignment="1">
      <alignment horizontal="center" vertical="center" wrapText="1"/>
    </xf>
    <xf numFmtId="0" fontId="53" fillId="0" borderId="4" xfId="16" applyFont="1" applyBorder="1" applyAlignment="1">
      <alignment vertical="center"/>
    </xf>
    <xf numFmtId="0" fontId="52" fillId="0" borderId="4" xfId="16" applyFont="1" applyBorder="1" applyAlignment="1">
      <alignment vertical="center"/>
    </xf>
    <xf numFmtId="0" fontId="52" fillId="0" borderId="4" xfId="16" applyFont="1" applyBorder="1" applyAlignment="1">
      <alignment horizontal="right" vertical="center"/>
    </xf>
    <xf numFmtId="0" fontId="52" fillId="0" borderId="4" xfId="16" applyFont="1" applyBorder="1" applyAlignment="1">
      <alignment vertical="center" wrapText="1"/>
    </xf>
    <xf numFmtId="0" fontId="52" fillId="0" borderId="41" xfId="16" applyFont="1" applyBorder="1" applyAlignment="1">
      <alignment vertical="center"/>
    </xf>
    <xf numFmtId="0" fontId="52" fillId="0" borderId="40" xfId="16" applyFont="1" applyBorder="1" applyAlignment="1">
      <alignment horizontal="center"/>
    </xf>
    <xf numFmtId="0" fontId="52" fillId="0" borderId="6" xfId="16" applyFont="1" applyBorder="1" applyAlignment="1">
      <alignment horizontal="center" vertical="center" wrapText="1"/>
    </xf>
    <xf numFmtId="0" fontId="53" fillId="0" borderId="6" xfId="16" applyFont="1" applyBorder="1" applyAlignment="1">
      <alignment vertical="center"/>
    </xf>
    <xf numFmtId="3" fontId="52" fillId="0" borderId="6" xfId="16" applyNumberFormat="1" applyFont="1" applyBorder="1" applyAlignment="1">
      <alignment vertical="center"/>
    </xf>
    <xf numFmtId="0" fontId="108" fillId="0" borderId="6" xfId="16" applyFont="1" applyBorder="1" applyAlignment="1">
      <alignment vertical="center"/>
    </xf>
    <xf numFmtId="3" fontId="53" fillId="3" borderId="6" xfId="16" applyNumberFormat="1" applyFont="1" applyFill="1" applyBorder="1" applyAlignment="1">
      <alignment vertical="center"/>
    </xf>
    <xf numFmtId="3" fontId="52" fillId="0" borderId="23" xfId="16" applyNumberFormat="1" applyFont="1" applyBorder="1" applyAlignment="1">
      <alignment vertical="center"/>
    </xf>
    <xf numFmtId="3" fontId="123" fillId="0" borderId="6" xfId="16" applyNumberFormat="1" applyFont="1" applyBorder="1" applyAlignment="1">
      <alignment vertical="center"/>
    </xf>
    <xf numFmtId="3" fontId="52" fillId="0" borderId="24" xfId="16" applyNumberFormat="1" applyFont="1" applyBorder="1" applyAlignment="1">
      <alignment vertical="center"/>
    </xf>
    <xf numFmtId="0" fontId="52" fillId="0" borderId="18" xfId="16" applyFont="1" applyBorder="1" applyAlignment="1">
      <alignment horizontal="center" vertical="center" wrapText="1"/>
    </xf>
    <xf numFmtId="0" fontId="53" fillId="0" borderId="18" xfId="16" applyFont="1" applyBorder="1" applyAlignment="1">
      <alignment vertical="center"/>
    </xf>
    <xf numFmtId="0" fontId="143" fillId="0" borderId="18" xfId="16" applyFont="1" applyBorder="1" applyAlignment="1">
      <alignment horizontal="center" vertical="center"/>
    </xf>
    <xf numFmtId="3" fontId="53" fillId="0" borderId="18" xfId="4" applyNumberFormat="1" applyFont="1" applyBorder="1" applyAlignment="1">
      <alignment vertical="center" wrapText="1"/>
    </xf>
    <xf numFmtId="3" fontId="52" fillId="0" borderId="17" xfId="16" applyNumberFormat="1" applyFont="1" applyBorder="1" applyAlignment="1">
      <alignment vertical="center"/>
    </xf>
    <xf numFmtId="3" fontId="52" fillId="0" borderId="21" xfId="16" applyNumberFormat="1" applyFont="1" applyBorder="1" applyAlignment="1">
      <alignment vertical="center"/>
    </xf>
    <xf numFmtId="0" fontId="65" fillId="0" borderId="2" xfId="4" applyFont="1" applyBorder="1" applyAlignment="1">
      <alignment horizontal="center" vertical="center"/>
    </xf>
    <xf numFmtId="0" fontId="65" fillId="0" borderId="2" xfId="4" applyFont="1" applyBorder="1"/>
    <xf numFmtId="3" fontId="108" fillId="0" borderId="2" xfId="4" applyNumberFormat="1" applyFont="1" applyBorder="1" applyAlignment="1">
      <alignment vertical="center"/>
    </xf>
    <xf numFmtId="0" fontId="52" fillId="0" borderId="0" xfId="4" quotePrefix="1" applyFont="1" applyAlignment="1">
      <alignment horizontal="center" vertical="center"/>
    </xf>
    <xf numFmtId="0" fontId="64" fillId="0" borderId="0" xfId="4" quotePrefix="1" applyFont="1" applyAlignment="1">
      <alignment horizontal="center" vertical="center"/>
    </xf>
    <xf numFmtId="0" fontId="117" fillId="0" borderId="0" xfId="116" applyFont="1" applyAlignment="1">
      <alignment vertical="center"/>
    </xf>
    <xf numFmtId="0" fontId="53" fillId="0" borderId="0" xfId="4" applyFont="1" applyAlignment="1">
      <alignment vertical="center"/>
    </xf>
    <xf numFmtId="3" fontId="65" fillId="0" borderId="2" xfId="16" applyNumberFormat="1" applyFont="1" applyBorder="1" applyAlignment="1">
      <alignment horizontal="right" vertical="center"/>
    </xf>
    <xf numFmtId="3" fontId="65" fillId="0" borderId="2" xfId="117" applyNumberFormat="1" applyFont="1" applyBorder="1" applyAlignment="1">
      <alignment horizontal="right" vertical="center" wrapText="1"/>
    </xf>
    <xf numFmtId="3" fontId="64" fillId="3" borderId="2" xfId="16" applyNumberFormat="1" applyFont="1" applyFill="1" applyBorder="1" applyAlignment="1">
      <alignment vertical="center" wrapText="1"/>
    </xf>
    <xf numFmtId="0" fontId="64" fillId="0" borderId="2" xfId="16" applyFont="1" applyBorder="1" applyAlignment="1">
      <alignment vertical="center"/>
    </xf>
    <xf numFmtId="165" fontId="64" fillId="0" borderId="2" xfId="16" applyNumberFormat="1" applyFont="1" applyBorder="1" applyAlignment="1">
      <alignment horizontal="right" vertical="center" wrapText="1"/>
    </xf>
    <xf numFmtId="0" fontId="65" fillId="0" borderId="2" xfId="16" applyFont="1" applyBorder="1" applyAlignment="1">
      <alignment vertical="center"/>
    </xf>
    <xf numFmtId="3" fontId="65" fillId="0" borderId="2" xfId="119" applyNumberFormat="1" applyFont="1" applyBorder="1" applyAlignment="1">
      <alignment horizontal="right" vertical="center" wrapText="1"/>
    </xf>
    <xf numFmtId="165" fontId="64" fillId="0" borderId="2" xfId="10" applyNumberFormat="1" applyFont="1" applyBorder="1" applyAlignment="1">
      <alignment vertical="center" wrapText="1"/>
    </xf>
    <xf numFmtId="0" fontId="145" fillId="0" borderId="0" xfId="16" applyFont="1"/>
    <xf numFmtId="0" fontId="64" fillId="0" borderId="2" xfId="16" applyFont="1" applyBorder="1" applyAlignment="1">
      <alignment horizontal="right" wrapText="1"/>
    </xf>
    <xf numFmtId="0" fontId="64" fillId="0" borderId="2" xfId="16" applyFont="1" applyBorder="1"/>
    <xf numFmtId="0" fontId="65" fillId="0" borderId="2" xfId="16" applyFont="1" applyBorder="1"/>
    <xf numFmtId="0" fontId="53" fillId="0" borderId="17" xfId="16" applyFont="1" applyBorder="1" applyAlignment="1">
      <alignment vertical="center" wrapText="1"/>
    </xf>
    <xf numFmtId="0" fontId="1" fillId="0" borderId="0" xfId="22" applyFont="1"/>
    <xf numFmtId="0" fontId="65" fillId="0" borderId="2" xfId="4" applyFont="1" applyFill="1" applyBorder="1" applyAlignment="1">
      <alignment vertical="center"/>
    </xf>
    <xf numFmtId="3" fontId="65" fillId="0" borderId="2" xfId="4" applyNumberFormat="1" applyFont="1" applyFill="1" applyBorder="1" applyAlignment="1">
      <alignment vertical="center"/>
    </xf>
    <xf numFmtId="0" fontId="85" fillId="0" borderId="27" xfId="22" applyFont="1" applyBorder="1" applyAlignment="1">
      <alignment vertical="center" readingOrder="2"/>
    </xf>
    <xf numFmtId="0" fontId="85" fillId="0" borderId="6" xfId="22" applyFont="1" applyBorder="1" applyAlignment="1">
      <alignment vertical="center" readingOrder="2"/>
    </xf>
    <xf numFmtId="0" fontId="71" fillId="0" borderId="19" xfId="22" applyFont="1" applyBorder="1" applyAlignment="1">
      <alignment horizontal="right" vertical="center" readingOrder="2"/>
    </xf>
    <xf numFmtId="0" fontId="54" fillId="0" borderId="0" xfId="4" applyFont="1" applyAlignment="1">
      <alignment horizontal="center" vertical="center"/>
    </xf>
    <xf numFmtId="0" fontId="69" fillId="0" borderId="0" xfId="16" applyFont="1" applyAlignment="1">
      <alignment horizontal="center"/>
    </xf>
    <xf numFmtId="3" fontId="54" fillId="0" borderId="26" xfId="16" applyNumberFormat="1" applyFont="1" applyBorder="1" applyAlignment="1">
      <alignment horizontal="center"/>
    </xf>
    <xf numFmtId="3" fontId="54" fillId="0" borderId="28" xfId="16" applyNumberFormat="1" applyFont="1" applyBorder="1" applyAlignment="1">
      <alignment horizontal="center"/>
    </xf>
    <xf numFmtId="3" fontId="54" fillId="0" borderId="22" xfId="16" applyNumberFormat="1" applyFont="1" applyBorder="1" applyAlignment="1">
      <alignment horizontal="center"/>
    </xf>
    <xf numFmtId="0" fontId="55" fillId="0" borderId="2" xfId="4" applyFont="1" applyBorder="1" applyAlignment="1">
      <alignment horizontal="center" vertical="center"/>
    </xf>
    <xf numFmtId="0" fontId="55" fillId="0" borderId="9" xfId="4" applyFont="1" applyBorder="1" applyAlignment="1">
      <alignment horizontal="center" vertical="center"/>
    </xf>
    <xf numFmtId="3" fontId="71" fillId="0" borderId="4" xfId="22" applyNumberFormat="1" applyFont="1" applyBorder="1" applyAlignment="1">
      <alignment horizontal="center" vertical="center" readingOrder="2"/>
    </xf>
    <xf numFmtId="3" fontId="71" fillId="0" borderId="5" xfId="22" applyNumberFormat="1" applyFont="1" applyBorder="1" applyAlignment="1">
      <alignment horizontal="center" vertical="center" readingOrder="2"/>
    </xf>
    <xf numFmtId="3" fontId="71" fillId="0" borderId="6" xfId="22" applyNumberFormat="1" applyFont="1" applyBorder="1" applyAlignment="1">
      <alignment horizontal="center" vertical="center" readingOrder="2"/>
    </xf>
    <xf numFmtId="3" fontId="73" fillId="0" borderId="41" xfId="22" applyNumberFormat="1" applyFont="1" applyBorder="1" applyAlignment="1">
      <alignment horizontal="center" vertical="center" readingOrder="2"/>
    </xf>
    <xf numFmtId="3" fontId="73" fillId="0" borderId="37" xfId="22" applyNumberFormat="1" applyFont="1" applyBorder="1" applyAlignment="1">
      <alignment horizontal="center" vertical="center" readingOrder="2"/>
    </xf>
    <xf numFmtId="3" fontId="73" fillId="0" borderId="24" xfId="22" applyNumberFormat="1" applyFont="1" applyBorder="1" applyAlignment="1">
      <alignment horizontal="center" vertical="center" readingOrder="2"/>
    </xf>
    <xf numFmtId="0" fontId="73" fillId="0" borderId="26" xfId="22" applyFont="1" applyBorder="1" applyAlignment="1">
      <alignment vertical="center" readingOrder="2"/>
    </xf>
    <xf numFmtId="0" fontId="73" fillId="0" borderId="40" xfId="22" applyFont="1" applyBorder="1" applyAlignment="1">
      <alignment vertical="center" readingOrder="2"/>
    </xf>
    <xf numFmtId="0" fontId="85" fillId="0" borderId="27" xfId="22" applyFont="1" applyBorder="1" applyAlignment="1">
      <alignment vertical="center" readingOrder="2"/>
    </xf>
    <xf numFmtId="0" fontId="85" fillId="0" borderId="6" xfId="22" applyFont="1" applyBorder="1" applyAlignment="1">
      <alignment vertical="center" readingOrder="2"/>
    </xf>
    <xf numFmtId="0" fontId="85" fillId="0" borderId="44" xfId="22" applyFont="1" applyBorder="1" applyAlignment="1">
      <alignment vertical="center" readingOrder="2"/>
    </xf>
    <xf numFmtId="0" fontId="85" fillId="0" borderId="24" xfId="22" applyFont="1" applyBorder="1" applyAlignment="1">
      <alignment vertical="center" readingOrder="2"/>
    </xf>
    <xf numFmtId="0" fontId="73" fillId="0" borderId="39" xfId="22" applyFont="1" applyBorder="1" applyAlignment="1">
      <alignment horizontal="center" vertical="center" readingOrder="2"/>
    </xf>
    <xf numFmtId="0" fontId="73" fillId="0" borderId="28" xfId="22" applyFont="1" applyBorder="1" applyAlignment="1">
      <alignment horizontal="center" vertical="center" readingOrder="2"/>
    </xf>
    <xf numFmtId="0" fontId="73" fillId="0" borderId="40" xfId="22" applyFont="1" applyBorder="1" applyAlignment="1">
      <alignment horizontal="center" vertical="center" readingOrder="2"/>
    </xf>
    <xf numFmtId="0" fontId="96" fillId="0" borderId="4" xfId="4" quotePrefix="1" applyFont="1" applyBorder="1" applyAlignment="1">
      <alignment horizontal="center" vertical="center"/>
    </xf>
    <xf numFmtId="0" fontId="96" fillId="0" borderId="5" xfId="4" quotePrefix="1" applyFont="1" applyBorder="1" applyAlignment="1">
      <alignment horizontal="center" vertical="center"/>
    </xf>
    <xf numFmtId="0" fontId="96" fillId="0" borderId="6" xfId="4" quotePrefix="1" applyFont="1" applyBorder="1" applyAlignment="1">
      <alignment horizontal="center" vertical="center"/>
    </xf>
    <xf numFmtId="0" fontId="59" fillId="0" borderId="0" xfId="16" applyFont="1" applyFill="1" applyAlignment="1">
      <alignment horizontal="center"/>
    </xf>
    <xf numFmtId="0" fontId="65" fillId="0" borderId="2" xfId="4" applyFont="1" applyBorder="1" applyAlignment="1">
      <alignment horizontal="center"/>
    </xf>
    <xf numFmtId="0" fontId="65" fillId="0" borderId="2" xfId="4" applyFont="1" applyBorder="1" applyAlignment="1">
      <alignment horizontal="center" vertical="center"/>
    </xf>
    <xf numFmtId="3" fontId="65" fillId="0" borderId="2" xfId="4" applyNumberFormat="1" applyFont="1" applyBorder="1" applyAlignment="1">
      <alignment horizontal="center" vertical="center" wrapText="1"/>
    </xf>
    <xf numFmtId="0" fontId="53" fillId="0" borderId="2" xfId="4" applyFont="1" applyBorder="1" applyAlignment="1">
      <alignment horizontal="center" vertical="center"/>
    </xf>
    <xf numFmtId="3" fontId="52" fillId="0" borderId="4" xfId="4" applyNumberFormat="1" applyFont="1" applyBorder="1" applyAlignment="1">
      <alignment horizontal="center" vertical="center" wrapText="1"/>
    </xf>
    <xf numFmtId="3" fontId="52" fillId="0" borderId="5" xfId="4" applyNumberFormat="1" applyFont="1" applyBorder="1" applyAlignment="1">
      <alignment horizontal="center" vertical="center" wrapText="1"/>
    </xf>
    <xf numFmtId="3" fontId="52" fillId="0" borderId="6" xfId="4" applyNumberFormat="1" applyFont="1" applyBorder="1" applyAlignment="1">
      <alignment horizontal="center" vertical="center" wrapText="1"/>
    </xf>
    <xf numFmtId="0" fontId="64" fillId="0" borderId="2" xfId="16" applyFont="1" applyBorder="1" applyAlignment="1">
      <alignment horizontal="center"/>
    </xf>
    <xf numFmtId="0" fontId="52" fillId="0" borderId="2" xfId="4" applyFont="1" applyBorder="1" applyAlignment="1">
      <alignment horizontal="center" vertical="center"/>
    </xf>
    <xf numFmtId="0" fontId="145" fillId="0" borderId="4" xfId="16" applyFont="1" applyBorder="1" applyAlignment="1">
      <alignment horizontal="center"/>
    </xf>
    <xf numFmtId="0" fontId="145" fillId="0" borderId="5" xfId="16" applyFont="1" applyBorder="1" applyAlignment="1">
      <alignment horizontal="center"/>
    </xf>
    <xf numFmtId="0" fontId="145" fillId="0" borderId="6" xfId="16" applyFont="1" applyBorder="1" applyAlignment="1">
      <alignment horizontal="center"/>
    </xf>
    <xf numFmtId="0" fontId="64" fillId="0" borderId="4" xfId="4" applyFont="1" applyBorder="1" applyAlignment="1">
      <alignment horizontal="center"/>
    </xf>
    <xf numFmtId="0" fontId="64" fillId="0" borderId="5" xfId="4" applyFont="1" applyBorder="1" applyAlignment="1">
      <alignment horizontal="center"/>
    </xf>
    <xf numFmtId="0" fontId="64" fillId="0" borderId="6" xfId="4" applyFont="1" applyBorder="1" applyAlignment="1">
      <alignment horizontal="center"/>
    </xf>
    <xf numFmtId="3" fontId="65" fillId="0" borderId="4" xfId="4" applyNumberFormat="1" applyFont="1" applyBorder="1" applyAlignment="1">
      <alignment horizontal="center" vertical="center" wrapText="1"/>
    </xf>
    <xf numFmtId="3" fontId="65" fillId="0" borderId="5" xfId="4" applyNumberFormat="1" applyFont="1" applyBorder="1" applyAlignment="1">
      <alignment horizontal="center" vertical="center" wrapText="1"/>
    </xf>
    <xf numFmtId="3" fontId="65" fillId="0" borderId="6" xfId="4" applyNumberFormat="1" applyFont="1" applyBorder="1" applyAlignment="1">
      <alignment horizontal="center" vertical="center" wrapText="1"/>
    </xf>
    <xf numFmtId="0" fontId="53" fillId="0" borderId="2" xfId="4" applyFont="1" applyBorder="1" applyAlignment="1">
      <alignment horizontal="center"/>
    </xf>
    <xf numFmtId="0" fontId="53" fillId="0" borderId="4" xfId="4" applyFont="1" applyBorder="1" applyAlignment="1">
      <alignment horizontal="center"/>
    </xf>
    <xf numFmtId="0" fontId="53" fillId="0" borderId="5" xfId="4" applyFont="1" applyBorder="1" applyAlignment="1">
      <alignment horizontal="center"/>
    </xf>
    <xf numFmtId="0" fontId="53" fillId="0" borderId="6" xfId="4" applyFont="1" applyBorder="1" applyAlignment="1">
      <alignment horizontal="center"/>
    </xf>
    <xf numFmtId="0" fontId="59" fillId="0" borderId="0" xfId="16" applyFont="1" applyAlignment="1">
      <alignment horizontal="center"/>
    </xf>
    <xf numFmtId="0" fontId="52" fillId="0" borderId="14" xfId="16" applyFont="1" applyBorder="1" applyAlignment="1">
      <alignment horizontal="center"/>
    </xf>
    <xf numFmtId="0" fontId="52" fillId="0" borderId="15" xfId="16" applyFont="1" applyBorder="1" applyAlignment="1">
      <alignment horizontal="center"/>
    </xf>
  </cellXfs>
  <cellStyles count="126">
    <cellStyle name="Comma" xfId="12" builtinId="3"/>
    <cellStyle name="Comma 2" xfId="10" xr:uid="{00000000-0005-0000-0000-000001000000}"/>
    <cellStyle name="Comma 3" xfId="14" xr:uid="{00000000-0005-0000-0000-000002000000}"/>
    <cellStyle name="Comma 3 2" xfId="18" xr:uid="{00000000-0005-0000-0000-000003000000}"/>
    <cellStyle name="Comma 3 3" xfId="21" xr:uid="{00000000-0005-0000-0000-000004000000}"/>
    <cellStyle name="Comma 3 4" xfId="23" xr:uid="{00000000-0005-0000-0000-000005000000}"/>
    <cellStyle name="Comma 4" xfId="36" xr:uid="{00000000-0005-0000-0000-000006000000}"/>
    <cellStyle name="Comma 5" xfId="49" xr:uid="{00000000-0005-0000-0000-000007000000}"/>
    <cellStyle name="Comma 5 2" xfId="76" xr:uid="{00000000-0005-0000-0000-000008000000}"/>
    <cellStyle name="Comma 5 2 2" xfId="84" xr:uid="{00000000-0005-0000-0000-000009000000}"/>
    <cellStyle name="Normal" xfId="0" builtinId="0"/>
    <cellStyle name="Normal 10" xfId="64" xr:uid="{00000000-0005-0000-0000-00000B000000}"/>
    <cellStyle name="Normal 11" xfId="72" xr:uid="{00000000-0005-0000-0000-00000C000000}"/>
    <cellStyle name="Normal 12" xfId="123" xr:uid="{18C79E44-4F54-44C8-A41B-B3D62839735F}"/>
    <cellStyle name="Normal 2" xfId="1" xr:uid="{00000000-0005-0000-0000-00000D000000}"/>
    <cellStyle name="Normal 2 2" xfId="5" xr:uid="{00000000-0005-0000-0000-00000E000000}"/>
    <cellStyle name="Normal 2 2 2" xfId="19" xr:uid="{00000000-0005-0000-0000-00000F000000}"/>
    <cellStyle name="Normal 2 3" xfId="16" xr:uid="{00000000-0005-0000-0000-000010000000}"/>
    <cellStyle name="Normal 2_ריכוז אגפים" xfId="6" xr:uid="{00000000-0005-0000-0000-000011000000}"/>
    <cellStyle name="Normal 3" xfId="2" xr:uid="{00000000-0005-0000-0000-000012000000}"/>
    <cellStyle name="Normal 4" xfId="4" xr:uid="{00000000-0005-0000-0000-000013000000}"/>
    <cellStyle name="Normal 5" xfId="11" xr:uid="{00000000-0005-0000-0000-000014000000}"/>
    <cellStyle name="Normal 5 2" xfId="15" xr:uid="{00000000-0005-0000-0000-000015000000}"/>
    <cellStyle name="Normal 5 2 2" xfId="28" xr:uid="{00000000-0005-0000-0000-000016000000}"/>
    <cellStyle name="Normal 5 3" xfId="26" xr:uid="{00000000-0005-0000-0000-000017000000}"/>
    <cellStyle name="Normal 5 3 2" xfId="31" xr:uid="{00000000-0005-0000-0000-000018000000}"/>
    <cellStyle name="Normal 5 3 2 2" xfId="33" xr:uid="{00000000-0005-0000-0000-000019000000}"/>
    <cellStyle name="Normal 5 3 3" xfId="32" xr:uid="{00000000-0005-0000-0000-00001A000000}"/>
    <cellStyle name="Normal 5 3 4" xfId="34" xr:uid="{00000000-0005-0000-0000-00001B000000}"/>
    <cellStyle name="Normal 5 3 4 2" xfId="38" xr:uid="{00000000-0005-0000-0000-00001C000000}"/>
    <cellStyle name="Normal 5 3 4 3" xfId="43" xr:uid="{00000000-0005-0000-0000-00001D000000}"/>
    <cellStyle name="Normal 5 3 4 3 2" xfId="52" xr:uid="{00000000-0005-0000-0000-00001E000000}"/>
    <cellStyle name="Normal 5 3 4 3 2 2" xfId="68" xr:uid="{00000000-0005-0000-0000-00001F000000}"/>
    <cellStyle name="Normal 5 3 4 3 2 2 2" xfId="92" xr:uid="{00000000-0005-0000-0000-000020000000}"/>
    <cellStyle name="Normal 5 3 4 3 2 2 3" xfId="94" xr:uid="{00000000-0005-0000-0000-000021000000}"/>
    <cellStyle name="Normal 5 3 4 3 2 2 4" xfId="103" xr:uid="{00000000-0005-0000-0000-000022000000}"/>
    <cellStyle name="Normal 5 3 4 3 2 2 5" xfId="111" xr:uid="{541A929F-80C6-4C16-B3C0-8A23D7BEB7F6}"/>
    <cellStyle name="Normal 5 3 4 3 2 2 6" xfId="117" xr:uid="{ACEFFA8F-35FC-4422-AA56-8B1EF9C0812D}"/>
    <cellStyle name="Normal 5 3 4 3 2 3" xfId="78" xr:uid="{00000000-0005-0000-0000-000023000000}"/>
    <cellStyle name="Normal 5 3 4 3 3" xfId="59" xr:uid="{00000000-0005-0000-0000-000024000000}"/>
    <cellStyle name="Normal 5 3 4 4" xfId="45" xr:uid="{00000000-0005-0000-0000-000025000000}"/>
    <cellStyle name="Normal 5 3 4 5" xfId="47" xr:uid="{00000000-0005-0000-0000-000026000000}"/>
    <cellStyle name="Normal 5 3 5" xfId="35" xr:uid="{00000000-0005-0000-0000-000027000000}"/>
    <cellStyle name="Normal 5 3 5 2" xfId="37" xr:uid="{00000000-0005-0000-0000-000028000000}"/>
    <cellStyle name="Normal 5 3 5 3" xfId="39" xr:uid="{00000000-0005-0000-0000-000029000000}"/>
    <cellStyle name="Normal 5 3 5 3 2" xfId="56" xr:uid="{00000000-0005-0000-0000-00002A000000}"/>
    <cellStyle name="Normal 5 3 5 3 2 2" xfId="71" xr:uid="{00000000-0005-0000-0000-00002B000000}"/>
    <cellStyle name="Normal 5 3 5 3 2 2 2" xfId="89" xr:uid="{00000000-0005-0000-0000-00002C000000}"/>
    <cellStyle name="Normal 5 3 5 3 2 2 2 2" xfId="107" xr:uid="{00000000-0005-0000-0000-00002D000000}"/>
    <cellStyle name="Normal 5 3 5 3 2 2 2 3" xfId="114" xr:uid="{592BDB5D-38F1-4354-A9D4-CE0EBBABFC9C}"/>
    <cellStyle name="Normal 5 3 5 3 2 2 2 4" xfId="115" xr:uid="{45FF1B61-AD24-49B4-98DB-12F046A52927}"/>
    <cellStyle name="Normal 5 3 5 3 2 2 2 5" xfId="120" xr:uid="{02C718FA-08AF-4D17-B484-4D204CC34D61}"/>
    <cellStyle name="Normal 5 3 5 3 2 2 3" xfId="97" xr:uid="{00000000-0005-0000-0000-00002E000000}"/>
    <cellStyle name="Normal 5 3 5 3 2 3" xfId="81" xr:uid="{00000000-0005-0000-0000-00002F000000}"/>
    <cellStyle name="Normal 5 3 5 3 3" xfId="62" xr:uid="{00000000-0005-0000-0000-000030000000}"/>
    <cellStyle name="Normal 5 3 5 4" xfId="40" xr:uid="{00000000-0005-0000-0000-000031000000}"/>
    <cellStyle name="Normal 5 3 5 4 2" xfId="51" xr:uid="{00000000-0005-0000-0000-000032000000}"/>
    <cellStyle name="Normal 5 3 5 4 3" xfId="53" xr:uid="{00000000-0005-0000-0000-000033000000}"/>
    <cellStyle name="Normal 5 3 5 4 3 2" xfId="69" xr:uid="{00000000-0005-0000-0000-000034000000}"/>
    <cellStyle name="Normal 5 3 5 4 3 2 2" xfId="90" xr:uid="{00000000-0005-0000-0000-000035000000}"/>
    <cellStyle name="Normal 5 3 5 4 3 2 2 2" xfId="100" xr:uid="{00000000-0005-0000-0000-000036000000}"/>
    <cellStyle name="Normal 5 3 5 4 3 2 2 3" xfId="101" xr:uid="{00000000-0005-0000-0000-000037000000}"/>
    <cellStyle name="Normal 5 3 5 4 3 2 2 4" xfId="108" xr:uid="{00000000-0005-0000-0000-000038000000}"/>
    <cellStyle name="Normal 5 3 5 4 3 2 2 5" xfId="121" xr:uid="{347B6161-AA60-4397-8B71-965E1C2EE574}"/>
    <cellStyle name="Normal 5 3 5 4 3 2 3" xfId="98" xr:uid="{00000000-0005-0000-0000-000039000000}"/>
    <cellStyle name="Normal 5 3 5 4 3 3" xfId="73" xr:uid="{00000000-0005-0000-0000-00003A000000}"/>
    <cellStyle name="Normal 5 3 5 4 3 3 2" xfId="86" xr:uid="{00000000-0005-0000-0000-00003B000000}"/>
    <cellStyle name="Normal 5 3 5 4 3 3 2 2" xfId="104" xr:uid="{00000000-0005-0000-0000-00003C000000}"/>
    <cellStyle name="Normal 5 3 5 4 3 3 2 3" xfId="118" xr:uid="{33002202-A9BC-49AD-97E2-B20C37BB8488}"/>
    <cellStyle name="Normal 5 3 5 4 3 3 2 4" xfId="124" xr:uid="{A40BD401-9EDF-4138-80D3-C7EDB1613652}"/>
    <cellStyle name="Normal 5 3 5 4 3 3 2 5" xfId="125" xr:uid="{556E2E51-5520-4676-B30C-6D3D766B5A9D}"/>
    <cellStyle name="Normal 5 3 5 4 3 3 3" xfId="95" xr:uid="{00000000-0005-0000-0000-00003D000000}"/>
    <cellStyle name="Normal 5 3 5 4 3 4" xfId="79" xr:uid="{00000000-0005-0000-0000-00003E000000}"/>
    <cellStyle name="Normal 5 3 5 4 4" xfId="60" xr:uid="{00000000-0005-0000-0000-00003F000000}"/>
    <cellStyle name="Normal 5 3 5 4 5" xfId="66" xr:uid="{00000000-0005-0000-0000-000040000000}"/>
    <cellStyle name="Normal 5 3 5 5" xfId="41" xr:uid="{00000000-0005-0000-0000-000041000000}"/>
    <cellStyle name="Normal 5 3 5 5 2" xfId="57" xr:uid="{00000000-0005-0000-0000-000042000000}"/>
    <cellStyle name="Normal 5 3 5 5 2 2" xfId="82" xr:uid="{00000000-0005-0000-0000-000043000000}"/>
    <cellStyle name="Normal 5 3 5 5 2 3" xfId="91" xr:uid="{00000000-0005-0000-0000-000044000000}"/>
    <cellStyle name="Normal 5 3 5 5 2 3 2" xfId="109" xr:uid="{00000000-0005-0000-0000-000045000000}"/>
    <cellStyle name="Normal 5 3 5 5 2 3 3" xfId="122" xr:uid="{77FDE3D1-9153-4BB3-BB19-F523E49E9633}"/>
    <cellStyle name="Normal 5 3 5 5 2 4" xfId="99" xr:uid="{00000000-0005-0000-0000-000046000000}"/>
    <cellStyle name="Normal 5 3 5 5 3" xfId="63" xr:uid="{00000000-0005-0000-0000-000047000000}"/>
    <cellStyle name="Normal 5 3 5 6" xfId="42" xr:uid="{00000000-0005-0000-0000-000048000000}"/>
    <cellStyle name="Normal 5 3 5 6 2" xfId="54" xr:uid="{00000000-0005-0000-0000-000049000000}"/>
    <cellStyle name="Normal 5 3 5 6 2 2" xfId="70" xr:uid="{00000000-0005-0000-0000-00004A000000}"/>
    <cellStyle name="Normal 5 3 5 6 2 2 2" xfId="87" xr:uid="{00000000-0005-0000-0000-00004B000000}"/>
    <cellStyle name="Normal 5 3 5 6 2 2 2 2" xfId="106" xr:uid="{00000000-0005-0000-0000-00004C000000}"/>
    <cellStyle name="Normal 5 3 5 6 2 2 2 3" xfId="113" xr:uid="{181F4562-1988-4DE7-BB32-4B8CCC874CA2}"/>
    <cellStyle name="Normal 5 3 5 6 2 2 2 4" xfId="119" xr:uid="{98C277B9-1911-4E61-9823-71ABB8702722}"/>
    <cellStyle name="Normal 5 3 5 6 2 2 3" xfId="96" xr:uid="{00000000-0005-0000-0000-00004D000000}"/>
    <cellStyle name="Normal 5 3 5 6 2 2 4" xfId="105" xr:uid="{00000000-0005-0000-0000-00004E000000}"/>
    <cellStyle name="Normal 5 3 5 6 2 2 5" xfId="112" xr:uid="{2C1513C6-B9BA-46E3-A6FE-B10B1B5087B2}"/>
    <cellStyle name="Normal 5 3 5 6 2 3" xfId="80" xr:uid="{00000000-0005-0000-0000-00004F000000}"/>
    <cellStyle name="Normal 5 3 5 6 3" xfId="61" xr:uid="{00000000-0005-0000-0000-000050000000}"/>
    <cellStyle name="Normal 5 4" xfId="29" xr:uid="{00000000-0005-0000-0000-000051000000}"/>
    <cellStyle name="Normal 6" xfId="13" xr:uid="{00000000-0005-0000-0000-000052000000}"/>
    <cellStyle name="Normal 6 2" xfId="17" xr:uid="{00000000-0005-0000-0000-000053000000}"/>
    <cellStyle name="Normal 6 3" xfId="20" xr:uid="{00000000-0005-0000-0000-000054000000}"/>
    <cellStyle name="Normal 6 4" xfId="22" xr:uid="{00000000-0005-0000-0000-000055000000}"/>
    <cellStyle name="Normal 6 4 2" xfId="30" xr:uid="{00000000-0005-0000-0000-000056000000}"/>
    <cellStyle name="Normal 7" xfId="24" xr:uid="{00000000-0005-0000-0000-000057000000}"/>
    <cellStyle name="Normal 8" xfId="44" xr:uid="{00000000-0005-0000-0000-000058000000}"/>
    <cellStyle name="Normal 8 2" xfId="46" xr:uid="{00000000-0005-0000-0000-000059000000}"/>
    <cellStyle name="Normal 8 2 2" xfId="58" xr:uid="{00000000-0005-0000-0000-00005A000000}"/>
    <cellStyle name="Normal 8 2 2 3" xfId="50" xr:uid="{00000000-0005-0000-0000-00005B000000}"/>
    <cellStyle name="Normal 8 2 2 3 2" xfId="65" xr:uid="{00000000-0005-0000-0000-00005C000000}"/>
    <cellStyle name="Normal 8 2 2 3 2 2" xfId="85" xr:uid="{00000000-0005-0000-0000-00005D000000}"/>
    <cellStyle name="Normal 8 2 2 3 2 2 2" xfId="102" xr:uid="{00000000-0005-0000-0000-00005E000000}"/>
    <cellStyle name="Normal 8 2 2 3 2 2 3" xfId="110" xr:uid="{34DCEFEC-ED6A-40AB-94F8-2D1B5FB78CBE}"/>
    <cellStyle name="Normal 8 2 2 3 2 2 4" xfId="116" xr:uid="{F0FEAD3B-F617-4E43-AF10-D00D1D44E324}"/>
    <cellStyle name="Normal 8 2 2 3 2 3" xfId="93" xr:uid="{00000000-0005-0000-0000-00005F000000}"/>
    <cellStyle name="Normal 8 2 2 3 3" xfId="77" xr:uid="{00000000-0005-0000-0000-000060000000}"/>
    <cellStyle name="Normal 9" xfId="48" xr:uid="{00000000-0005-0000-0000-000061000000}"/>
    <cellStyle name="Normal 9 2" xfId="75" xr:uid="{00000000-0005-0000-0000-000062000000}"/>
    <cellStyle name="Normal 9 2 2" xfId="83" xr:uid="{00000000-0005-0000-0000-000063000000}"/>
    <cellStyle name="Percent 2" xfId="9" xr:uid="{00000000-0005-0000-0000-000064000000}"/>
    <cellStyle name="Percent 3" xfId="25" xr:uid="{00000000-0005-0000-0000-000065000000}"/>
    <cellStyle name="Percent 4" xfId="27" xr:uid="{00000000-0005-0000-0000-000066000000}"/>
    <cellStyle name="Percent 5" xfId="55" xr:uid="{00000000-0005-0000-0000-000067000000}"/>
    <cellStyle name="Percent 6" xfId="67" xr:uid="{00000000-0005-0000-0000-000068000000}"/>
    <cellStyle name="Percent 7" xfId="74" xr:uid="{00000000-0005-0000-0000-000069000000}"/>
    <cellStyle name="Percent 8" xfId="88" xr:uid="{00000000-0005-0000-0000-00006A000000}"/>
    <cellStyle name="הערה 2" xfId="3" xr:uid="{00000000-0005-0000-0000-00006B000000}"/>
    <cellStyle name="הערה 2 2" xfId="7" xr:uid="{00000000-0005-0000-0000-00006C000000}"/>
    <cellStyle name="הערה 2_ריכוז אגפים" xfId="8" xr:uid="{00000000-0005-0000-0000-00006D000000}"/>
  </cellStyles>
  <dxfs count="43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kumimoji="0" lang="he-IL" sz="160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חלוקת ההשקעה בתקציב  לפי אגפים</a:t>
            </a:r>
            <a:endParaRPr kumimoji="0" lang="he-IL" sz="1320" b="0" i="0" u="sng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ea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ea typeface="David"/>
                <a:cs typeface="David"/>
              </a:rPr>
              <a:t> </a:t>
            </a:r>
          </a:p>
        </cx:rich>
      </cx:tx>
    </cx:title>
    <cx:plotArea>
      <cx:plotAreaRegion>
        <cx:series layoutId="sunburst" uniqueId="{73292393-C808-4341-BF4A-25998629D0B1}"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kumimoji="0" lang="he-IL" sz="140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חלוקת ההשקעה בתקציב לפי פרקים</a:t>
            </a:r>
            <a:b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</a:b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  </a:t>
            </a:r>
          </a:p>
        </cx:rich>
      </cx:tx>
    </cx:title>
    <cx:plotArea>
      <cx:plotAreaRegion>
        <cx:series layoutId="sunburst" uniqueId="{12CDAEE9-78C2-4B8A-8E23-70C6B6751AC6}"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התקציב לפי מקורות מימון</a:t>
            </a:r>
            <a:b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</a:b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 </a:t>
            </a:r>
          </a:p>
        </cx:rich>
      </cx:tx>
    </cx:title>
    <cx:plotArea>
      <cx:plotAreaRegion>
        <cx:series layoutId="sunburst" uniqueId="{D7E84A5A-E96D-45B6-9910-25C250F90FEC}">
          <cx:dataLabels>
            <cx:txPr>
              <a:bodyPr spcFirstLastPara="1" vertOverflow="ellipsis" wrap="square" lIns="0" tIns="0" rIns="0" bIns="0" anchor="ctr" anchorCtr="1"/>
              <a:lstStyle/>
              <a:p>
                <a:pPr>
                  <a:defRPr/>
                </a:pPr>
                <a:endParaRPr lang="he-IL"/>
              </a:p>
            </cx:txPr>
            <cx:visibility seriesName="0" categoryName="1" value="0"/>
          </cx:dataLabels>
          <cx:dataId val="0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he-IL" sz="1000" b="0" i="0" u="none" strike="noStrike" kern="1200" baseline="0">
            <a:solidFill>
              <a:sysClr val="windowText" lastClr="000000"/>
            </a:solidFill>
            <a:latin typeface="Calibri" panose="020F0502020204030204"/>
            <a:cs typeface="Arial" panose="020B0604020202020204" pitchFamily="34" charset="0"/>
          </a:endParaRPr>
        </a:p>
      </cx:txPr>
    </cx:legend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600075</xdr:colOff>
      <xdr:row>42</xdr:row>
      <xdr:rowOff>19050</xdr:rowOff>
    </xdr:to>
    <xdr:pic>
      <xdr:nvPicPr>
        <xdr:cNvPr id="3" name="תמונה 2" descr="שער תקציב בלתי רגיל לשנת 2025, עיריית הרצליה">
          <a:extLst>
            <a:ext uri="{FF2B5EF4-FFF2-40B4-BE49-F238E27FC236}">
              <a16:creationId xmlns:a16="http://schemas.microsoft.com/office/drawing/2014/main" id="{BC588CE0-14F4-4BC9-9E98-A4D8CB5F0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6723125" y="0"/>
          <a:ext cx="10963275" cy="681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0</xdr:row>
      <xdr:rowOff>165562</xdr:rowOff>
    </xdr:from>
    <xdr:to>
      <xdr:col>21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1E52F6E8-35D1-472A-8FAF-66434EC01378}"/>
            </a:ext>
          </a:extLst>
        </xdr:cNvPr>
        <xdr:cNvSpPr/>
      </xdr:nvSpPr>
      <xdr:spPr>
        <a:xfrm rot="16200000">
          <a:off x="9673792796" y="-161059"/>
          <a:ext cx="615488" cy="126873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</a:t>
          </a:r>
          <a:r>
            <a:rPr lang="en-US" sz="900">
              <a:solidFill>
                <a:schemeClr val="tx1"/>
              </a:solidFill>
              <a:latin typeface="+mn-lt"/>
              <a:ea typeface="+mn-ea"/>
              <a:cs typeface="+mn-cs"/>
            </a:rPr>
            <a:t>2025</a:t>
          </a:r>
          <a:endParaRPr lang="he-IL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24428369-6BF1-43E9-BB62-E4127437C57D}"/>
            </a:ext>
          </a:extLst>
        </xdr:cNvPr>
        <xdr:cNvSpPr/>
      </xdr:nvSpPr>
      <xdr:spPr>
        <a:xfrm rot="16200000">
          <a:off x="9675870978" y="-946612"/>
          <a:ext cx="636963" cy="2821131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21</xdr:col>
      <xdr:colOff>11430</xdr:colOff>
      <xdr:row>0</xdr:row>
      <xdr:rowOff>192232</xdr:rowOff>
    </xdr:from>
    <xdr:to>
      <xdr:col>26</xdr:col>
      <xdr:colOff>632460</xdr:colOff>
      <xdr:row>3</xdr:row>
      <xdr:rowOff>19050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3C6C3384-9782-4EC6-BA6D-7E2C3B83F754}"/>
            </a:ext>
          </a:extLst>
        </xdr:cNvPr>
        <xdr:cNvSpPr/>
      </xdr:nvSpPr>
      <xdr:spPr>
        <a:xfrm rot="16200000">
          <a:off x="9672173546" y="-481099"/>
          <a:ext cx="607868" cy="195453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0</xdr:row>
      <xdr:rowOff>165562</xdr:rowOff>
    </xdr:from>
    <xdr:to>
      <xdr:col>21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5B6AEDC9-CCA4-4CF0-92B3-00A6D8385A06}"/>
            </a:ext>
          </a:extLst>
        </xdr:cNvPr>
        <xdr:cNvSpPr/>
      </xdr:nvSpPr>
      <xdr:spPr>
        <a:xfrm rot="16200000">
          <a:off x="9676069271" y="-161059"/>
          <a:ext cx="615488" cy="126873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</a:t>
          </a:r>
          <a:r>
            <a:rPr lang="en-US" sz="900">
              <a:solidFill>
                <a:schemeClr val="tx1"/>
              </a:solidFill>
              <a:latin typeface="+mn-lt"/>
              <a:ea typeface="+mn-ea"/>
              <a:cs typeface="+mn-cs"/>
            </a:rPr>
            <a:t>2025</a:t>
          </a:r>
          <a:endParaRPr lang="he-IL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2E211DDF-B29B-43F2-9440-6DD585EA899B}"/>
            </a:ext>
          </a:extLst>
        </xdr:cNvPr>
        <xdr:cNvSpPr/>
      </xdr:nvSpPr>
      <xdr:spPr>
        <a:xfrm rot="16200000">
          <a:off x="9682735042" y="-2752901"/>
          <a:ext cx="636963" cy="6433709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20</xdr:col>
      <xdr:colOff>601980</xdr:colOff>
      <xdr:row>0</xdr:row>
      <xdr:rowOff>173182</xdr:rowOff>
    </xdr:from>
    <xdr:to>
      <xdr:col>26</xdr:col>
      <xdr:colOff>480060</xdr:colOff>
      <xdr:row>2</xdr:row>
      <xdr:rowOff>304800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481C7105-D412-4BF0-B495-3900913939F1}"/>
            </a:ext>
          </a:extLst>
        </xdr:cNvPr>
        <xdr:cNvSpPr/>
      </xdr:nvSpPr>
      <xdr:spPr>
        <a:xfrm rot="16200000">
          <a:off x="9673759459" y="-1343112"/>
          <a:ext cx="607868" cy="3640455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247653</xdr:colOff>
      <xdr:row>26</xdr:row>
      <xdr:rowOff>57152</xdr:rowOff>
    </xdr:from>
    <xdr:to>
      <xdr:col>4</xdr:col>
      <xdr:colOff>2019301</xdr:colOff>
      <xdr:row>35</xdr:row>
      <xdr:rowOff>9525</xdr:rowOff>
    </xdr:to>
    <xdr:pic>
      <xdr:nvPicPr>
        <xdr:cNvPr id="6" name="תמונה 5" descr="תמונה פרויקט החברה לפיתוח הרצליה, קאנטרי">
          <a:extLst>
            <a:ext uri="{FF2B5EF4-FFF2-40B4-BE49-F238E27FC236}">
              <a16:creationId xmlns:a16="http://schemas.microsoft.com/office/drawing/2014/main" id="{F9EC7A5B-357F-4567-AA74-B771A422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962249" y="4848227"/>
          <a:ext cx="4371973" cy="1714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18</xdr:row>
      <xdr:rowOff>123824</xdr:rowOff>
    </xdr:from>
    <xdr:to>
      <xdr:col>4</xdr:col>
      <xdr:colOff>2009775</xdr:colOff>
      <xdr:row>35</xdr:row>
      <xdr:rowOff>133350</xdr:rowOff>
    </xdr:to>
    <xdr:pic>
      <xdr:nvPicPr>
        <xdr:cNvPr id="3" name="תמונה 2" descr="תמונה פרויקט החברה לפיתוח הרצליה, מרכז מטאור">
          <a:extLst>
            <a:ext uri="{FF2B5EF4-FFF2-40B4-BE49-F238E27FC236}">
              <a16:creationId xmlns:a16="http://schemas.microsoft.com/office/drawing/2014/main" id="{BD837AB5-FDD3-42D6-98FB-EDB4A0D2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924150" y="3781424"/>
          <a:ext cx="4886325" cy="3086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106680</xdr:rowOff>
    </xdr:from>
    <xdr:to>
      <xdr:col>15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9179FA9E-224C-482F-8FF2-7B753EABF191}"/>
            </a:ext>
          </a:extLst>
        </xdr:cNvPr>
        <xdr:cNvSpPr/>
      </xdr:nvSpPr>
      <xdr:spPr>
        <a:xfrm rot="16200000">
          <a:off x="9998667773" y="-3207068"/>
          <a:ext cx="582930" cy="7210425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14</xdr:col>
      <xdr:colOff>819150</xdr:colOff>
      <xdr:row>0</xdr:row>
      <xdr:rowOff>72390</xdr:rowOff>
    </xdr:from>
    <xdr:to>
      <xdr:col>21</xdr:col>
      <xdr:colOff>0</xdr:colOff>
      <xdr:row>3</xdr:row>
      <xdr:rowOff>9525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CE08039C-560D-4B4C-823E-F1E36063F173}"/>
            </a:ext>
          </a:extLst>
        </xdr:cNvPr>
        <xdr:cNvSpPr/>
      </xdr:nvSpPr>
      <xdr:spPr>
        <a:xfrm rot="16200000">
          <a:off x="9984469808" y="-292418"/>
          <a:ext cx="651510" cy="1381125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2025</a:t>
          </a:r>
        </a:p>
      </xdr:txBody>
    </xdr:sp>
    <xdr:clientData/>
  </xdr:twoCellAnchor>
  <xdr:twoCellAnchor>
    <xdr:from>
      <xdr:col>20</xdr:col>
      <xdr:colOff>714374</xdr:colOff>
      <xdr:row>0</xdr:row>
      <xdr:rowOff>106680</xdr:rowOff>
    </xdr:from>
    <xdr:to>
      <xdr:col>26</xdr:col>
      <xdr:colOff>666750</xdr:colOff>
      <xdr:row>2</xdr:row>
      <xdr:rowOff>209550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3AC28EB4-A937-494E-BCC9-4FF17C5D7039}"/>
            </a:ext>
          </a:extLst>
        </xdr:cNvPr>
        <xdr:cNvSpPr/>
      </xdr:nvSpPr>
      <xdr:spPr>
        <a:xfrm rot="16200000">
          <a:off x="9982777216" y="-670561"/>
          <a:ext cx="579120" cy="2133601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106680</xdr:rowOff>
    </xdr:from>
    <xdr:to>
      <xdr:col>15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70A293A3-EC5C-4F8B-85F6-2E93072928F9}"/>
            </a:ext>
          </a:extLst>
        </xdr:cNvPr>
        <xdr:cNvSpPr/>
      </xdr:nvSpPr>
      <xdr:spPr>
        <a:xfrm rot="16200000">
          <a:off x="9996715148" y="-3140393"/>
          <a:ext cx="582930" cy="7077075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14</xdr:col>
      <xdr:colOff>784860</xdr:colOff>
      <xdr:row>0</xdr:row>
      <xdr:rowOff>53340</xdr:rowOff>
    </xdr:from>
    <xdr:to>
      <xdr:col>21</xdr:col>
      <xdr:colOff>0</xdr:colOff>
      <xdr:row>3</xdr:row>
      <xdr:rowOff>15240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C30341C8-9716-45C3-A3A7-4D8C7F3CA340}"/>
            </a:ext>
          </a:extLst>
        </xdr:cNvPr>
        <xdr:cNvSpPr/>
      </xdr:nvSpPr>
      <xdr:spPr>
        <a:xfrm rot="16200000">
          <a:off x="9990970620" y="-1821180"/>
          <a:ext cx="676275" cy="4425315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2025</a:t>
          </a:r>
        </a:p>
      </xdr:txBody>
    </xdr:sp>
    <xdr:clientData/>
  </xdr:twoCellAnchor>
  <xdr:twoCellAnchor>
    <xdr:from>
      <xdr:col>21</xdr:col>
      <xdr:colOff>0</xdr:colOff>
      <xdr:row>0</xdr:row>
      <xdr:rowOff>106680</xdr:rowOff>
    </xdr:from>
    <xdr:to>
      <xdr:col>26</xdr:col>
      <xdr:colOff>617220</xdr:colOff>
      <xdr:row>2</xdr:row>
      <xdr:rowOff>213360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BED824EE-C4BF-4238-8E4D-480EE2C1767E}"/>
            </a:ext>
          </a:extLst>
        </xdr:cNvPr>
        <xdr:cNvSpPr/>
      </xdr:nvSpPr>
      <xdr:spPr>
        <a:xfrm rot="16200000">
          <a:off x="9986762475" y="-1644015"/>
          <a:ext cx="582930" cy="40843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106680</xdr:rowOff>
    </xdr:from>
    <xdr:to>
      <xdr:col>15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9D61E20F-6DFB-4420-AAEB-B2C4F9295D13}"/>
            </a:ext>
          </a:extLst>
        </xdr:cNvPr>
        <xdr:cNvSpPr/>
      </xdr:nvSpPr>
      <xdr:spPr>
        <a:xfrm rot="16200000">
          <a:off x="9996715148" y="-3140393"/>
          <a:ext cx="582930" cy="7077075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14</xdr:col>
      <xdr:colOff>784860</xdr:colOff>
      <xdr:row>0</xdr:row>
      <xdr:rowOff>53340</xdr:rowOff>
    </xdr:from>
    <xdr:to>
      <xdr:col>21</xdr:col>
      <xdr:colOff>0</xdr:colOff>
      <xdr:row>3</xdr:row>
      <xdr:rowOff>15240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4197007F-04DB-41BB-87F3-461760A989FE}"/>
            </a:ext>
          </a:extLst>
        </xdr:cNvPr>
        <xdr:cNvSpPr/>
      </xdr:nvSpPr>
      <xdr:spPr>
        <a:xfrm rot="16200000">
          <a:off x="9990970620" y="-1821180"/>
          <a:ext cx="676275" cy="4425315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2025</a:t>
          </a:r>
        </a:p>
      </xdr:txBody>
    </xdr:sp>
    <xdr:clientData/>
  </xdr:twoCellAnchor>
  <xdr:twoCellAnchor>
    <xdr:from>
      <xdr:col>21</xdr:col>
      <xdr:colOff>0</xdr:colOff>
      <xdr:row>0</xdr:row>
      <xdr:rowOff>106680</xdr:rowOff>
    </xdr:from>
    <xdr:to>
      <xdr:col>26</xdr:col>
      <xdr:colOff>617220</xdr:colOff>
      <xdr:row>2</xdr:row>
      <xdr:rowOff>213360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6206097-A734-40A6-9B68-BA3474B709B4}"/>
            </a:ext>
          </a:extLst>
        </xdr:cNvPr>
        <xdr:cNvSpPr/>
      </xdr:nvSpPr>
      <xdr:spPr>
        <a:xfrm rot="16200000">
          <a:off x="9986762475" y="-1644015"/>
          <a:ext cx="582930" cy="408432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</xdr:colOff>
      <xdr:row>18</xdr:row>
      <xdr:rowOff>0</xdr:rowOff>
    </xdr:from>
    <xdr:to>
      <xdr:col>6</xdr:col>
      <xdr:colOff>1</xdr:colOff>
      <xdr:row>36</xdr:row>
      <xdr:rowOff>152400</xdr:rowOff>
    </xdr:to>
    <xdr:pic>
      <xdr:nvPicPr>
        <xdr:cNvPr id="2" name="תמונה 1" descr="תמונה פרויקט מינהל תפעול, מתנ&quot;ס נוף ים">
          <a:extLst>
            <a:ext uri="{FF2B5EF4-FFF2-40B4-BE49-F238E27FC236}">
              <a16:creationId xmlns:a16="http://schemas.microsoft.com/office/drawing/2014/main" id="{4289DEAE-C081-4BAA-BFC4-2BFAE7F2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104999" y="3390900"/>
          <a:ext cx="5429249" cy="346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24</xdr:row>
      <xdr:rowOff>28574</xdr:rowOff>
    </xdr:from>
    <xdr:to>
      <xdr:col>3</xdr:col>
      <xdr:colOff>2971800</xdr:colOff>
      <xdr:row>33</xdr:row>
      <xdr:rowOff>171450</xdr:rowOff>
    </xdr:to>
    <xdr:pic>
      <xdr:nvPicPr>
        <xdr:cNvPr id="3" name="תמונה 2" descr="תמונה פרויקט מינהל תפעול, בית ספר ימי">
          <a:extLst>
            <a:ext uri="{FF2B5EF4-FFF2-40B4-BE49-F238E27FC236}">
              <a16:creationId xmlns:a16="http://schemas.microsoft.com/office/drawing/2014/main" id="{ABE8B2C1-59F9-4AC6-9459-5E9BD4B8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838675" y="5000624"/>
          <a:ext cx="2971799" cy="184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9522</xdr:colOff>
      <xdr:row>0</xdr:row>
      <xdr:rowOff>0</xdr:rowOff>
    </xdr:from>
    <xdr:to>
      <xdr:col>14</xdr:col>
      <xdr:colOff>734292</xdr:colOff>
      <xdr:row>2</xdr:row>
      <xdr:rowOff>209547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2D0B18E7-E2E7-4A1F-8030-D0A380C56CFB}"/>
            </a:ext>
          </a:extLst>
        </xdr:cNvPr>
        <xdr:cNvSpPr/>
      </xdr:nvSpPr>
      <xdr:spPr>
        <a:xfrm rot="16200000">
          <a:off x="9689191520" y="-1143437"/>
          <a:ext cx="638172" cy="292504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22</xdr:col>
      <xdr:colOff>9525</xdr:colOff>
      <xdr:row>2</xdr:row>
      <xdr:rowOff>219073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78B527D5-B832-4149-BD0D-BE64937AB55D}"/>
            </a:ext>
          </a:extLst>
        </xdr:cNvPr>
        <xdr:cNvSpPr/>
      </xdr:nvSpPr>
      <xdr:spPr>
        <a:xfrm rot="16200000">
          <a:off x="9687348864" y="-42864"/>
          <a:ext cx="647698" cy="7334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2025</a:t>
          </a:r>
        </a:p>
      </xdr:txBody>
    </xdr:sp>
    <xdr:clientData/>
  </xdr:twoCellAnchor>
  <xdr:twoCellAnchor>
    <xdr:from>
      <xdr:col>21</xdr:col>
      <xdr:colOff>15240</xdr:colOff>
      <xdr:row>0</xdr:row>
      <xdr:rowOff>0</xdr:rowOff>
    </xdr:from>
    <xdr:to>
      <xdr:col>27</xdr:col>
      <xdr:colOff>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C5F147F0-F66F-462B-9365-99A25BE3B7DB}"/>
            </a:ext>
          </a:extLst>
        </xdr:cNvPr>
        <xdr:cNvSpPr/>
      </xdr:nvSpPr>
      <xdr:spPr>
        <a:xfrm rot="16200000">
          <a:off x="9687595560" y="-1661160"/>
          <a:ext cx="672465" cy="399478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90500" y="19050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חלוקת ההשקעה בתקציב לפי אגפים באלפי ש&quot;ח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799700" y="190500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658088</xdr:colOff>
      <xdr:row>0</xdr:row>
      <xdr:rowOff>0</xdr:rowOff>
    </xdr:from>
    <xdr:to>
      <xdr:col>14</xdr:col>
      <xdr:colOff>734292</xdr:colOff>
      <xdr:row>2</xdr:row>
      <xdr:rowOff>235526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10808519-8462-4425-A9AF-1BA242008CC3}"/>
            </a:ext>
          </a:extLst>
        </xdr:cNvPr>
        <xdr:cNvSpPr/>
      </xdr:nvSpPr>
      <xdr:spPr>
        <a:xfrm rot="16200000">
          <a:off x="9697502947" y="-2939764"/>
          <a:ext cx="664151" cy="6543679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13854</xdr:colOff>
      <xdr:row>0</xdr:row>
      <xdr:rowOff>0</xdr:rowOff>
    </xdr:from>
    <xdr:to>
      <xdr:col>20</xdr:col>
      <xdr:colOff>670560</xdr:colOff>
      <xdr:row>2</xdr:row>
      <xdr:rowOff>242454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959BFCE4-2D4D-4538-A8F3-F5629599300C}"/>
            </a:ext>
          </a:extLst>
        </xdr:cNvPr>
        <xdr:cNvSpPr/>
      </xdr:nvSpPr>
      <xdr:spPr>
        <a:xfrm rot="16200000">
          <a:off x="9690885928" y="-345238"/>
          <a:ext cx="671079" cy="1361556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2025</a:t>
          </a:r>
        </a:p>
      </xdr:txBody>
    </xdr:sp>
    <xdr:clientData/>
  </xdr:twoCellAnchor>
  <xdr:twoCellAnchor>
    <xdr:from>
      <xdr:col>21</xdr:col>
      <xdr:colOff>15240</xdr:colOff>
      <xdr:row>0</xdr:row>
      <xdr:rowOff>0</xdr:rowOff>
    </xdr:from>
    <xdr:to>
      <xdr:col>27</xdr:col>
      <xdr:colOff>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F9E1051B-E497-4D03-9C77-975615B48AD0}"/>
            </a:ext>
          </a:extLst>
        </xdr:cNvPr>
        <xdr:cNvSpPr/>
      </xdr:nvSpPr>
      <xdr:spPr>
        <a:xfrm rot="16200000">
          <a:off x="9688286122" y="-1513522"/>
          <a:ext cx="672465" cy="369951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83820</xdr:rowOff>
    </xdr:from>
    <xdr:to>
      <xdr:col>20</xdr:col>
      <xdr:colOff>655320</xdr:colOff>
      <xdr:row>2</xdr:row>
      <xdr:rowOff>243840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 rot="16200000">
          <a:off x="8733669668" y="60007"/>
          <a:ext cx="560070" cy="60769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2024</a:t>
          </a:r>
        </a:p>
      </xdr:txBody>
    </xdr:sp>
    <xdr:clientData/>
  </xdr:twoCellAnchor>
  <xdr:twoCellAnchor>
    <xdr:from>
      <xdr:col>6</xdr:col>
      <xdr:colOff>0</xdr:colOff>
      <xdr:row>0</xdr:row>
      <xdr:rowOff>91440</xdr:rowOff>
    </xdr:from>
    <xdr:to>
      <xdr:col>14</xdr:col>
      <xdr:colOff>655320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 rot="16200000">
          <a:off x="8735300347" y="-934402"/>
          <a:ext cx="565785" cy="261747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  <xdr:twoCellAnchor>
    <xdr:from>
      <xdr:col>20</xdr:col>
      <xdr:colOff>647698</xdr:colOff>
      <xdr:row>0</xdr:row>
      <xdr:rowOff>47624</xdr:rowOff>
    </xdr:from>
    <xdr:to>
      <xdr:col>26</xdr:col>
      <xdr:colOff>761999</xdr:colOff>
      <xdr:row>2</xdr:row>
      <xdr:rowOff>247650</xdr:rowOff>
    </xdr:to>
    <xdr:sp macro="" textlink="">
      <xdr:nvSpPr>
        <xdr:cNvPr id="5" name="סוגר מסולסל ימני 4">
          <a:extLst>
            <a:ext uri="{FF2B5EF4-FFF2-40B4-BE49-F238E27FC236}">
              <a16:creationId xmlns:a16="http://schemas.microsoft.com/office/drawing/2014/main" id="{EE4B88D4-CCA6-4B83-BC83-DD49CA266C12}"/>
            </a:ext>
          </a:extLst>
        </xdr:cNvPr>
        <xdr:cNvSpPr/>
      </xdr:nvSpPr>
      <xdr:spPr>
        <a:xfrm rot="16200000">
          <a:off x="8738463601" y="-2000251"/>
          <a:ext cx="771526" cy="4867276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83820</xdr:rowOff>
    </xdr:from>
    <xdr:to>
      <xdr:col>20</xdr:col>
      <xdr:colOff>655320</xdr:colOff>
      <xdr:row>2</xdr:row>
      <xdr:rowOff>243840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CB73AC61-7EA4-4D96-B9E8-FC928CB9AEF1}"/>
            </a:ext>
          </a:extLst>
        </xdr:cNvPr>
        <xdr:cNvSpPr/>
      </xdr:nvSpPr>
      <xdr:spPr>
        <a:xfrm rot="16200000">
          <a:off x="8743385168" y="-1854518"/>
          <a:ext cx="560070" cy="443674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2024</a:t>
          </a:r>
        </a:p>
      </xdr:txBody>
    </xdr:sp>
    <xdr:clientData/>
  </xdr:twoCellAnchor>
  <xdr:twoCellAnchor>
    <xdr:from>
      <xdr:col>6</xdr:col>
      <xdr:colOff>0</xdr:colOff>
      <xdr:row>0</xdr:row>
      <xdr:rowOff>91440</xdr:rowOff>
    </xdr:from>
    <xdr:to>
      <xdr:col>14</xdr:col>
      <xdr:colOff>655320</xdr:colOff>
      <xdr:row>3</xdr:row>
      <xdr:rowOff>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1F250838-CC32-49FA-A1CE-AFA841D7D634}"/>
            </a:ext>
          </a:extLst>
        </xdr:cNvPr>
        <xdr:cNvSpPr/>
      </xdr:nvSpPr>
      <xdr:spPr>
        <a:xfrm rot="16200000">
          <a:off x="8748582960" y="-2586990"/>
          <a:ext cx="565785" cy="592264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 rot="16200000">
          <a:off x="9987377790" y="-950595"/>
          <a:ext cx="664845" cy="273367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114299</xdr:rowOff>
    </xdr:from>
    <xdr:to>
      <xdr:col>20</xdr:col>
      <xdr:colOff>695322</xdr:colOff>
      <xdr:row>2</xdr:row>
      <xdr:rowOff>247648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 rot="16200000">
          <a:off x="9985395639" y="-223837"/>
          <a:ext cx="609599" cy="1285872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2025</a:t>
          </a:r>
        </a:p>
      </xdr:txBody>
    </xdr:sp>
    <xdr:clientData/>
  </xdr:twoCellAnchor>
  <xdr:twoCellAnchor>
    <xdr:from>
      <xdr:col>21</xdr:col>
      <xdr:colOff>15241</xdr:colOff>
      <xdr:row>0</xdr:row>
      <xdr:rowOff>114299</xdr:rowOff>
    </xdr:from>
    <xdr:to>
      <xdr:col>22</xdr:col>
      <xdr:colOff>641983</xdr:colOff>
      <xdr:row>2</xdr:row>
      <xdr:rowOff>247648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SpPr/>
      </xdr:nvSpPr>
      <xdr:spPr>
        <a:xfrm rot="16200000">
          <a:off x="9984119288" y="-199072"/>
          <a:ext cx="609599" cy="1236342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763AB632-5033-4571-A76B-BE08C8A14FA8}"/>
            </a:ext>
          </a:extLst>
        </xdr:cNvPr>
        <xdr:cNvSpPr/>
      </xdr:nvSpPr>
      <xdr:spPr>
        <a:xfrm rot="16200000">
          <a:off x="9995545477" y="-2526982"/>
          <a:ext cx="664845" cy="588645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114299</xdr:rowOff>
    </xdr:from>
    <xdr:to>
      <xdr:col>20</xdr:col>
      <xdr:colOff>695322</xdr:colOff>
      <xdr:row>2</xdr:row>
      <xdr:rowOff>247648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5914B465-63FF-4CE1-B0F3-D90E26496779}"/>
            </a:ext>
          </a:extLst>
        </xdr:cNvPr>
        <xdr:cNvSpPr/>
      </xdr:nvSpPr>
      <xdr:spPr>
        <a:xfrm rot="16200000">
          <a:off x="9990796314" y="-1414462"/>
          <a:ext cx="609599" cy="3667122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2025</a:t>
          </a:r>
        </a:p>
      </xdr:txBody>
    </xdr:sp>
    <xdr:clientData/>
  </xdr:twoCellAnchor>
  <xdr:twoCellAnchor>
    <xdr:from>
      <xdr:col>21</xdr:col>
      <xdr:colOff>15241</xdr:colOff>
      <xdr:row>0</xdr:row>
      <xdr:rowOff>114299</xdr:rowOff>
    </xdr:from>
    <xdr:to>
      <xdr:col>22</xdr:col>
      <xdr:colOff>641983</xdr:colOff>
      <xdr:row>2</xdr:row>
      <xdr:rowOff>247648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82E67ADD-ABEF-4DC8-9AC3-0207271E6D4D}"/>
            </a:ext>
          </a:extLst>
        </xdr:cNvPr>
        <xdr:cNvSpPr/>
      </xdr:nvSpPr>
      <xdr:spPr>
        <a:xfrm rot="16200000">
          <a:off x="9988329338" y="-199072"/>
          <a:ext cx="609599" cy="1236342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 rot="16200000">
          <a:off x="9987311115" y="-998220"/>
          <a:ext cx="664845" cy="28289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114299</xdr:rowOff>
    </xdr:from>
    <xdr:to>
      <xdr:col>20</xdr:col>
      <xdr:colOff>695322</xdr:colOff>
      <xdr:row>2</xdr:row>
      <xdr:rowOff>247648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SpPr/>
      </xdr:nvSpPr>
      <xdr:spPr>
        <a:xfrm rot="16200000">
          <a:off x="9985600427" y="95250"/>
          <a:ext cx="609599" cy="647697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2025</a:t>
          </a:r>
        </a:p>
      </xdr:txBody>
    </xdr:sp>
    <xdr:clientData/>
  </xdr:twoCellAnchor>
  <xdr:twoCellAnchor>
    <xdr:from>
      <xdr:col>20</xdr:col>
      <xdr:colOff>655321</xdr:colOff>
      <xdr:row>0</xdr:row>
      <xdr:rowOff>114300</xdr:rowOff>
    </xdr:from>
    <xdr:to>
      <xdr:col>27</xdr:col>
      <xdr:colOff>15240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SpPr/>
      </xdr:nvSpPr>
      <xdr:spPr>
        <a:xfrm rot="16200000">
          <a:off x="9984624112" y="-239077"/>
          <a:ext cx="605790" cy="1312544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D08EDF36-FD07-4A26-B72D-4639808FC960}"/>
            </a:ext>
          </a:extLst>
        </xdr:cNvPr>
        <xdr:cNvSpPr/>
      </xdr:nvSpPr>
      <xdr:spPr>
        <a:xfrm rot="16200000">
          <a:off x="9994297702" y="-2584132"/>
          <a:ext cx="664845" cy="600075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114299</xdr:rowOff>
    </xdr:from>
    <xdr:to>
      <xdr:col>20</xdr:col>
      <xdr:colOff>695322</xdr:colOff>
      <xdr:row>2</xdr:row>
      <xdr:rowOff>247648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1A5DEF35-9485-4DE1-8030-C598F7B6227C}"/>
            </a:ext>
          </a:extLst>
        </xdr:cNvPr>
        <xdr:cNvSpPr/>
      </xdr:nvSpPr>
      <xdr:spPr>
        <a:xfrm rot="16200000">
          <a:off x="9989338989" y="-1566862"/>
          <a:ext cx="609599" cy="3971922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2025</a:t>
          </a:r>
        </a:p>
      </xdr:txBody>
    </xdr:sp>
    <xdr:clientData/>
  </xdr:twoCellAnchor>
  <xdr:twoCellAnchor>
    <xdr:from>
      <xdr:col>20</xdr:col>
      <xdr:colOff>655321</xdr:colOff>
      <xdr:row>0</xdr:row>
      <xdr:rowOff>114300</xdr:rowOff>
    </xdr:from>
    <xdr:to>
      <xdr:col>27</xdr:col>
      <xdr:colOff>15240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74BAF6B5-1B67-4998-9D1B-B131177C1BA2}"/>
            </a:ext>
          </a:extLst>
        </xdr:cNvPr>
        <xdr:cNvSpPr/>
      </xdr:nvSpPr>
      <xdr:spPr>
        <a:xfrm rot="16200000">
          <a:off x="9985557562" y="-1382077"/>
          <a:ext cx="605790" cy="3598544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76200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 rot="16200000">
          <a:off x="9982425743" y="-902018"/>
          <a:ext cx="704850" cy="266128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152400</xdr:rowOff>
    </xdr:from>
    <xdr:to>
      <xdr:col>21</xdr:col>
      <xdr:colOff>0</xdr:colOff>
      <xdr:row>2</xdr:row>
      <xdr:rowOff>289560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/>
      </xdr:nvSpPr>
      <xdr:spPr>
        <a:xfrm rot="16200000">
          <a:off x="9980707433" y="25717"/>
          <a:ext cx="613410" cy="86677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2025</a:t>
          </a:r>
        </a:p>
      </xdr:txBody>
    </xdr:sp>
    <xdr:clientData/>
  </xdr:twoCellAnchor>
  <xdr:twoCellAnchor>
    <xdr:from>
      <xdr:col>21</xdr:col>
      <xdr:colOff>0</xdr:colOff>
      <xdr:row>0</xdr:row>
      <xdr:rowOff>144780</xdr:rowOff>
    </xdr:from>
    <xdr:to>
      <xdr:col>26</xdr:col>
      <xdr:colOff>617220</xdr:colOff>
      <xdr:row>2</xdr:row>
      <xdr:rowOff>266700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SpPr/>
      </xdr:nvSpPr>
      <xdr:spPr>
        <a:xfrm rot="16200000">
          <a:off x="9980281665" y="443865"/>
          <a:ext cx="59817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0</xdr:row>
      <xdr:rowOff>76200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45CAFE09-A60A-4EAC-BF14-A6363608B6CD}"/>
            </a:ext>
          </a:extLst>
        </xdr:cNvPr>
        <xdr:cNvSpPr/>
      </xdr:nvSpPr>
      <xdr:spPr>
        <a:xfrm rot="16200000">
          <a:off x="9986130968" y="-892493"/>
          <a:ext cx="704850" cy="264223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152400</xdr:rowOff>
    </xdr:from>
    <xdr:to>
      <xdr:col>21</xdr:col>
      <xdr:colOff>0</xdr:colOff>
      <xdr:row>2</xdr:row>
      <xdr:rowOff>289560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3DBD397A-DE26-4586-B622-E7CE3F81428E}"/>
            </a:ext>
          </a:extLst>
        </xdr:cNvPr>
        <xdr:cNvSpPr/>
      </xdr:nvSpPr>
      <xdr:spPr>
        <a:xfrm rot="16200000">
          <a:off x="9981570398" y="-227648"/>
          <a:ext cx="613410" cy="137350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2025</a:t>
          </a:r>
        </a:p>
      </xdr:txBody>
    </xdr:sp>
    <xdr:clientData/>
  </xdr:twoCellAnchor>
  <xdr:twoCellAnchor>
    <xdr:from>
      <xdr:col>21</xdr:col>
      <xdr:colOff>0</xdr:colOff>
      <xdr:row>0</xdr:row>
      <xdr:rowOff>144780</xdr:rowOff>
    </xdr:from>
    <xdr:to>
      <xdr:col>26</xdr:col>
      <xdr:colOff>617220</xdr:colOff>
      <xdr:row>2</xdr:row>
      <xdr:rowOff>266700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86F0FCFA-8826-4CBC-83FD-0AF77E1D8F89}"/>
            </a:ext>
          </a:extLst>
        </xdr:cNvPr>
        <xdr:cNvSpPr/>
      </xdr:nvSpPr>
      <xdr:spPr>
        <a:xfrm rot="16200000">
          <a:off x="9978863393" y="-1584008"/>
          <a:ext cx="598170" cy="405574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 rot="16200000">
          <a:off x="9048784290" y="-965835"/>
          <a:ext cx="645795" cy="27146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76200</xdr:rowOff>
    </xdr:from>
    <xdr:to>
      <xdr:col>21</xdr:col>
      <xdr:colOff>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SpPr/>
      </xdr:nvSpPr>
      <xdr:spPr>
        <a:xfrm rot="16200000">
          <a:off x="9046803090" y="-224790"/>
          <a:ext cx="645795" cy="124777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2025</a:t>
          </a:r>
          <a:endParaRPr kumimoji="0" lang="he-I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15240</xdr:colOff>
      <xdr:row>0</xdr:row>
      <xdr:rowOff>83820</xdr:rowOff>
    </xdr:from>
    <xdr:to>
      <xdr:col>26</xdr:col>
      <xdr:colOff>556260</xdr:colOff>
      <xdr:row>3</xdr:row>
      <xdr:rowOff>15240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SpPr/>
      </xdr:nvSpPr>
      <xdr:spPr>
        <a:xfrm rot="16200000">
          <a:off x="9045293377" y="-463867"/>
          <a:ext cx="645795" cy="174117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76200</xdr:rowOff>
    </xdr:from>
    <xdr:to>
      <xdr:col>13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rot="16200000">
          <a:off x="10227842130" y="-1245870"/>
          <a:ext cx="624840" cy="326898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13</xdr:col>
      <xdr:colOff>0</xdr:colOff>
      <xdr:row>0</xdr:row>
      <xdr:rowOff>68580</xdr:rowOff>
    </xdr:from>
    <xdr:to>
      <xdr:col>19</xdr:col>
      <xdr:colOff>0</xdr:colOff>
      <xdr:row>2</xdr:row>
      <xdr:rowOff>243840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10226466720" y="-373380"/>
          <a:ext cx="662940" cy="15468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2025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F87AF835-8D96-4FC0-89FD-874782B90E7A}"/>
            </a:ext>
          </a:extLst>
        </xdr:cNvPr>
        <xdr:cNvSpPr/>
      </xdr:nvSpPr>
      <xdr:spPr>
        <a:xfrm rot="16200000">
          <a:off x="9057842565" y="-2880360"/>
          <a:ext cx="598170" cy="649605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76200</xdr:rowOff>
    </xdr:from>
    <xdr:to>
      <xdr:col>21</xdr:col>
      <xdr:colOff>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C6DE7A5A-7DFC-4DD5-97D3-2E97DCBDFAFC}"/>
            </a:ext>
          </a:extLst>
        </xdr:cNvPr>
        <xdr:cNvSpPr/>
      </xdr:nvSpPr>
      <xdr:spPr>
        <a:xfrm rot="16200000">
          <a:off x="9052651440" y="-1567815"/>
          <a:ext cx="598170" cy="38862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2025</a:t>
          </a:r>
          <a:endParaRPr kumimoji="0" lang="he-I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15240</xdr:colOff>
      <xdr:row>0</xdr:row>
      <xdr:rowOff>83820</xdr:rowOff>
    </xdr:from>
    <xdr:to>
      <xdr:col>26</xdr:col>
      <xdr:colOff>556260</xdr:colOff>
      <xdr:row>3</xdr:row>
      <xdr:rowOff>15240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383C69B4-9BB1-45E7-8329-07814FA6A2D6}"/>
            </a:ext>
          </a:extLst>
        </xdr:cNvPr>
        <xdr:cNvSpPr/>
      </xdr:nvSpPr>
      <xdr:spPr>
        <a:xfrm rot="16200000">
          <a:off x="9048941453" y="-1368743"/>
          <a:ext cx="598170" cy="350329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12BC9346-7B24-4DD5-A09E-6E11B8D0274A}"/>
            </a:ext>
          </a:extLst>
        </xdr:cNvPr>
        <xdr:cNvSpPr/>
      </xdr:nvSpPr>
      <xdr:spPr>
        <a:xfrm rot="16200000">
          <a:off x="9668331248" y="-1002983"/>
          <a:ext cx="727710" cy="276415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21</xdr:col>
      <xdr:colOff>0</xdr:colOff>
      <xdr:row>2</xdr:row>
      <xdr:rowOff>251460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8284B95B-6EE7-42E1-A1BB-BE2ABAA5F6D4}"/>
            </a:ext>
          </a:extLst>
        </xdr:cNvPr>
        <xdr:cNvSpPr/>
      </xdr:nvSpPr>
      <xdr:spPr>
        <a:xfrm rot="16200000">
          <a:off x="9666606270" y="20955"/>
          <a:ext cx="689610" cy="7239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2025</a:t>
          </a:r>
        </a:p>
      </xdr:txBody>
    </xdr:sp>
    <xdr:clientData/>
  </xdr:twoCellAnchor>
  <xdr:twoCellAnchor>
    <xdr:from>
      <xdr:col>21</xdr:col>
      <xdr:colOff>0</xdr:colOff>
      <xdr:row>0</xdr:row>
      <xdr:rowOff>53340</xdr:rowOff>
    </xdr:from>
    <xdr:to>
      <xdr:col>24</xdr:col>
      <xdr:colOff>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CE675B02-6D99-4D37-83E5-FC7EA9EA1D97}"/>
            </a:ext>
          </a:extLst>
        </xdr:cNvPr>
        <xdr:cNvSpPr/>
      </xdr:nvSpPr>
      <xdr:spPr>
        <a:xfrm rot="16200000">
          <a:off x="9666255750" y="386715"/>
          <a:ext cx="666750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</xdr:colOff>
      <xdr:row>0</xdr:row>
      <xdr:rowOff>15240</xdr:rowOff>
    </xdr:from>
    <xdr:to>
      <xdr:col>15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7529A1DC-5D9F-421B-957B-F3B1CD5AAB66}"/>
            </a:ext>
          </a:extLst>
        </xdr:cNvPr>
        <xdr:cNvSpPr/>
      </xdr:nvSpPr>
      <xdr:spPr>
        <a:xfrm rot="16200000">
          <a:off x="9676203660" y="-988695"/>
          <a:ext cx="727710" cy="27355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15</xdr:col>
      <xdr:colOff>0</xdr:colOff>
      <xdr:row>0</xdr:row>
      <xdr:rowOff>38100</xdr:rowOff>
    </xdr:from>
    <xdr:to>
      <xdr:col>21</xdr:col>
      <xdr:colOff>0</xdr:colOff>
      <xdr:row>2</xdr:row>
      <xdr:rowOff>251460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36E620DF-B003-45FA-ABF1-1C8D4F412BC4}"/>
            </a:ext>
          </a:extLst>
        </xdr:cNvPr>
        <xdr:cNvSpPr/>
      </xdr:nvSpPr>
      <xdr:spPr>
        <a:xfrm rot="16200000">
          <a:off x="9672840383" y="-1631633"/>
          <a:ext cx="689610" cy="402907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2025</a:t>
          </a:r>
        </a:p>
      </xdr:txBody>
    </xdr:sp>
    <xdr:clientData/>
  </xdr:twoCellAnchor>
  <xdr:twoCellAnchor>
    <xdr:from>
      <xdr:col>21</xdr:col>
      <xdr:colOff>0</xdr:colOff>
      <xdr:row>0</xdr:row>
      <xdr:rowOff>53340</xdr:rowOff>
    </xdr:from>
    <xdr:to>
      <xdr:col>24</xdr:col>
      <xdr:colOff>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4B7A3D3B-8B01-48B3-98D8-430AEE0DADD9}"/>
            </a:ext>
          </a:extLst>
        </xdr:cNvPr>
        <xdr:cNvSpPr/>
      </xdr:nvSpPr>
      <xdr:spPr>
        <a:xfrm rot="16200000">
          <a:off x="9669860963" y="-589598"/>
          <a:ext cx="666750" cy="19526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38100</xdr:rowOff>
    </xdr:from>
    <xdr:to>
      <xdr:col>19</xdr:col>
      <xdr:colOff>9525</xdr:colOff>
      <xdr:row>2</xdr:row>
      <xdr:rowOff>180975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/>
      </xdr:nvSpPr>
      <xdr:spPr>
        <a:xfrm rot="16200000">
          <a:off x="9985748062" y="-976312"/>
          <a:ext cx="619125" cy="264795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0</xdr:rowOff>
    </xdr:from>
    <xdr:to>
      <xdr:col>20</xdr:col>
      <xdr:colOff>601980</xdr:colOff>
      <xdr:row>2</xdr:row>
      <xdr:rowOff>167640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 rot="16200000">
          <a:off x="9983721143" y="-227648"/>
          <a:ext cx="643890" cy="109918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2025</a:t>
          </a:r>
        </a:p>
      </xdr:txBody>
    </xdr:sp>
    <xdr:clientData/>
  </xdr:twoCellAnchor>
  <xdr:twoCellAnchor>
    <xdr:from>
      <xdr:col>21</xdr:col>
      <xdr:colOff>7620</xdr:colOff>
      <xdr:row>0</xdr:row>
      <xdr:rowOff>0</xdr:rowOff>
    </xdr:from>
    <xdr:to>
      <xdr:col>26</xdr:col>
      <xdr:colOff>495300</xdr:colOff>
      <xdr:row>2</xdr:row>
      <xdr:rowOff>160020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0000000-0008-0000-3C00-000004000000}"/>
            </a:ext>
          </a:extLst>
        </xdr:cNvPr>
        <xdr:cNvSpPr/>
      </xdr:nvSpPr>
      <xdr:spPr>
        <a:xfrm rot="16200000">
          <a:off x="9982663868" y="-187643"/>
          <a:ext cx="636270" cy="101155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38100</xdr:rowOff>
    </xdr:from>
    <xdr:to>
      <xdr:col>14</xdr:col>
      <xdr:colOff>457200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93613A4-6A73-48B3-B4DF-89726980F34D}"/>
            </a:ext>
          </a:extLst>
        </xdr:cNvPr>
        <xdr:cNvSpPr/>
      </xdr:nvSpPr>
      <xdr:spPr>
        <a:xfrm rot="16200000">
          <a:off x="9993017543" y="-2483168"/>
          <a:ext cx="643890" cy="56864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19</xdr:col>
      <xdr:colOff>7620</xdr:colOff>
      <xdr:row>0</xdr:row>
      <xdr:rowOff>0</xdr:rowOff>
    </xdr:from>
    <xdr:to>
      <xdr:col>20</xdr:col>
      <xdr:colOff>601980</xdr:colOff>
      <xdr:row>2</xdr:row>
      <xdr:rowOff>167640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8FCC710F-24ED-42C7-82CC-C390A26B9365}"/>
            </a:ext>
          </a:extLst>
        </xdr:cNvPr>
        <xdr:cNvSpPr/>
      </xdr:nvSpPr>
      <xdr:spPr>
        <a:xfrm rot="16200000">
          <a:off x="9986311943" y="-227648"/>
          <a:ext cx="643890" cy="109918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2025</a:t>
          </a:r>
        </a:p>
      </xdr:txBody>
    </xdr:sp>
    <xdr:clientData/>
  </xdr:twoCellAnchor>
  <xdr:twoCellAnchor>
    <xdr:from>
      <xdr:col>21</xdr:col>
      <xdr:colOff>7620</xdr:colOff>
      <xdr:row>0</xdr:row>
      <xdr:rowOff>0</xdr:rowOff>
    </xdr:from>
    <xdr:to>
      <xdr:col>26</xdr:col>
      <xdr:colOff>495300</xdr:colOff>
      <xdr:row>2</xdr:row>
      <xdr:rowOff>160020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352770B9-9D1C-410B-8120-AF59DA0FFCFA}"/>
            </a:ext>
          </a:extLst>
        </xdr:cNvPr>
        <xdr:cNvSpPr/>
      </xdr:nvSpPr>
      <xdr:spPr>
        <a:xfrm rot="16200000">
          <a:off x="9984225968" y="-1216343"/>
          <a:ext cx="636270" cy="306895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771525</xdr:colOff>
      <xdr:row>0</xdr:row>
      <xdr:rowOff>127635</xdr:rowOff>
    </xdr:from>
    <xdr:to>
      <xdr:col>14</xdr:col>
      <xdr:colOff>704850</xdr:colOff>
      <xdr:row>3</xdr:row>
      <xdr:rowOff>19050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SpPr/>
      </xdr:nvSpPr>
      <xdr:spPr>
        <a:xfrm rot="16200000">
          <a:off x="9983825918" y="-926783"/>
          <a:ext cx="605790" cy="27146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693420</xdr:colOff>
      <xdr:row>0</xdr:row>
      <xdr:rowOff>114300</xdr:rowOff>
    </xdr:from>
    <xdr:to>
      <xdr:col>20</xdr:col>
      <xdr:colOff>662940</xdr:colOff>
      <xdr:row>2</xdr:row>
      <xdr:rowOff>228600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 rot="16200000">
          <a:off x="9982621958" y="-322898"/>
          <a:ext cx="590550" cy="146494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2025</a:t>
          </a:r>
        </a:p>
      </xdr:txBody>
    </xdr:sp>
    <xdr:clientData/>
  </xdr:twoCellAnchor>
  <xdr:twoCellAnchor>
    <xdr:from>
      <xdr:col>21</xdr:col>
      <xdr:colOff>9525</xdr:colOff>
      <xdr:row>0</xdr:row>
      <xdr:rowOff>53339</xdr:rowOff>
    </xdr:from>
    <xdr:to>
      <xdr:col>22</xdr:col>
      <xdr:colOff>607695</xdr:colOff>
      <xdr:row>2</xdr:row>
      <xdr:rowOff>180974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SpPr/>
      </xdr:nvSpPr>
      <xdr:spPr>
        <a:xfrm rot="16200000">
          <a:off x="9981170347" y="-315278"/>
          <a:ext cx="603885" cy="13411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22860</xdr:rowOff>
    </xdr:from>
    <xdr:to>
      <xdr:col>14</xdr:col>
      <xdr:colOff>640080</xdr:colOff>
      <xdr:row>2</xdr:row>
      <xdr:rowOff>144780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A57AB57-9670-4738-BD80-79108AE5AE2D}"/>
            </a:ext>
          </a:extLst>
        </xdr:cNvPr>
        <xdr:cNvSpPr/>
      </xdr:nvSpPr>
      <xdr:spPr>
        <a:xfrm rot="16200000">
          <a:off x="9992110763" y="-2727008"/>
          <a:ext cx="598170" cy="609790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14</xdr:col>
      <xdr:colOff>655320</xdr:colOff>
      <xdr:row>0</xdr:row>
      <xdr:rowOff>38100</xdr:rowOff>
    </xdr:from>
    <xdr:to>
      <xdr:col>20</xdr:col>
      <xdr:colOff>624840</xdr:colOff>
      <xdr:row>2</xdr:row>
      <xdr:rowOff>152400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18C6A158-52D3-44F8-A6B3-A68DE188A95A}"/>
            </a:ext>
          </a:extLst>
        </xdr:cNvPr>
        <xdr:cNvSpPr/>
      </xdr:nvSpPr>
      <xdr:spPr>
        <a:xfrm rot="16200000">
          <a:off x="9986770095" y="-1946910"/>
          <a:ext cx="590550" cy="456057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2025</a:t>
          </a:r>
        </a:p>
      </xdr:txBody>
    </xdr:sp>
    <xdr:clientData/>
  </xdr:twoCellAnchor>
  <xdr:twoCellAnchor>
    <xdr:from>
      <xdr:col>20</xdr:col>
      <xdr:colOff>640080</xdr:colOff>
      <xdr:row>0</xdr:row>
      <xdr:rowOff>53340</xdr:rowOff>
    </xdr:from>
    <xdr:to>
      <xdr:col>22</xdr:col>
      <xdr:colOff>617220</xdr:colOff>
      <xdr:row>2</xdr:row>
      <xdr:rowOff>167640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E56F58D5-4AC4-4D6F-AFDF-188F11CBBF28}"/>
            </a:ext>
          </a:extLst>
        </xdr:cNvPr>
        <xdr:cNvSpPr/>
      </xdr:nvSpPr>
      <xdr:spPr>
        <a:xfrm rot="16200000">
          <a:off x="9983771625" y="-354330"/>
          <a:ext cx="590550" cy="140589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0</xdr:row>
      <xdr:rowOff>76200</xdr:rowOff>
    </xdr:from>
    <xdr:to>
      <xdr:col>13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CF565BF6-5B83-4EA2-B15C-D1115C0BEDB3}"/>
            </a:ext>
          </a:extLst>
        </xdr:cNvPr>
        <xdr:cNvSpPr/>
      </xdr:nvSpPr>
      <xdr:spPr>
        <a:xfrm rot="16200000">
          <a:off x="9981522773" y="-1170623"/>
          <a:ext cx="632460" cy="3126105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6922</xdr:colOff>
      <xdr:row>0</xdr:row>
      <xdr:rowOff>145472</xdr:rowOff>
    </xdr:from>
    <xdr:to>
      <xdr:col>14</xdr:col>
      <xdr:colOff>706581</xdr:colOff>
      <xdr:row>4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22417FE4-C19D-4EB9-A6CC-5F73162BA465}"/>
            </a:ext>
          </a:extLst>
        </xdr:cNvPr>
        <xdr:cNvSpPr/>
      </xdr:nvSpPr>
      <xdr:spPr>
        <a:xfrm rot="16200000">
          <a:off x="9665718193" y="463954"/>
          <a:ext cx="636963" cy="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106680</xdr:rowOff>
    </xdr:from>
    <xdr:to>
      <xdr:col>15</xdr:col>
      <xdr:colOff>0</xdr:colOff>
      <xdr:row>3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DB8FFD0E-3C0A-47A0-8093-040F1C04503E}"/>
            </a:ext>
          </a:extLst>
        </xdr:cNvPr>
        <xdr:cNvSpPr/>
      </xdr:nvSpPr>
      <xdr:spPr>
        <a:xfrm rot="16200000">
          <a:off x="9975441060" y="398145"/>
          <a:ext cx="582930" cy="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16002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חלוקת ההשקעה בתקציב לפי פרקים באלפי ש&quot;ח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8485250" y="160020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15</xdr:col>
      <xdr:colOff>0</xdr:colOff>
      <xdr:row>4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110AAFD1-A5EE-4CBF-BAB0-8F98CD0A371D}"/>
            </a:ext>
          </a:extLst>
        </xdr:cNvPr>
        <xdr:cNvSpPr/>
      </xdr:nvSpPr>
      <xdr:spPr>
        <a:xfrm rot="16200000">
          <a:off x="9971132902" y="416243"/>
          <a:ext cx="664845" cy="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0</xdr:row>
      <xdr:rowOff>99060</xdr:rowOff>
    </xdr:from>
    <xdr:to>
      <xdr:col>12</xdr:col>
      <xdr:colOff>853440</xdr:colOff>
      <xdr:row>2</xdr:row>
      <xdr:rowOff>236220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rot="16200000">
          <a:off x="10228939410" y="-1238250"/>
          <a:ext cx="624840" cy="32994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13</xdr:col>
      <xdr:colOff>0</xdr:colOff>
      <xdr:row>0</xdr:row>
      <xdr:rowOff>68580</xdr:rowOff>
    </xdr:from>
    <xdr:to>
      <xdr:col>19</xdr:col>
      <xdr:colOff>0</xdr:colOff>
      <xdr:row>2</xdr:row>
      <xdr:rowOff>281940</xdr:rowOff>
    </xdr:to>
    <xdr:sp macro="" textlink="">
      <xdr:nvSpPr>
        <xdr:cNvPr id="5" name="סוגר מסולסל ימני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 rot="16200000">
          <a:off x="10226470530" y="-354330"/>
          <a:ext cx="701040" cy="154686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" y="333375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התקציב לפי מקורות מימון באלפי ש&quot;ח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8409050" y="333375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238128</xdr:colOff>
      <xdr:row>23</xdr:row>
      <xdr:rowOff>28578</xdr:rowOff>
    </xdr:from>
    <xdr:to>
      <xdr:col>4</xdr:col>
      <xdr:colOff>657226</xdr:colOff>
      <xdr:row>34</xdr:row>
      <xdr:rowOff>171450</xdr:rowOff>
    </xdr:to>
    <xdr:pic>
      <xdr:nvPicPr>
        <xdr:cNvPr id="3" name="תמונה 2" descr="תמונה פרויקט מינהל הנדסה פיתוח דן שומרון">
          <a:extLst>
            <a:ext uri="{FF2B5EF4-FFF2-40B4-BE49-F238E27FC236}">
              <a16:creationId xmlns:a16="http://schemas.microsoft.com/office/drawing/2014/main" id="{3BCB1B4D-A72F-4CDD-B138-27516247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986143349" y="4610103"/>
          <a:ext cx="2285997" cy="2305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17</xdr:row>
      <xdr:rowOff>0</xdr:rowOff>
    </xdr:from>
    <xdr:to>
      <xdr:col>4</xdr:col>
      <xdr:colOff>2619375</xdr:colOff>
      <xdr:row>35</xdr:row>
      <xdr:rowOff>47625</xdr:rowOff>
    </xdr:to>
    <xdr:pic>
      <xdr:nvPicPr>
        <xdr:cNvPr id="3" name="תמונה 2" descr="תמונה פרויקט מינהל הנדסה שדרוג מובל ניקוז בנעמי שמר">
          <a:extLst>
            <a:ext uri="{FF2B5EF4-FFF2-40B4-BE49-F238E27FC236}">
              <a16:creationId xmlns:a16="http://schemas.microsoft.com/office/drawing/2014/main" id="{7C62692F-59DA-4E56-82B7-EA45D9CF0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505050" y="3438525"/>
          <a:ext cx="5000624" cy="33051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</xdr:colOff>
      <xdr:row>0</xdr:row>
      <xdr:rowOff>165562</xdr:rowOff>
    </xdr:from>
    <xdr:to>
      <xdr:col>21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A0365B12-2006-40A9-90B4-02BE569022A6}"/>
            </a:ext>
          </a:extLst>
        </xdr:cNvPr>
        <xdr:cNvSpPr/>
      </xdr:nvSpPr>
      <xdr:spPr>
        <a:xfrm rot="16200000">
          <a:off x="9677793296" y="-246784"/>
          <a:ext cx="615488" cy="144018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</a:t>
          </a:r>
          <a:r>
            <a:rPr lang="en-US" sz="900">
              <a:solidFill>
                <a:schemeClr val="tx1"/>
              </a:solidFill>
              <a:latin typeface="+mn-lt"/>
              <a:ea typeface="+mn-ea"/>
              <a:cs typeface="+mn-cs"/>
            </a:rPr>
            <a:t>2025</a:t>
          </a:r>
          <a:endParaRPr lang="he-IL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6922</xdr:colOff>
      <xdr:row>0</xdr:row>
      <xdr:rowOff>145472</xdr:rowOff>
    </xdr:from>
    <xdr:to>
      <xdr:col>14</xdr:col>
      <xdr:colOff>706581</xdr:colOff>
      <xdr:row>3</xdr:row>
      <xdr:rowOff>1385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A7832D78-89FF-4FC0-944F-CF7435A8170E}"/>
            </a:ext>
          </a:extLst>
        </xdr:cNvPr>
        <xdr:cNvSpPr/>
      </xdr:nvSpPr>
      <xdr:spPr>
        <a:xfrm rot="16200000">
          <a:off x="9684620992" y="-2829101"/>
          <a:ext cx="636963" cy="6586109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21</xdr:col>
      <xdr:colOff>30480</xdr:colOff>
      <xdr:row>0</xdr:row>
      <xdr:rowOff>182707</xdr:rowOff>
    </xdr:from>
    <xdr:to>
      <xdr:col>26</xdr:col>
      <xdr:colOff>651510</xdr:colOff>
      <xdr:row>3</xdr:row>
      <xdr:rowOff>9525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1121FAA6-4BD2-4D2A-9C0A-4D25C1F3197D}"/>
            </a:ext>
          </a:extLst>
        </xdr:cNvPr>
        <xdr:cNvSpPr/>
      </xdr:nvSpPr>
      <xdr:spPr>
        <a:xfrm rot="16200000">
          <a:off x="9670068521" y="-490624"/>
          <a:ext cx="607868" cy="195453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4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3.bin"/><Relationship Id="rId4" Type="http://schemas.openxmlformats.org/officeDocument/2006/relationships/comments" Target="../comments8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zoomScaleNormal="100" workbookViewId="0">
      <selection activeCell="T6" sqref="T6"/>
    </sheetView>
  </sheetViews>
  <sheetFormatPr defaultRowHeight="12.75"/>
  <sheetData/>
  <printOptions horizontalCentered="1"/>
  <pageMargins left="0" right="0" top="1.3779527559055118" bottom="0.55118110236220474" header="0.9055118110236221" footer="0.31496062992125984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4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63" customWidth="1"/>
    <col min="4" max="4" width="33" style="63" customWidth="1"/>
    <col min="5" max="5" width="9.5703125" style="63" customWidth="1"/>
    <col min="6" max="6" width="26.7109375" style="63" customWidth="1"/>
    <col min="7" max="7" width="27.140625" style="63" customWidth="1"/>
    <col min="8" max="9" width="12.140625" style="63" customWidth="1"/>
    <col min="10" max="10" width="7.85546875" style="63" customWidth="1"/>
    <col min="11" max="16384" width="9.140625" style="63"/>
  </cols>
  <sheetData>
    <row r="1" spans="1:17" ht="20.25">
      <c r="E1" s="64"/>
    </row>
    <row r="2" spans="1:17" ht="15.75">
      <c r="A2" s="65">
        <v>3.7</v>
      </c>
      <c r="C2" s="65" t="s">
        <v>150</v>
      </c>
      <c r="D2" s="65"/>
      <c r="E2" s="65"/>
      <c r="F2" s="65"/>
      <c r="G2" s="65"/>
      <c r="H2" s="65"/>
      <c r="I2" s="65"/>
      <c r="J2" s="65"/>
      <c r="K2" s="65"/>
      <c r="L2" s="65"/>
    </row>
    <row r="3" spans="1:17" ht="16.5" thickBot="1"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7" ht="20.100000000000001" customHeight="1">
      <c r="A4" s="65"/>
      <c r="C4" s="83" t="s">
        <v>109</v>
      </c>
      <c r="D4" s="84"/>
      <c r="E4" s="85"/>
      <c r="F4" s="86" t="s">
        <v>877</v>
      </c>
      <c r="G4" s="105" t="s">
        <v>643</v>
      </c>
      <c r="M4" s="65"/>
      <c r="N4" s="65"/>
      <c r="O4" s="65"/>
    </row>
    <row r="5" spans="1:17" ht="20.100000000000001" customHeight="1">
      <c r="A5" s="65"/>
      <c r="C5" s="88" t="s">
        <v>151</v>
      </c>
      <c r="D5" s="89"/>
      <c r="E5" s="90"/>
      <c r="F5" s="91">
        <f>'פרוט מקורות אחרים'!M14/1000</f>
        <v>0</v>
      </c>
      <c r="G5" s="92">
        <v>30</v>
      </c>
      <c r="M5" s="65"/>
      <c r="N5" s="65"/>
      <c r="O5" s="65"/>
    </row>
    <row r="6" spans="1:17" ht="20.100000000000001" customHeight="1">
      <c r="A6" s="65"/>
      <c r="C6" s="88" t="s">
        <v>152</v>
      </c>
      <c r="D6" s="94"/>
      <c r="E6" s="90"/>
      <c r="F6" s="91">
        <f>'פרוט מקורות אחרים'!D14/1000</f>
        <v>9932.2579999999998</v>
      </c>
      <c r="G6" s="92">
        <v>39839</v>
      </c>
      <c r="M6" s="65"/>
      <c r="N6" s="65"/>
      <c r="O6" s="65"/>
    </row>
    <row r="7" spans="1:17" ht="20.100000000000001" hidden="1" customHeight="1">
      <c r="A7" s="65"/>
      <c r="C7" s="88" t="s">
        <v>153</v>
      </c>
      <c r="D7" s="89"/>
      <c r="E7" s="90"/>
      <c r="F7" s="91"/>
      <c r="G7" s="92"/>
      <c r="M7" s="65"/>
      <c r="N7" s="65"/>
      <c r="O7" s="65"/>
    </row>
    <row r="8" spans="1:17" ht="20.100000000000001" customHeight="1">
      <c r="A8" s="65"/>
      <c r="C8" s="88" t="s">
        <v>154</v>
      </c>
      <c r="D8" s="89"/>
      <c r="E8" s="90"/>
      <c r="F8" s="91">
        <f>'פרוט מקורות אחרים'!B14/1000</f>
        <v>3757.6619999999998</v>
      </c>
      <c r="G8" s="92">
        <v>34041</v>
      </c>
      <c r="M8" s="65"/>
      <c r="N8" s="65"/>
      <c r="O8" s="65"/>
    </row>
    <row r="9" spans="1:17" ht="20.100000000000001" customHeight="1">
      <c r="A9" s="65"/>
      <c r="C9" s="88" t="s">
        <v>137</v>
      </c>
      <c r="D9" s="106"/>
      <c r="E9" s="107"/>
      <c r="F9" s="91">
        <f>('פרוט מקורות אחרים'!C14+'פרוט מקורות אחרים'!E14+'פרוט מקורות אחרים'!F14+'פרוט מקורות אחרים'!I14+'פרוט מקורות אחרים'!J14+'פרוט מקורות אחרים'!K14+'פרוט מקורות אחרים'!L14)/1000+'פרוט מקורות אחרים'!G14/1000</f>
        <v>10402.351999999999</v>
      </c>
      <c r="G9" s="92">
        <v>14160</v>
      </c>
      <c r="L9" s="98"/>
      <c r="M9" s="65"/>
      <c r="N9" s="65"/>
      <c r="O9" s="65"/>
    </row>
    <row r="10" spans="1:17" ht="20.100000000000001" customHeight="1">
      <c r="A10" s="65"/>
      <c r="C10" s="88" t="s">
        <v>155</v>
      </c>
      <c r="D10" s="89"/>
      <c r="E10" s="90"/>
      <c r="F10" s="91">
        <f>'פרוט מקורות אחרים'!H14/1000</f>
        <v>27174</v>
      </c>
      <c r="G10" s="92">
        <v>10848</v>
      </c>
      <c r="M10" s="65"/>
      <c r="N10" s="65"/>
      <c r="O10" s="65"/>
    </row>
    <row r="11" spans="1:17" ht="20.100000000000001" customHeight="1">
      <c r="A11" s="65"/>
      <c r="C11" s="88" t="s">
        <v>156</v>
      </c>
      <c r="D11" s="94"/>
      <c r="E11" s="90"/>
      <c r="F11" s="91">
        <f>'פרוט מקורות אחרים'!N14/1000</f>
        <v>15000</v>
      </c>
      <c r="G11" s="92">
        <v>10376</v>
      </c>
      <c r="M11" s="65"/>
      <c r="N11" s="65"/>
      <c r="O11" s="65"/>
    </row>
    <row r="12" spans="1:17" ht="20.100000000000001" customHeight="1" thickBot="1">
      <c r="A12" s="65"/>
      <c r="C12" s="99" t="s">
        <v>75</v>
      </c>
      <c r="D12" s="100"/>
      <c r="E12" s="101"/>
      <c r="F12" s="102">
        <f>SUM(F5:F11)</f>
        <v>66266.271999999997</v>
      </c>
      <c r="G12" s="108">
        <f>SUM(G5:G11)</f>
        <v>109294</v>
      </c>
      <c r="M12" s="65"/>
      <c r="N12" s="65"/>
      <c r="O12" s="65"/>
    </row>
    <row r="13" spans="1:17" ht="15.75">
      <c r="C13" s="65"/>
      <c r="D13" s="65"/>
      <c r="E13" s="65"/>
      <c r="F13" s="65"/>
      <c r="G13" s="65"/>
      <c r="H13" s="65"/>
      <c r="I13" s="65"/>
      <c r="J13" s="65"/>
      <c r="K13" s="65"/>
      <c r="L13" s="224"/>
    </row>
    <row r="14" spans="1:17" ht="15.75">
      <c r="B14" s="63" t="s">
        <v>157</v>
      </c>
      <c r="C14" s="65" t="s">
        <v>158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7" ht="15.75">
      <c r="C15" s="65" t="s">
        <v>159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7" ht="15.75"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ht="15.75">
      <c r="A17" s="65"/>
      <c r="B17" s="65"/>
      <c r="C17" s="146" t="s">
        <v>287</v>
      </c>
      <c r="D17" s="146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ht="15.75">
      <c r="A18" s="65"/>
      <c r="B18" s="65"/>
      <c r="C18" s="146"/>
      <c r="D18" s="146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ht="15.75">
      <c r="A19" s="65">
        <v>3.8</v>
      </c>
      <c r="B19" s="66" t="s">
        <v>160</v>
      </c>
    </row>
    <row r="20" spans="1:17" ht="15" customHeight="1">
      <c r="B20" s="65"/>
      <c r="C20" s="65"/>
      <c r="D20" s="65"/>
      <c r="E20" s="274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ht="20.100000000000001" customHeight="1">
      <c r="B21" s="65" t="s">
        <v>161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1:17" ht="20.100000000000001" customHeight="1">
      <c r="B22" s="65" t="s">
        <v>162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1:17" ht="20.100000000000001" customHeight="1">
      <c r="B23" s="65" t="s">
        <v>1204</v>
      </c>
      <c r="C23" s="65"/>
      <c r="D23" s="65"/>
      <c r="E23" s="65"/>
      <c r="F23" s="480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ht="9.6" customHeight="1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1:17" ht="20.100000000000001" customHeight="1">
      <c r="B25" s="305" t="s">
        <v>1426</v>
      </c>
      <c r="C25" s="305"/>
      <c r="D25" s="305"/>
      <c r="E25" s="146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1:17" ht="15.7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1:17" s="415" customFormat="1" ht="15.75">
      <c r="A27" s="303"/>
      <c r="B27" s="476"/>
      <c r="C27" s="477"/>
      <c r="D27" s="477"/>
      <c r="E27" s="477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</row>
    <row r="28" spans="1:17" s="415" customFormat="1" ht="15.75">
      <c r="A28" s="303"/>
      <c r="B28" s="476"/>
      <c r="C28" s="477"/>
      <c r="D28" s="477"/>
      <c r="E28" s="477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</row>
    <row r="29" spans="1:17" s="415" customFormat="1" ht="15.75">
      <c r="A29" s="303"/>
      <c r="B29" s="477"/>
      <c r="C29" s="477"/>
      <c r="D29" s="477"/>
      <c r="E29" s="477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</row>
    <row r="30" spans="1:17" s="415" customFormat="1" ht="15.75">
      <c r="A30" s="303"/>
      <c r="B30" s="477"/>
      <c r="C30" s="477"/>
      <c r="D30" s="477"/>
      <c r="E30" s="477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</row>
    <row r="31" spans="1:17" s="415" customFormat="1" ht="15.75">
      <c r="B31" s="478"/>
      <c r="C31" s="478"/>
      <c r="D31" s="478"/>
      <c r="E31" s="477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</row>
    <row r="32" spans="1:17" s="415" customFormat="1" ht="15.75">
      <c r="A32" s="303"/>
      <c r="B32" s="477"/>
      <c r="C32" s="477"/>
      <c r="D32" s="477"/>
      <c r="E32" s="477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</row>
    <row r="33" spans="2:17" s="415" customFormat="1" ht="8.4499999999999993" customHeight="1">
      <c r="B33" s="478"/>
      <c r="C33" s="478"/>
      <c r="D33" s="478"/>
      <c r="E33" s="477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</row>
    <row r="34" spans="2:17" s="415" customFormat="1" ht="20.100000000000001" hidden="1" customHeight="1">
      <c r="B34" s="479" t="s">
        <v>783</v>
      </c>
      <c r="C34" s="479"/>
      <c r="D34" s="479"/>
      <c r="E34" s="479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Q44"/>
  <sheetViews>
    <sheetView rightToLeft="1" workbookViewId="0">
      <selection activeCell="U4" sqref="U4"/>
    </sheetView>
  </sheetViews>
  <sheetFormatPr defaultColWidth="9.140625" defaultRowHeight="14.25"/>
  <cols>
    <col min="1" max="3" width="4.140625" style="154" customWidth="1"/>
    <col min="4" max="4" width="33" style="154" customWidth="1"/>
    <col min="5" max="9" width="12.140625" style="154" customWidth="1"/>
    <col min="10" max="10" width="7.85546875" style="154" customWidth="1"/>
    <col min="11" max="16384" width="9.140625" style="154"/>
  </cols>
  <sheetData>
    <row r="3" spans="1:17" ht="20.25">
      <c r="E3" s="155"/>
    </row>
    <row r="4" spans="1:17" ht="15.75">
      <c r="A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7" ht="15.75"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1:17" ht="20.100000000000001" customHeight="1">
      <c r="A6" s="156"/>
      <c r="C6" s="157"/>
      <c r="D6" s="158"/>
      <c r="F6" s="159"/>
      <c r="G6" s="159"/>
      <c r="M6" s="156"/>
      <c r="N6" s="156"/>
      <c r="O6" s="156"/>
    </row>
    <row r="7" spans="1:17" ht="20.100000000000001" customHeight="1">
      <c r="A7" s="156"/>
      <c r="C7" s="156"/>
      <c r="D7" s="156"/>
      <c r="F7" s="160"/>
      <c r="G7" s="160"/>
      <c r="M7" s="156"/>
      <c r="N7" s="156"/>
      <c r="O7" s="156"/>
    </row>
    <row r="8" spans="1:17" ht="20.100000000000001" customHeight="1">
      <c r="A8" s="156"/>
      <c r="C8" s="156"/>
      <c r="D8" s="156"/>
      <c r="F8" s="160"/>
      <c r="G8" s="160"/>
      <c r="M8" s="156"/>
      <c r="N8" s="156"/>
      <c r="O8" s="156"/>
    </row>
    <row r="9" spans="1:17" ht="20.100000000000001" customHeight="1">
      <c r="A9" s="156"/>
      <c r="C9" s="156"/>
      <c r="D9" s="156"/>
      <c r="F9" s="160"/>
      <c r="G9" s="160"/>
      <c r="M9" s="156"/>
      <c r="N9" s="156"/>
      <c r="O9" s="156"/>
    </row>
    <row r="10" spans="1:17" ht="20.100000000000001" customHeight="1">
      <c r="A10" s="156"/>
      <c r="C10" s="156"/>
      <c r="D10" s="156"/>
      <c r="F10" s="160"/>
      <c r="G10" s="160"/>
      <c r="M10" s="156"/>
      <c r="N10" s="156"/>
      <c r="O10" s="156"/>
    </row>
    <row r="11" spans="1:17" ht="20.100000000000001" customHeight="1">
      <c r="A11" s="156"/>
      <c r="C11" s="156"/>
      <c r="D11" s="157"/>
      <c r="E11" s="161"/>
      <c r="F11" s="160"/>
      <c r="G11" s="160"/>
      <c r="L11" s="160"/>
      <c r="M11" s="156"/>
      <c r="N11" s="156"/>
      <c r="O11" s="156"/>
    </row>
    <row r="12" spans="1:17" ht="20.100000000000001" customHeight="1">
      <c r="A12" s="156"/>
      <c r="C12" s="156"/>
      <c r="D12" s="156"/>
      <c r="F12" s="160"/>
      <c r="G12" s="160"/>
      <c r="M12" s="156"/>
      <c r="N12" s="156"/>
      <c r="O12" s="156"/>
    </row>
    <row r="13" spans="1:17" ht="20.100000000000001" customHeight="1">
      <c r="A13" s="156"/>
      <c r="C13" s="156"/>
      <c r="D13" s="156"/>
      <c r="F13" s="160"/>
      <c r="G13" s="160"/>
      <c r="M13" s="156"/>
      <c r="N13" s="156"/>
      <c r="O13" s="156"/>
    </row>
    <row r="14" spans="1:17" ht="20.100000000000001" customHeight="1">
      <c r="A14" s="156"/>
      <c r="C14" s="157"/>
      <c r="D14" s="156"/>
      <c r="F14" s="162"/>
      <c r="G14" s="159"/>
      <c r="M14" s="156"/>
      <c r="N14" s="156"/>
      <c r="O14" s="156"/>
    </row>
    <row r="15" spans="1:17" ht="15.75">
      <c r="C15" s="156"/>
      <c r="D15" s="156"/>
      <c r="E15" s="156"/>
      <c r="F15" s="156"/>
      <c r="G15" s="156"/>
      <c r="H15" s="156"/>
      <c r="I15" s="156"/>
      <c r="J15" s="156"/>
      <c r="K15" s="156"/>
      <c r="L15" s="156"/>
    </row>
    <row r="16" spans="1:17" ht="15.75"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</row>
    <row r="17" spans="1:17" ht="15.75"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</row>
    <row r="18" spans="1:17" ht="15.75"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</row>
    <row r="19" spans="1:17" ht="15.75" hidden="1">
      <c r="A19" s="163"/>
      <c r="B19" s="164"/>
    </row>
    <row r="20" spans="1:17" ht="15.75" hidden="1"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</row>
    <row r="21" spans="1:17" ht="23.25" hidden="1">
      <c r="A21" s="156"/>
      <c r="B21" s="156"/>
      <c r="C21" s="156"/>
      <c r="D21" s="156"/>
      <c r="E21" s="156"/>
      <c r="F21" s="156"/>
      <c r="G21" s="156"/>
      <c r="H21" s="156"/>
      <c r="I21" s="165"/>
      <c r="J21" s="156"/>
      <c r="K21" s="156"/>
      <c r="L21" s="156"/>
      <c r="M21" s="156"/>
      <c r="N21" s="156"/>
      <c r="O21" s="156"/>
      <c r="P21" s="156"/>
      <c r="Q21" s="156"/>
    </row>
    <row r="22" spans="1:17" ht="15.75" hidden="1"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</row>
    <row r="23" spans="1:17" ht="15.75" hidden="1"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</row>
    <row r="24" spans="1:17" ht="15.75" hidden="1"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</row>
    <row r="25" spans="1:17" ht="15.75" hidden="1"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</row>
    <row r="26" spans="1:17" ht="15.75" hidden="1"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</row>
    <row r="27" spans="1:17" ht="15.75" hidden="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</row>
    <row r="28" spans="1:17" ht="15.75" hidden="1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</row>
    <row r="29" spans="1:17" ht="15.75" hidden="1">
      <c r="A29" s="156"/>
      <c r="B29" s="156"/>
      <c r="C29" s="156"/>
      <c r="D29" s="156"/>
      <c r="E29" s="156"/>
      <c r="F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</row>
    <row r="30" spans="1:17" ht="15.75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</row>
    <row r="31" spans="1:17" ht="20.100000000000001" customHeight="1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</row>
    <row r="32" spans="1:17" ht="15.75">
      <c r="A32" s="163"/>
      <c r="B32" s="164"/>
    </row>
    <row r="33" spans="1:17" ht="20.100000000000001" customHeight="1"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</row>
    <row r="34" spans="1:17" ht="20.100000000000001" customHeight="1"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</row>
    <row r="35" spans="1:17" ht="20.100000000000001" customHeight="1"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</row>
    <row r="36" spans="1:17" ht="20.100000000000001" customHeight="1"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</row>
    <row r="37" spans="1:17" ht="20.100000000000001" customHeight="1"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</row>
    <row r="38" spans="1:17" ht="20.100000000000001" customHeight="1"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</row>
    <row r="39" spans="1:17" ht="15.75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</row>
    <row r="40" spans="1:17" ht="15.75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</row>
    <row r="41" spans="1:17" ht="15.75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</row>
    <row r="42" spans="1:17" ht="15.75">
      <c r="A42" s="163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</row>
    <row r="43" spans="1:17" ht="15.75"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</row>
    <row r="44" spans="1:17" ht="15.75"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C89"/>
  <sheetViews>
    <sheetView showZeros="0" rightToLeft="1" zoomScaleNormal="100" workbookViewId="0">
      <pane xSplit="1" ySplit="5" topLeftCell="B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.75"/>
  <cols>
    <col min="1" max="1" width="14.140625" style="34" customWidth="1"/>
    <col min="2" max="2" width="13.140625" style="35" bestFit="1" customWidth="1"/>
    <col min="3" max="3" width="13" style="35" customWidth="1"/>
    <col min="4" max="4" width="12.5703125" style="35" customWidth="1"/>
    <col min="5" max="5" width="13.7109375" style="35" hidden="1" customWidth="1"/>
    <col min="6" max="6" width="14.28515625" style="35" hidden="1" customWidth="1"/>
    <col min="7" max="9" width="11.140625" style="35" hidden="1" customWidth="1"/>
    <col min="10" max="10" width="12.7109375" style="31" customWidth="1"/>
    <col min="11" max="11" width="11.140625" style="35" bestFit="1" customWidth="1"/>
    <col min="12" max="12" width="10.85546875" style="35" customWidth="1"/>
    <col min="13" max="13" width="13.28515625" style="35" customWidth="1"/>
    <col min="14" max="14" width="12.7109375" style="31" hidden="1" customWidth="1"/>
    <col min="15" max="15" width="13.42578125" style="35" hidden="1" customWidth="1"/>
    <col min="16" max="17" width="11.140625" style="35" hidden="1" customWidth="1"/>
    <col min="18" max="18" width="10" style="35" customWidth="1"/>
    <col min="19" max="19" width="14.28515625" style="35" customWidth="1"/>
    <col min="20" max="20" width="13.140625" style="35" customWidth="1"/>
    <col min="21" max="21" width="10.42578125" style="35" customWidth="1"/>
    <col min="22" max="22" width="9" style="35" hidden="1" customWidth="1"/>
    <col min="23" max="23" width="11.5703125" style="35" customWidth="1"/>
    <col min="24" max="24" width="9.7109375" style="35" hidden="1" customWidth="1"/>
    <col min="25" max="25" width="11.42578125" style="35" customWidth="1"/>
    <col min="26" max="26" width="11.140625" style="32" hidden="1" customWidth="1"/>
    <col min="27" max="29" width="13.28515625" style="22" customWidth="1"/>
    <col min="30" max="31" width="13.42578125" style="22" customWidth="1"/>
    <col min="32" max="32" width="12.140625" style="22" bestFit="1" customWidth="1"/>
    <col min="33" max="33" width="15" style="22" customWidth="1"/>
    <col min="34" max="34" width="13.42578125" style="22" customWidth="1"/>
    <col min="35" max="36" width="16.7109375" style="22" customWidth="1"/>
    <col min="37" max="37" width="11.5703125" style="22" customWidth="1"/>
    <col min="38" max="41" width="10.7109375" style="22" customWidth="1"/>
    <col min="42" max="16384" width="9.140625" style="32"/>
  </cols>
  <sheetData>
    <row r="2" spans="1:41" s="23" customFormat="1" ht="26.25">
      <c r="A2" s="197" t="s">
        <v>403</v>
      </c>
      <c r="B2" s="26"/>
      <c r="C2" s="26"/>
      <c r="D2" s="26"/>
      <c r="E2" s="26"/>
      <c r="F2" s="30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608"/>
      <c r="V2" s="26"/>
      <c r="W2" s="26"/>
      <c r="X2" s="26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 s="220" customFormat="1" ht="20.100000000000001" customHeight="1">
      <c r="A3" s="218"/>
      <c r="B3" s="191"/>
      <c r="C3" s="219"/>
      <c r="D3" s="219"/>
      <c r="E3" s="219"/>
      <c r="F3" s="219"/>
      <c r="G3" s="219"/>
      <c r="H3" s="219"/>
      <c r="I3" s="219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</row>
    <row r="4" spans="1:41" s="28" customFormat="1">
      <c r="A4" s="27"/>
      <c r="B4" s="782" t="s">
        <v>70</v>
      </c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293"/>
      <c r="Q4" s="293"/>
      <c r="R4" s="782" t="s">
        <v>71</v>
      </c>
      <c r="S4" s="782"/>
      <c r="T4" s="782"/>
      <c r="U4" s="782"/>
      <c r="V4" s="782"/>
      <c r="W4" s="782"/>
      <c r="X4" s="782"/>
      <c r="Y4" s="782"/>
      <c r="Z4" s="294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s="22" customFormat="1" ht="63" customHeight="1">
      <c r="A5" s="27" t="s">
        <v>402</v>
      </c>
      <c r="B5" s="27" t="s">
        <v>72</v>
      </c>
      <c r="C5" s="27" t="s">
        <v>4</v>
      </c>
      <c r="D5" s="27" t="s">
        <v>73</v>
      </c>
      <c r="E5" s="15" t="s">
        <v>76</v>
      </c>
      <c r="F5" s="15" t="s">
        <v>7</v>
      </c>
      <c r="G5" s="15" t="s">
        <v>8</v>
      </c>
      <c r="H5" s="15" t="s">
        <v>9</v>
      </c>
      <c r="I5" s="15" t="s">
        <v>10</v>
      </c>
      <c r="J5" s="2" t="s">
        <v>11</v>
      </c>
      <c r="K5" s="27" t="s">
        <v>793</v>
      </c>
      <c r="L5" s="27" t="s">
        <v>794</v>
      </c>
      <c r="M5" s="2" t="s">
        <v>795</v>
      </c>
      <c r="N5" s="2" t="s">
        <v>12</v>
      </c>
      <c r="O5" s="27" t="s">
        <v>796</v>
      </c>
      <c r="P5" s="27" t="s">
        <v>797</v>
      </c>
      <c r="Q5" s="2" t="s">
        <v>798</v>
      </c>
      <c r="R5" s="2" t="s">
        <v>799</v>
      </c>
      <c r="S5" s="2" t="s">
        <v>800</v>
      </c>
      <c r="T5" s="15" t="s">
        <v>13</v>
      </c>
      <c r="U5" s="15" t="s">
        <v>14</v>
      </c>
      <c r="V5" s="15" t="s">
        <v>15</v>
      </c>
      <c r="W5" s="15" t="s">
        <v>185</v>
      </c>
      <c r="X5" s="15" t="s">
        <v>385</v>
      </c>
      <c r="Y5" s="13" t="s">
        <v>67</v>
      </c>
      <c r="Z5" s="598" t="s">
        <v>243</v>
      </c>
    </row>
    <row r="6" spans="1:41" s="22" customFormat="1">
      <c r="A6" s="27"/>
      <c r="B6" s="27"/>
      <c r="C6" s="27"/>
      <c r="D6" s="27"/>
      <c r="E6" s="27"/>
      <c r="F6" s="15"/>
      <c r="G6" s="15"/>
      <c r="H6" s="15"/>
      <c r="I6" s="15"/>
      <c r="J6" s="21"/>
      <c r="K6" s="2"/>
      <c r="L6" s="27"/>
      <c r="M6" s="27"/>
      <c r="N6" s="21"/>
      <c r="O6" s="15"/>
      <c r="P6" s="15"/>
      <c r="Q6" s="15"/>
      <c r="R6" s="15"/>
      <c r="S6" s="27"/>
      <c r="T6" s="27"/>
      <c r="U6" s="27"/>
      <c r="V6" s="15"/>
      <c r="W6" s="15"/>
      <c r="X6" s="15"/>
      <c r="Y6" s="27"/>
      <c r="Z6" s="285"/>
    </row>
    <row r="7" spans="1:41" s="22" customFormat="1" ht="25.5" customHeight="1">
      <c r="A7" s="2" t="s">
        <v>259</v>
      </c>
      <c r="B7" s="9">
        <f>'תקציב הנדסה 2025 '!D52</f>
        <v>404874756</v>
      </c>
      <c r="C7" s="9">
        <f>'תקציב הנדסה 2025 '!E52</f>
        <v>348068858</v>
      </c>
      <c r="D7" s="9">
        <f>'תקציב הנדסה 2025 '!F52</f>
        <v>56805898</v>
      </c>
      <c r="E7" s="9">
        <f>'תקציב הנדסה 2025 '!G52</f>
        <v>121836027</v>
      </c>
      <c r="F7" s="9">
        <f>'תקציב הנדסה 2025 '!H52</f>
        <v>108070010</v>
      </c>
      <c r="G7" s="9">
        <f>'תקציב הנדסה 2025 '!I52</f>
        <v>2837879</v>
      </c>
      <c r="H7" s="9">
        <f>'תקציב הנדסה 2025 '!J52</f>
        <v>6165337</v>
      </c>
      <c r="I7" s="9">
        <f>'תקציב הנדסה 2025 '!K52</f>
        <v>9003216</v>
      </c>
      <c r="J7" s="9">
        <f>'תקציב הנדסה 2025 '!L52</f>
        <v>117073226</v>
      </c>
      <c r="K7" s="9">
        <f>'תקציב הנדסה 2025 '!M52</f>
        <v>7888801</v>
      </c>
      <c r="L7" s="9">
        <f>'תקציב הנדסה 2025 '!N52</f>
        <v>30095000</v>
      </c>
      <c r="M7" s="9">
        <f>'תקציב הנדסה 2025 '!O52</f>
        <v>249817729</v>
      </c>
      <c r="N7" s="9">
        <f>'תקציב הנדסה 2025 '!P52</f>
        <v>4762801</v>
      </c>
      <c r="O7" s="9">
        <f>'תקציב הנדסה 2025 '!Q52</f>
        <v>250000</v>
      </c>
      <c r="P7" s="9">
        <f>'תקציב הנדסה 2025 '!R52</f>
        <v>3401000</v>
      </c>
      <c r="Q7" s="9">
        <f>'תקציב הנדסה 2025 '!S52</f>
        <v>3651000</v>
      </c>
      <c r="R7" s="9">
        <f>'תקציב הנדסה 2025 '!T52</f>
        <v>525000</v>
      </c>
      <c r="S7" s="9">
        <f>'תקציב הנדסה 2025 '!U52</f>
        <v>29570000</v>
      </c>
      <c r="T7" s="9">
        <f>'תקציב הנדסה 2025 '!V52</f>
        <v>13170000</v>
      </c>
      <c r="U7" s="9">
        <f>'תקציב הנדסה 2025 '!W52</f>
        <v>0</v>
      </c>
      <c r="V7" s="9">
        <f>'תקציב הנדסה 2025 '!X52</f>
        <v>0</v>
      </c>
      <c r="W7" s="9">
        <f>'תקציב הנדסה 2025 '!Y52</f>
        <v>1400000</v>
      </c>
      <c r="X7" s="9">
        <f>'תקציב הנדסה 2025 '!Z52</f>
        <v>0</v>
      </c>
      <c r="Y7" s="9">
        <f>'תקציב הנדסה 2025 '!AA52</f>
        <v>15000000</v>
      </c>
      <c r="Z7" s="9">
        <f>'תקציב הנדסה 2025 '!A52</f>
        <v>47</v>
      </c>
    </row>
    <row r="8" spans="1:41" s="31" customFormat="1" ht="42" customHeight="1">
      <c r="A8" s="2" t="s">
        <v>145</v>
      </c>
      <c r="B8" s="29">
        <f>'תקציב החברה לפיתוח 2025'!D124</f>
        <v>4118637003</v>
      </c>
      <c r="C8" s="29">
        <f>'תקציב החברה לפיתוח 2025'!E124</f>
        <v>3841650091</v>
      </c>
      <c r="D8" s="29">
        <f>'תקציב החברה לפיתוח 2025'!F124</f>
        <v>276986912</v>
      </c>
      <c r="E8" s="29">
        <f>'תקציב החברה לפיתוח 2025'!G124</f>
        <v>2011508764</v>
      </c>
      <c r="F8" s="29">
        <f>'תקציב החברה לפיתוח 2025'!H124</f>
        <v>1878585888</v>
      </c>
      <c r="G8" s="29">
        <f>'תקציב החברה לפיתוח 2025'!I124</f>
        <v>449944</v>
      </c>
      <c r="H8" s="29">
        <f>'תקציב החברה לפיתוח 2025'!J124</f>
        <v>55753908</v>
      </c>
      <c r="I8" s="29">
        <f>'תקציב החברה לפיתוח 2025'!K124</f>
        <v>56203852</v>
      </c>
      <c r="J8" s="29">
        <f>'תקציב החברה לפיתוח 2025'!L124</f>
        <v>1934789740</v>
      </c>
      <c r="K8" s="29">
        <f>'תקציב החברה לפיתוח 2025'!M124</f>
        <v>211266781</v>
      </c>
      <c r="L8" s="29">
        <f>'תקציב החברה לפיתוח 2025'!N124</f>
        <v>246349008</v>
      </c>
      <c r="M8" s="29">
        <f>'תקציב החברה לפיתוח 2025'!O124</f>
        <v>1726231474</v>
      </c>
      <c r="N8" s="29">
        <f>'תקציב החברה לפיתוח 2025'!P124</f>
        <v>76719024</v>
      </c>
      <c r="O8" s="29">
        <f>'תקציב החברה לפיתוח 2025'!Q124</f>
        <v>106337757</v>
      </c>
      <c r="P8" s="29">
        <f>'תקציב החברה לפיתוח 2025'!R124</f>
        <v>30300000</v>
      </c>
      <c r="Q8" s="29">
        <f>'תקציב החברה לפיתוח 2025'!S124</f>
        <v>136637757</v>
      </c>
      <c r="R8" s="29">
        <f>'תקציב החברה לפיתוח 2025'!T124</f>
        <v>2090000</v>
      </c>
      <c r="S8" s="29">
        <f>'תקציב החברה לפיתוח 2025'!U124</f>
        <v>244259008</v>
      </c>
      <c r="T8" s="29">
        <f>'תקציב החברה לפיתוח 2025'!V124</f>
        <v>182259851</v>
      </c>
      <c r="U8" s="29">
        <f>'תקציב החברה לפיתוח 2025'!W124</f>
        <v>0</v>
      </c>
      <c r="V8" s="29">
        <f>'תקציב החברה לפיתוח 2025'!X124</f>
        <v>0</v>
      </c>
      <c r="W8" s="29">
        <f>'תקציב החברה לפיתוח 2025'!Y124</f>
        <v>29200000</v>
      </c>
      <c r="X8" s="29">
        <f>'תקציב החברה לפיתוח 2025'!Z124</f>
        <v>0</v>
      </c>
      <c r="Y8" s="29">
        <f>'תקציב החברה לפיתוח 2025'!AA124</f>
        <v>32799157</v>
      </c>
      <c r="Z8" s="29">
        <f>'תקציב החברה לפיתוח 2025'!A124</f>
        <v>119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41" s="31" customFormat="1" ht="26.25" customHeight="1">
      <c r="A9" s="2" t="s">
        <v>450</v>
      </c>
      <c r="B9" s="29">
        <f>'  תקציב מינהל תפעול 2025 '!D102</f>
        <v>981592458</v>
      </c>
      <c r="C9" s="29">
        <f>'  תקציב מינהל תפעול 2025 '!E102</f>
        <v>888699701</v>
      </c>
      <c r="D9" s="29">
        <f>'  תקציב מינהל תפעול 2025 '!F102</f>
        <v>92892757</v>
      </c>
      <c r="E9" s="29">
        <f>'  תקציב מינהל תפעול 2025 '!G102</f>
        <v>698486460</v>
      </c>
      <c r="F9" s="29">
        <f>'  תקציב מינהל תפעול 2025 '!H102</f>
        <v>603231464.38</v>
      </c>
      <c r="G9" s="29">
        <f>'  תקציב מינהל תפעול 2025 '!I102</f>
        <v>309239</v>
      </c>
      <c r="H9" s="29">
        <f>'  תקציב מינהל תפעול 2025 '!J102</f>
        <v>59217192.870000012</v>
      </c>
      <c r="I9" s="29">
        <f>'  תקציב מינהל תפעול 2025 '!K102</f>
        <v>59526431.870000012</v>
      </c>
      <c r="J9" s="29">
        <f>'  תקציב מינהל תפעול 2025 '!L102</f>
        <v>662757896.24999988</v>
      </c>
      <c r="K9" s="29">
        <f>'  תקציב מינהל תפעול 2025 '!M102</f>
        <v>40863563.749999985</v>
      </c>
      <c r="L9" s="29">
        <f>'  תקציב מינהל תפעול 2025 '!N102</f>
        <v>50606362</v>
      </c>
      <c r="M9" s="29">
        <f>'  תקציב מינהל תפעול 2025 '!O102</f>
        <v>227364636</v>
      </c>
      <c r="N9" s="29">
        <f>'  תקציב מינהל תפעול 2025 '!P102</f>
        <v>35728563.749999985</v>
      </c>
      <c r="O9" s="29">
        <f>'  תקציב מינהל תפעול 2025 '!Q102</f>
        <v>2875000</v>
      </c>
      <c r="P9" s="29">
        <f>'  תקציב מינהל תפעול 2025 '!R102</f>
        <v>2260000</v>
      </c>
      <c r="Q9" s="29">
        <f>'  תקציב מינהל תפעול 2025 '!S102</f>
        <v>5135000</v>
      </c>
      <c r="R9" s="29">
        <f>'  תקציב מינהל תפעול 2025 '!T102</f>
        <v>0</v>
      </c>
      <c r="S9" s="29">
        <f>'  תקציב מינהל תפעול 2025 '!U102</f>
        <v>50606362</v>
      </c>
      <c r="T9" s="29">
        <f>'  תקציב מינהל תפעול 2025 '!V102</f>
        <v>0</v>
      </c>
      <c r="U9" s="29">
        <f>'  תקציב מינהל תפעול 2025 '!W102</f>
        <v>34709000</v>
      </c>
      <c r="V9" s="29">
        <f>'  תקציב מינהל תפעול 2025 '!X102</f>
        <v>0</v>
      </c>
      <c r="W9" s="29">
        <f>'  תקציב מינהל תפעול 2025 '!Y102</f>
        <v>0</v>
      </c>
      <c r="X9" s="29">
        <f>'  תקציב מינהל תפעול 2025 '!Z102</f>
        <v>0</v>
      </c>
      <c r="Y9" s="29">
        <f>'  תקציב מינהל תפעול 2025 '!AA102</f>
        <v>15897362</v>
      </c>
      <c r="Z9" s="29">
        <f>'  תקציב מינהל תפעול 2025 '!A102</f>
        <v>97</v>
      </c>
      <c r="AA9" s="22"/>
      <c r="AB9" s="22"/>
      <c r="AC9" s="22"/>
      <c r="AD9" s="22"/>
      <c r="AE9" s="22"/>
      <c r="AF9" s="607"/>
      <c r="AG9" s="607"/>
      <c r="AH9" s="22"/>
      <c r="AI9" s="22"/>
      <c r="AJ9" s="22"/>
      <c r="AK9" s="22"/>
      <c r="AL9" s="22"/>
      <c r="AM9" s="22"/>
      <c r="AN9" s="22"/>
      <c r="AO9" s="22"/>
    </row>
    <row r="10" spans="1:41" s="31" customFormat="1" ht="46.5" customHeight="1">
      <c r="A10" s="193" t="s">
        <v>545</v>
      </c>
      <c r="B10" s="29">
        <f>'תקציב מינהל חינוך 2025'!D15</f>
        <v>14277000</v>
      </c>
      <c r="C10" s="29">
        <f>'תקציב מינהל חינוך 2025'!E15</f>
        <v>10775000</v>
      </c>
      <c r="D10" s="29">
        <f>'תקציב מינהל חינוך 2025'!F15</f>
        <v>3502000</v>
      </c>
      <c r="E10" s="29">
        <f>'תקציב מינהל חינוך 2025'!G15</f>
        <v>9375000</v>
      </c>
      <c r="F10" s="29">
        <f>'תקציב מינהל חינוך 2025'!H15</f>
        <v>6647705</v>
      </c>
      <c r="G10" s="29">
        <f>'תקציב מינהל חינוך 2025'!I15</f>
        <v>0</v>
      </c>
      <c r="H10" s="29">
        <f>'תקציב מינהל חינוך 2025'!J15</f>
        <v>1970343</v>
      </c>
      <c r="I10" s="29">
        <f>'תקציב מינהל חינוך 2025'!K15</f>
        <v>1970343</v>
      </c>
      <c r="J10" s="29">
        <f>'תקציב מינהל חינוך 2025'!L15</f>
        <v>8618048</v>
      </c>
      <c r="K10" s="29">
        <f>'תקציב מינהל חינוך 2025'!M15</f>
        <v>756952</v>
      </c>
      <c r="L10" s="29">
        <f>'תקציב מינהל חינוך 2025'!N15</f>
        <v>2352000</v>
      </c>
      <c r="M10" s="29">
        <f>'תקציב מינהל חינוך 2025'!O15</f>
        <v>2550000</v>
      </c>
      <c r="N10" s="29">
        <f>'תקציב מינהל חינוך 2025'!P15</f>
        <v>756952</v>
      </c>
      <c r="O10" s="29">
        <f>'תקציב מינהל חינוך 2025'!Q15</f>
        <v>0</v>
      </c>
      <c r="P10" s="29">
        <f>'תקציב מינהל חינוך 2025'!R15</f>
        <v>0</v>
      </c>
      <c r="Q10" s="29">
        <f>'תקציב מינהל חינוך 2025'!S15</f>
        <v>0</v>
      </c>
      <c r="R10" s="29">
        <f>'תקציב מינהל חינוך 2025'!T15</f>
        <v>0</v>
      </c>
      <c r="S10" s="29">
        <f>'תקציב מינהל חינוך 2025'!U15</f>
        <v>2352000</v>
      </c>
      <c r="T10" s="29">
        <f>'תקציב מינהל חינוך 2025'!V15</f>
        <v>0</v>
      </c>
      <c r="U10" s="29">
        <f>'תקציב מינהל חינוך 2025'!W15</f>
        <v>1178000</v>
      </c>
      <c r="V10" s="29">
        <f>'תקציב מינהל חינוך 2025'!X15</f>
        <v>0</v>
      </c>
      <c r="W10" s="29">
        <f>'תקציב מינהל חינוך 2025'!Y15</f>
        <v>0</v>
      </c>
      <c r="X10" s="29">
        <f>'תקציב מינהל חינוך 2025'!Z15</f>
        <v>0</v>
      </c>
      <c r="Y10" s="29">
        <f>'תקציב מינהל חינוך 2025'!AA15</f>
        <v>1174000</v>
      </c>
      <c r="Z10" s="29">
        <f>'תקציב מינהל חינוך 2025'!A15</f>
        <v>10</v>
      </c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s="31" customFormat="1" ht="27.75" customHeight="1">
      <c r="A11" s="193" t="s">
        <v>625</v>
      </c>
      <c r="B11" s="29">
        <f>'תקציב אגף ספורט 2025'!D15</f>
        <v>20232866</v>
      </c>
      <c r="C11" s="29">
        <f>'תקציב אגף ספורט 2025'!E15</f>
        <v>18034866</v>
      </c>
      <c r="D11" s="29">
        <f>'תקציב אגף ספורט 2025'!F15</f>
        <v>2198000</v>
      </c>
      <c r="E11" s="29">
        <f>'תקציב אגף ספורט 2025'!G15</f>
        <v>11274866</v>
      </c>
      <c r="F11" s="29">
        <f>'תקציב אגף ספורט 2025'!H15</f>
        <v>10357039</v>
      </c>
      <c r="G11" s="29">
        <f>'תקציב אגף ספורט 2025'!I15</f>
        <v>0</v>
      </c>
      <c r="H11" s="29">
        <f>'תקציב אגף ספורט 2025'!J15</f>
        <v>310244</v>
      </c>
      <c r="I11" s="29">
        <f>'תקציב אגף ספורט 2025'!K15</f>
        <v>310244</v>
      </c>
      <c r="J11" s="29">
        <f>'תקציב אגף ספורט 2025'!L15</f>
        <v>10667283</v>
      </c>
      <c r="K11" s="29">
        <f>'תקציב אגף ספורט 2025'!M15</f>
        <v>630583</v>
      </c>
      <c r="L11" s="29">
        <f>'תקציב אגף ספורט 2025'!N15</f>
        <v>1674000</v>
      </c>
      <c r="M11" s="29">
        <f>'תקציב אגף ספורט 2025'!O15</f>
        <v>7261000</v>
      </c>
      <c r="N11" s="29">
        <f>'תקציב אגף ספורט 2025'!P15</f>
        <v>607583</v>
      </c>
      <c r="O11" s="29">
        <f>'תקציב אגף ספורט 2025'!Q15</f>
        <v>150000</v>
      </c>
      <c r="P11" s="29">
        <f>'תקציב אגף ספורט 2025'!R15</f>
        <v>0</v>
      </c>
      <c r="Q11" s="29">
        <f>'תקציב אגף ספורט 2025'!S15</f>
        <v>150000</v>
      </c>
      <c r="R11" s="29">
        <f>'תקציב אגף ספורט 2025'!T15</f>
        <v>127000</v>
      </c>
      <c r="S11" s="29">
        <f>'תקציב אגף ספורט 2025'!U15</f>
        <v>1547000</v>
      </c>
      <c r="T11" s="29">
        <f>'תקציב אגף ספורט 2025'!V15</f>
        <v>0</v>
      </c>
      <c r="U11" s="29">
        <f>'תקציב אגף ספורט 2025'!W15</f>
        <v>1547000</v>
      </c>
      <c r="V11" s="29">
        <f>'תקציב אגף ספורט 2025'!X15</f>
        <v>0</v>
      </c>
      <c r="W11" s="29">
        <f>'תקציב אגף ספורט 2025'!Y15</f>
        <v>0</v>
      </c>
      <c r="X11" s="29">
        <f>'תקציב אגף ספורט 2025'!Z15</f>
        <v>0</v>
      </c>
      <c r="Y11" s="29">
        <f>'תקציב אגף ספורט 2025'!AA15</f>
        <v>0</v>
      </c>
      <c r="Z11" s="29">
        <f>'תקציב אגף ספורט 2025'!A15</f>
        <v>10</v>
      </c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41" s="31" customFormat="1" ht="31.5" customHeight="1">
      <c r="A12" s="193" t="s">
        <v>637</v>
      </c>
      <c r="B12" s="29">
        <f>'תקציב אגף תנוק 2025 '!D7</f>
        <v>13896365</v>
      </c>
      <c r="C12" s="29">
        <f>'תקציב אגף תנוק 2025 '!E7</f>
        <v>11238365</v>
      </c>
      <c r="D12" s="29">
        <f>'תקציב אגף תנוק 2025 '!F7</f>
        <v>2658000</v>
      </c>
      <c r="E12" s="29">
        <f>'תקציב אגף תנוק 2025 '!G7</f>
        <v>9770365</v>
      </c>
      <c r="F12" s="29">
        <f>'תקציב אגף תנוק 2025 '!H7</f>
        <v>8789697</v>
      </c>
      <c r="G12" s="29">
        <f>'תקציב אגף תנוק 2025 '!I7</f>
        <v>0</v>
      </c>
      <c r="H12" s="29">
        <f>'תקציב אגף תנוק 2025 '!J7</f>
        <v>619407</v>
      </c>
      <c r="I12" s="29">
        <f>'תקציב אגף תנוק 2025 '!K7</f>
        <v>619407</v>
      </c>
      <c r="J12" s="29">
        <f>'תקציב אגף תנוק 2025 '!L7</f>
        <v>9409104</v>
      </c>
      <c r="K12" s="29">
        <f>'תקציב אגף תנוק 2025 '!M7</f>
        <v>487261</v>
      </c>
      <c r="L12" s="29">
        <f>'תקציב אגף תנוק 2025 '!N7</f>
        <v>1500000</v>
      </c>
      <c r="M12" s="29">
        <f>'תקציב אגף תנוק 2025 '!O7</f>
        <v>2500000</v>
      </c>
      <c r="N12" s="29">
        <f>'תקציב אגף תנוק 2025 '!P7</f>
        <v>361261</v>
      </c>
      <c r="O12" s="29">
        <f>'תקציב אגף תנוק 2025 '!Q7</f>
        <v>126000</v>
      </c>
      <c r="P12" s="29">
        <f>'תקציב אגף תנוק 2025 '!R7</f>
        <v>0</v>
      </c>
      <c r="Q12" s="29">
        <f>'תקציב אגף תנוק 2025 '!S7</f>
        <v>126000</v>
      </c>
      <c r="R12" s="29">
        <f>'תקציב אגף תנוק 2025 '!T7</f>
        <v>0</v>
      </c>
      <c r="S12" s="29">
        <f>'תקציב אגף תנוק 2025 '!U7</f>
        <v>1500000</v>
      </c>
      <c r="T12" s="29">
        <f>'תקציב אגף תנוק 2025 '!V7</f>
        <v>0</v>
      </c>
      <c r="U12" s="29">
        <f>'תקציב אגף תנוק 2025 '!W7</f>
        <v>1500000</v>
      </c>
      <c r="V12" s="29">
        <f>'תקציב אגף תנוק 2025 '!X7</f>
        <v>0</v>
      </c>
      <c r="W12" s="29">
        <f>'תקציב אגף תנוק 2025 '!Y7</f>
        <v>0</v>
      </c>
      <c r="X12" s="29">
        <f>'תקציב אגף תנוק 2025 '!Z7</f>
        <v>0</v>
      </c>
      <c r="Y12" s="29">
        <f>'תקציב אגף תנוק 2025 '!AA7</f>
        <v>0</v>
      </c>
      <c r="Z12" s="29">
        <f>'תקציב אגף תנוק 2025 '!A7</f>
        <v>2</v>
      </c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31" customFormat="1" ht="30" customHeight="1">
      <c r="A13" s="2" t="s">
        <v>74</v>
      </c>
      <c r="B13" s="29">
        <f>'תקציב החברה לתירות 2025 '!D13</f>
        <v>24583000</v>
      </c>
      <c r="C13" s="29">
        <f>'תקציב החברה לתירות 2025 '!E13</f>
        <v>18483000</v>
      </c>
      <c r="D13" s="29">
        <f>'תקציב החברה לתירות 2025 '!F13</f>
        <v>6100000</v>
      </c>
      <c r="E13" s="29">
        <f>'תקציב החברה לתירות 2025 '!G13</f>
        <v>5797282</v>
      </c>
      <c r="F13" s="29">
        <f>'תקציב החברה לתירות 2025 '!H13</f>
        <v>5232268</v>
      </c>
      <c r="G13" s="29">
        <f>'תקציב החברה לתירות 2025 '!I13</f>
        <v>0</v>
      </c>
      <c r="H13" s="29">
        <f>'תקציב החברה לתירות 2025 '!J13</f>
        <v>0</v>
      </c>
      <c r="I13" s="29">
        <f>'תקציב החברה לתירות 2025 '!K13</f>
        <v>0</v>
      </c>
      <c r="J13" s="29">
        <f>'תקציב החברה לתירות 2025 '!L13</f>
        <v>5232268</v>
      </c>
      <c r="K13" s="29">
        <f>'תקציב החברה לתירות 2025 '!M13</f>
        <v>1974261</v>
      </c>
      <c r="L13" s="29">
        <f>'תקציב החברה לתירות 2025 '!N13</f>
        <v>2145753</v>
      </c>
      <c r="M13" s="29">
        <f>'תקציב החברה לתירות 2025 '!O13</f>
        <v>15230718</v>
      </c>
      <c r="N13" s="29">
        <f>'תקציב החברה לתירות 2025 '!P13</f>
        <v>565014</v>
      </c>
      <c r="O13" s="29">
        <f>'תקציב החברה לתירות 2025 '!Q13</f>
        <v>1159247</v>
      </c>
      <c r="P13" s="29">
        <f>'תקציב החברה לתירות 2025 '!R13</f>
        <v>250000</v>
      </c>
      <c r="Q13" s="29">
        <f>'תקציב החברה לתירות 2025 '!S13</f>
        <v>1409247</v>
      </c>
      <c r="R13" s="29">
        <f>'תקציב החברה לתירות 2025 '!T13</f>
        <v>0</v>
      </c>
      <c r="S13" s="29">
        <f>'תקציב החברה לתירות 2025 '!U13</f>
        <v>2145753</v>
      </c>
      <c r="T13" s="29">
        <f>'תקציב החברה לתירות 2025 '!V13</f>
        <v>1800000</v>
      </c>
      <c r="U13" s="29">
        <f>'תקציב החברה לתירות 2025 '!W13</f>
        <v>0</v>
      </c>
      <c r="V13" s="29">
        <f>'תקציב החברה לתירות 2025 '!X13</f>
        <v>0</v>
      </c>
      <c r="W13" s="29">
        <f>'תקציב החברה לתירות 2025 '!Y13</f>
        <v>0</v>
      </c>
      <c r="X13" s="29">
        <f>'תקציב החברה לתירות 2025 '!Z13</f>
        <v>0</v>
      </c>
      <c r="Y13" s="29">
        <f>'תקציב החברה לתירות 2025 '!AA13</f>
        <v>345753</v>
      </c>
      <c r="Z13" s="29">
        <f>'תקציב החברה לתירות 2025 '!A13</f>
        <v>8</v>
      </c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41" s="31" customFormat="1" ht="32.1" customHeight="1">
      <c r="A14" s="2" t="s">
        <v>289</v>
      </c>
      <c r="B14" s="29">
        <f>'תקציב אגף המיחשוב 2025 '!D18</f>
        <v>105870000</v>
      </c>
      <c r="C14" s="29">
        <f>'תקציב אגף המיחשוב 2025 '!E18</f>
        <v>103520000</v>
      </c>
      <c r="D14" s="29">
        <f>'תקציב אגף המיחשוב 2025 '!F18</f>
        <v>2350000</v>
      </c>
      <c r="E14" s="29">
        <f>'תקציב אגף המיחשוב 2025 '!G18</f>
        <v>57958000</v>
      </c>
      <c r="F14" s="29">
        <f>'תקציב אגף המיחשוב 2025 '!H18</f>
        <v>48220185</v>
      </c>
      <c r="G14" s="29">
        <f>'תקציב אגף המיחשוב 2025 '!I18</f>
        <v>43536</v>
      </c>
      <c r="H14" s="29">
        <f>'תקציב אגף המיחשוב 2025 '!J18</f>
        <v>7880605</v>
      </c>
      <c r="I14" s="29">
        <f>'תקציב אגף המיחשוב 2025 '!K18</f>
        <v>7924141</v>
      </c>
      <c r="J14" s="29">
        <f>'תקציב אגף המיחשוב 2025 '!L18</f>
        <v>56144326</v>
      </c>
      <c r="K14" s="29">
        <f>'תקציב אגף המיחשוב 2025 '!M18</f>
        <v>3091674</v>
      </c>
      <c r="L14" s="29">
        <f>'תקציב אגף המיחשוב 2025 '!N18</f>
        <v>7932000</v>
      </c>
      <c r="M14" s="29">
        <f>'תקציב אגף המיחשוב 2025 '!O18</f>
        <v>38702000</v>
      </c>
      <c r="N14" s="29">
        <f>'תקציב אגף המיחשוב 2025 '!P18</f>
        <v>1813674</v>
      </c>
      <c r="O14" s="29">
        <f>'תקציב אגף המיחשוב 2025 '!Q18</f>
        <v>1365000</v>
      </c>
      <c r="P14" s="29">
        <f>'תקציב אגף המיחשוב 2025 '!R18</f>
        <v>0</v>
      </c>
      <c r="Q14" s="29">
        <f>'תקציב אגף המיחשוב 2025 '!S18</f>
        <v>1365000</v>
      </c>
      <c r="R14" s="29">
        <f>'תקציב אגף המיחשוב 2025 '!T18</f>
        <v>87000</v>
      </c>
      <c r="S14" s="29">
        <f>'תקציב אגף המיחשוב 2025 '!U18</f>
        <v>7845000</v>
      </c>
      <c r="T14" s="29">
        <f>'תקציב אגף המיחשוב 2025 '!V18</f>
        <v>849000</v>
      </c>
      <c r="U14" s="29">
        <f>'תקציב אגף המיחשוב 2025 '!W18</f>
        <v>5996000</v>
      </c>
      <c r="V14" s="29">
        <f>'תקציב אגף המיחשוב 2025 '!X18</f>
        <v>0</v>
      </c>
      <c r="W14" s="29">
        <f>'תקציב אגף המיחשוב 2025 '!Y18</f>
        <v>0</v>
      </c>
      <c r="X14" s="29">
        <f>'תקציב אגף המיחשוב 2025 '!Z18</f>
        <v>0</v>
      </c>
      <c r="Y14" s="29">
        <f>'תקציב אגף המיחשוב 2025 '!AA18</f>
        <v>1000000</v>
      </c>
      <c r="Z14" s="29">
        <f>'תקציב אגף המיחשוב 2025 '!A18</f>
        <v>13</v>
      </c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pans="1:41" s="31" customFormat="1" ht="32.1" customHeight="1">
      <c r="A15" s="2" t="s">
        <v>288</v>
      </c>
      <c r="B15" s="29">
        <f>'תקציב אגף נכסים וביטוח 2025'!D15</f>
        <v>151256825</v>
      </c>
      <c r="C15" s="29">
        <f>'תקציב אגף נכסים וביטוח 2025'!E15</f>
        <v>117475000</v>
      </c>
      <c r="D15" s="29">
        <f>'תקציב אגף נכסים וביטוח 2025'!F15</f>
        <v>33781825</v>
      </c>
      <c r="E15" s="29">
        <f>'תקציב אגף נכסים וביטוח 2025'!G15</f>
        <v>59024325</v>
      </c>
      <c r="F15" s="29">
        <f>'תקציב אגף נכסים וביטוח 2025'!H15</f>
        <v>47396801</v>
      </c>
      <c r="G15" s="29">
        <f>'תקציב אגף נכסים וביטוח 2025'!I15</f>
        <v>0</v>
      </c>
      <c r="H15" s="29">
        <f>'תקציב אגף נכסים וביטוח 2025'!J15</f>
        <v>0</v>
      </c>
      <c r="I15" s="29">
        <f>'תקציב אגף נכסים וביטוח 2025'!K15</f>
        <v>0</v>
      </c>
      <c r="J15" s="29">
        <f>'תקציב אגף נכסים וביטוח 2025'!L15</f>
        <v>47396801</v>
      </c>
      <c r="K15" s="29">
        <f>'תקציב אגף נכסים וביטוח 2025'!M15</f>
        <v>12765024</v>
      </c>
      <c r="L15" s="29">
        <f>'תקציב אגף נכסים וביטוח 2025'!N15</f>
        <v>20125000</v>
      </c>
      <c r="M15" s="29">
        <f>'תקציב אגף נכסים וביטוח 2025'!O15</f>
        <v>70970000</v>
      </c>
      <c r="N15" s="29">
        <f>'תקציב אגף נכסים וביטוח 2025'!P15</f>
        <v>11627524</v>
      </c>
      <c r="O15" s="29">
        <f>'תקציב אגף נכסים וביטוח 2025'!Q15</f>
        <v>1137500</v>
      </c>
      <c r="P15" s="29">
        <f>'תקציב אגף נכסים וביטוח 2025'!R15</f>
        <v>0</v>
      </c>
      <c r="Q15" s="29">
        <f>'תקציב אגף נכסים וביטוח 2025'!S15</f>
        <v>1137500</v>
      </c>
      <c r="R15" s="29">
        <f>'תקציב אגף נכסים וביטוח 2025'!T15</f>
        <v>0</v>
      </c>
      <c r="S15" s="29">
        <f>'תקציב אגף נכסים וביטוח 2025'!U15</f>
        <v>20125000</v>
      </c>
      <c r="T15" s="29">
        <f>'תקציב אגף נכסים וביטוח 2025'!V15</f>
        <v>20125000</v>
      </c>
      <c r="U15" s="29">
        <f>'תקציב אגף נכסים וביטוח 2025'!W15</f>
        <v>0</v>
      </c>
      <c r="V15" s="29">
        <f>'תקציב אגף נכסים וביטוח 2025'!X15</f>
        <v>0</v>
      </c>
      <c r="W15" s="29">
        <f>'תקציב אגף נכסים וביטוח 2025'!Y15</f>
        <v>0</v>
      </c>
      <c r="X15" s="29">
        <f>'תקציב אגף נכסים וביטוח 2025'!Z15</f>
        <v>0</v>
      </c>
      <c r="Y15" s="29">
        <f>'תקציב אגף נכסים וביטוח 2025'!AA15</f>
        <v>0</v>
      </c>
      <c r="Z15" s="29">
        <f>'תקציב אגף נכסים וביטוח 2025'!A15</f>
        <v>10</v>
      </c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41" s="31" customFormat="1" ht="39" customHeight="1">
      <c r="A16" s="193" t="s">
        <v>175</v>
      </c>
      <c r="B16" s="29">
        <f>'תקציב איכות הסביבה 2025  '!D14+'תקציב מינהל כללי 2025  '!D16</f>
        <v>472953082</v>
      </c>
      <c r="C16" s="29">
        <f>'תקציב איכות הסביבה 2025  '!E14+'תקציב מינהל כללי 2025  '!E16</f>
        <v>161736082</v>
      </c>
      <c r="D16" s="29">
        <f>'תקציב איכות הסביבה 2025  '!F14+'תקציב מינהל כללי 2025  '!F16</f>
        <v>311217000</v>
      </c>
      <c r="E16" s="29">
        <f>'תקציב איכות הסביבה 2025  '!G14+'תקציב מינהל כללי 2025  '!G16</f>
        <v>117409082</v>
      </c>
      <c r="F16" s="29">
        <f>'תקציב איכות הסביבה 2025  '!H14+'תקציב מינהל כללי 2025  '!H16</f>
        <v>110767127.34</v>
      </c>
      <c r="G16" s="29">
        <f>'תקציב איכות הסביבה 2025  '!I14+'תקציב מינהל כללי 2025  '!I16</f>
        <v>140400</v>
      </c>
      <c r="H16" s="29">
        <f>'תקציב איכות הסביבה 2025  '!J14+'תקציב מינהל כללי 2025  '!J16</f>
        <v>3697556.65</v>
      </c>
      <c r="I16" s="29">
        <f>'תקציב איכות הסביבה 2025  '!K14+'תקציב מינהל כללי 2025  '!K16</f>
        <v>3837956.65</v>
      </c>
      <c r="J16" s="29">
        <f>'תקציב איכות הסביבה 2025  '!L14+'תקציב מינהל כללי 2025  '!L16</f>
        <v>114605083.98999999</v>
      </c>
      <c r="K16" s="29">
        <f>'תקציב איכות הסביבה 2025  '!M14+'תקציב מינהל כללי 2025  '!M16</f>
        <v>4450998.01</v>
      </c>
      <c r="L16" s="29">
        <f>'תקציב איכות הסביבה 2025  '!N14+'תקציב מינהל כללי 2025  '!N16</f>
        <v>37920000</v>
      </c>
      <c r="M16" s="29">
        <f>'תקציב איכות הסביבה 2025  '!O14+'תקציב מינהל כללי 2025  '!O16</f>
        <v>315977000</v>
      </c>
      <c r="N16" s="29">
        <f>'תקציב איכות הסביבה 2025  '!P14+'תקציב מינהל כללי 2025  '!P16</f>
        <v>2803998.01</v>
      </c>
      <c r="O16" s="29">
        <f>'תקציב איכות הסביבה 2025  '!Q14+'תקציב מינהל כללי 2025  '!Q16</f>
        <v>1347000</v>
      </c>
      <c r="P16" s="29">
        <f>'תקציב איכות הסביבה 2025  '!R14+'תקציב מינהל כללי 2025  '!R16</f>
        <v>500000</v>
      </c>
      <c r="Q16" s="29">
        <f>'תקציב איכות הסביבה 2025  '!S14+'תקציב מינהל כללי 2025  '!S16</f>
        <v>1847000</v>
      </c>
      <c r="R16" s="29">
        <f>'תקציב איכות הסביבה 2025  '!T14+'תקציב מינהל כללי 2025  '!T16</f>
        <v>200000</v>
      </c>
      <c r="S16" s="29">
        <f>'תקציב איכות הסביבה 2025  '!U14+'תקציב מינהל כללי 2025  '!U16</f>
        <v>37720000</v>
      </c>
      <c r="T16" s="29">
        <f>'תקציב איכות הסביבה 2025  '!V14+'תקציב מינהל כללי 2025  '!V16</f>
        <v>32600000</v>
      </c>
      <c r="U16" s="29">
        <f>'תקציב איכות הסביבה 2025  '!W14+'תקציב מינהל כללי 2025  '!W16</f>
        <v>5070000</v>
      </c>
      <c r="V16" s="29">
        <f>'תקציב איכות הסביבה 2025  '!X14+'תקציב מינהל כללי 2025  '!X16</f>
        <v>0</v>
      </c>
      <c r="W16" s="29">
        <f>'תקציב איכות הסביבה 2025  '!Y14+'תקציב מינהל כללי 2025  '!Y16</f>
        <v>0</v>
      </c>
      <c r="X16" s="29">
        <f>'תקציב איכות הסביבה 2025  '!Z14+'תקציב מינהל כללי 2025  '!Z16</f>
        <v>0</v>
      </c>
      <c r="Y16" s="29">
        <f>'תקציב איכות הסביבה 2025  '!AA14+'תקציב מינהל כללי 2025  '!AA16</f>
        <v>50000</v>
      </c>
      <c r="Z16" s="29">
        <f>'תקציב איכות הסביבה 2025  '!A14+'תקציב מינהל כללי 2025  '!A16</f>
        <v>20</v>
      </c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55" s="192" customFormat="1" ht="38.25" customHeight="1">
      <c r="A17" s="389" t="s">
        <v>141</v>
      </c>
      <c r="B17" s="295">
        <f t="shared" ref="B17:Z17" si="0">SUM(B7:B16)</f>
        <v>6308173355</v>
      </c>
      <c r="C17" s="295">
        <f t="shared" si="0"/>
        <v>5519680963</v>
      </c>
      <c r="D17" s="295">
        <f t="shared" si="0"/>
        <v>788492392</v>
      </c>
      <c r="E17" s="295">
        <f t="shared" si="0"/>
        <v>3102440171</v>
      </c>
      <c r="F17" s="295">
        <f t="shared" si="0"/>
        <v>2827298184.7200003</v>
      </c>
      <c r="G17" s="295">
        <f t="shared" si="0"/>
        <v>3780998</v>
      </c>
      <c r="H17" s="295">
        <f t="shared" si="0"/>
        <v>135614593.52000001</v>
      </c>
      <c r="I17" s="295">
        <f t="shared" si="0"/>
        <v>139395591.52000001</v>
      </c>
      <c r="J17" s="295">
        <f t="shared" si="0"/>
        <v>2966693776.2399998</v>
      </c>
      <c r="K17" s="295">
        <f t="shared" si="0"/>
        <v>284175898.75999999</v>
      </c>
      <c r="L17" s="295">
        <f t="shared" si="0"/>
        <v>400699123</v>
      </c>
      <c r="M17" s="295">
        <f t="shared" si="0"/>
        <v>2656604557</v>
      </c>
      <c r="N17" s="295">
        <f t="shared" si="0"/>
        <v>135746394.75999999</v>
      </c>
      <c r="O17" s="295">
        <f t="shared" si="0"/>
        <v>114747504</v>
      </c>
      <c r="P17" s="295">
        <f t="shared" si="0"/>
        <v>36711000</v>
      </c>
      <c r="Q17" s="295">
        <f t="shared" si="0"/>
        <v>151458504</v>
      </c>
      <c r="R17" s="295">
        <f t="shared" si="0"/>
        <v>3029000</v>
      </c>
      <c r="S17" s="295">
        <f t="shared" si="0"/>
        <v>397670123</v>
      </c>
      <c r="T17" s="295">
        <f t="shared" si="0"/>
        <v>250803851</v>
      </c>
      <c r="U17" s="295">
        <f t="shared" si="0"/>
        <v>50000000</v>
      </c>
      <c r="V17" s="295">
        <f t="shared" si="0"/>
        <v>0</v>
      </c>
      <c r="W17" s="295">
        <f t="shared" si="0"/>
        <v>30600000</v>
      </c>
      <c r="X17" s="295">
        <f t="shared" si="0"/>
        <v>0</v>
      </c>
      <c r="Y17" s="295">
        <f t="shared" si="0"/>
        <v>66266272</v>
      </c>
      <c r="Z17" s="295">
        <f t="shared" si="0"/>
        <v>336</v>
      </c>
      <c r="AA17" s="22"/>
      <c r="AB17" s="22"/>
      <c r="AC17" s="22"/>
      <c r="AD17" s="22"/>
      <c r="AE17" s="22"/>
      <c r="AF17" s="390"/>
      <c r="AG17" s="22"/>
      <c r="AH17" s="22"/>
      <c r="AI17" s="22"/>
      <c r="AJ17" s="22"/>
      <c r="AK17" s="22"/>
      <c r="AL17" s="390"/>
      <c r="AM17" s="390"/>
      <c r="AN17" s="390"/>
      <c r="AO17" s="390"/>
    </row>
    <row r="18" spans="1:55" s="31" customFormat="1" ht="15.75" customHeight="1">
      <c r="A18" s="217"/>
      <c r="B18" s="30"/>
      <c r="C18" s="30"/>
      <c r="D18" s="30"/>
      <c r="E18" s="30"/>
      <c r="F18" s="30"/>
      <c r="G18" s="30"/>
      <c r="H18" s="30"/>
      <c r="I18" s="30"/>
      <c r="J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55" s="31" customFormat="1" ht="15.75" customHeight="1">
      <c r="A19" s="217"/>
      <c r="B19" s="30"/>
      <c r="C19" s="30"/>
      <c r="D19" s="30"/>
      <c r="E19" s="30"/>
      <c r="F19" s="30"/>
      <c r="G19" s="30"/>
      <c r="H19" s="30"/>
      <c r="I19" s="30"/>
      <c r="J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55" s="31" customFormat="1" ht="15.75" customHeight="1">
      <c r="A20" s="217"/>
      <c r="B20" s="30"/>
      <c r="C20" s="30"/>
      <c r="D20" s="30"/>
      <c r="E20" s="30"/>
      <c r="F20" s="30"/>
      <c r="G20" s="30"/>
      <c r="H20" s="30"/>
      <c r="I20" s="30"/>
      <c r="J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55" s="31" customFormat="1" ht="15.75" customHeight="1">
      <c r="A21" s="217"/>
      <c r="B21" s="30"/>
      <c r="C21" s="30"/>
      <c r="D21" s="30"/>
      <c r="E21" s="30"/>
      <c r="F21" s="30"/>
      <c r="G21" s="30"/>
      <c r="H21" s="30"/>
      <c r="I21" s="30"/>
      <c r="J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55" s="31" customFormat="1" ht="15.75" customHeight="1">
      <c r="A22" s="217"/>
      <c r="B22" s="30"/>
      <c r="C22" s="30"/>
      <c r="D22" s="30"/>
      <c r="E22" s="30"/>
      <c r="F22" s="30"/>
      <c r="G22" s="30"/>
      <c r="H22" s="30"/>
      <c r="I22" s="30"/>
      <c r="J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55" s="31" customFormat="1" ht="15.75" customHeight="1">
      <c r="A23" s="217"/>
      <c r="B23" s="30"/>
      <c r="C23" s="30"/>
      <c r="D23" s="30"/>
      <c r="E23" s="30"/>
      <c r="F23" s="30"/>
      <c r="G23" s="30"/>
      <c r="H23" s="30"/>
      <c r="I23" s="30"/>
      <c r="J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55" s="31" customFormat="1" ht="15.75" customHeight="1">
      <c r="A24" s="217"/>
      <c r="B24" s="30"/>
      <c r="C24" s="30"/>
      <c r="D24" s="30"/>
      <c r="E24" s="30"/>
      <c r="F24" s="30"/>
      <c r="G24" s="30"/>
      <c r="H24" s="30"/>
      <c r="I24" s="30"/>
      <c r="J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55" s="31" customFormat="1" ht="15.75" customHeight="1">
      <c r="A25" s="217"/>
      <c r="B25" s="30"/>
      <c r="C25" s="30"/>
      <c r="D25" s="30"/>
      <c r="E25" s="30"/>
      <c r="F25" s="30"/>
      <c r="G25" s="30"/>
      <c r="H25" s="30"/>
      <c r="I25" s="30"/>
      <c r="J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55" s="31" customFormat="1" ht="15.75" customHeight="1">
      <c r="A26" s="217"/>
      <c r="B26" s="30"/>
      <c r="C26" s="30"/>
      <c r="D26" s="30"/>
      <c r="E26" s="30"/>
      <c r="F26" s="30"/>
      <c r="G26" s="30"/>
      <c r="H26" s="30"/>
      <c r="I26" s="30"/>
      <c r="J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55" ht="17.25" customHeight="1">
      <c r="A27" s="35"/>
      <c r="M27" s="396"/>
      <c r="N27" s="397"/>
      <c r="O27" s="396"/>
      <c r="P27" s="396"/>
      <c r="Q27" s="396"/>
      <c r="R27" s="397"/>
      <c r="S27" s="610"/>
      <c r="T27" s="398"/>
      <c r="U27" s="398"/>
      <c r="V27" s="398"/>
      <c r="W27" s="398"/>
      <c r="X27" s="398"/>
      <c r="Y27" s="398"/>
    </row>
    <row r="28" spans="1:55">
      <c r="A28" s="777"/>
      <c r="W28" s="191"/>
      <c r="Z28" s="35"/>
      <c r="AF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22"/>
      <c r="AZ28" s="22"/>
      <c r="BA28" s="22"/>
      <c r="BB28" s="35"/>
      <c r="BC28" s="35"/>
    </row>
    <row r="29" spans="1:55">
      <c r="W29" s="191"/>
      <c r="Z29" s="35"/>
      <c r="AF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22"/>
      <c r="AZ29" s="22"/>
      <c r="BA29" s="22"/>
      <c r="BB29" s="35"/>
      <c r="BC29" s="35"/>
    </row>
    <row r="30" spans="1:55">
      <c r="V30" s="39"/>
      <c r="W30" s="34"/>
      <c r="Z30" s="35"/>
      <c r="AF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22"/>
      <c r="AZ30" s="22"/>
      <c r="BA30" s="22"/>
      <c r="BB30" s="35"/>
      <c r="BC30" s="35"/>
    </row>
    <row r="31" spans="1:55">
      <c r="V31" s="39"/>
      <c r="W31" s="34"/>
      <c r="Z31" s="35"/>
      <c r="AF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22"/>
      <c r="AZ31" s="22"/>
      <c r="BA31" s="22"/>
      <c r="BB31" s="35"/>
      <c r="BC31" s="35"/>
    </row>
    <row r="32" spans="1:55">
      <c r="AF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32:50">
      <c r="AF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32:50">
      <c r="AF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79" ht="37.9" customHeight="1"/>
    <row r="82" spans="1:1" ht="70.900000000000006" customHeight="1"/>
    <row r="85" spans="1:1" ht="72" customHeight="1"/>
    <row r="86" spans="1:1">
      <c r="A86" s="34">
        <f>COUNT(A5:A85)</f>
        <v>0</v>
      </c>
    </row>
    <row r="87" spans="1:1" ht="43.9" customHeight="1"/>
    <row r="89" spans="1:1" ht="30" customHeight="1">
      <c r="A89" s="34">
        <f>A86+1</f>
        <v>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4:M4"/>
    <mergeCell ref="N4:O4"/>
    <mergeCell ref="R4:Y4"/>
  </mergeCells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U4"/>
  <sheetViews>
    <sheetView rightToLeft="1" workbookViewId="0">
      <selection activeCell="U4" sqref="U4"/>
    </sheetView>
  </sheetViews>
  <sheetFormatPr defaultRowHeight="12.75"/>
  <sheetData>
    <row r="4" spans="21:21">
      <c r="U4" s="28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A37"/>
  <sheetViews>
    <sheetView showZeros="0" rightToLeft="1" zoomScaleNormal="100" workbookViewId="0">
      <pane xSplit="1" ySplit="5" topLeftCell="B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.75"/>
  <cols>
    <col min="1" max="1" width="13.28515625" style="34" customWidth="1"/>
    <col min="2" max="2" width="13.7109375" style="35" customWidth="1"/>
    <col min="3" max="3" width="12.85546875" style="35" customWidth="1"/>
    <col min="4" max="4" width="11.140625" style="35" customWidth="1"/>
    <col min="5" max="6" width="13.7109375" style="35" hidden="1" customWidth="1"/>
    <col min="7" max="7" width="11" style="35" hidden="1" customWidth="1"/>
    <col min="8" max="9" width="12" style="35" hidden="1" customWidth="1"/>
    <col min="10" max="10" width="13.140625" style="31" customWidth="1"/>
    <col min="11" max="11" width="12.28515625" style="35" bestFit="1" customWidth="1"/>
    <col min="12" max="12" width="11.140625" style="35" customWidth="1"/>
    <col min="13" max="13" width="12.85546875" style="35" customWidth="1"/>
    <col min="14" max="14" width="12" style="31" hidden="1" customWidth="1"/>
    <col min="15" max="15" width="18.140625" style="35" hidden="1" customWidth="1"/>
    <col min="16" max="16" width="11" style="35" hidden="1" customWidth="1"/>
    <col min="17" max="17" width="12" style="35" hidden="1" customWidth="1"/>
    <col min="18" max="19" width="11.140625" style="35" customWidth="1"/>
    <col min="20" max="20" width="12" style="35" bestFit="1" customWidth="1"/>
    <col min="21" max="21" width="11.5703125" style="35" customWidth="1"/>
    <col min="22" max="22" width="8.7109375" style="35" hidden="1" customWidth="1"/>
    <col min="23" max="23" width="10.42578125" style="35" customWidth="1"/>
    <col min="24" max="24" width="10" style="35" hidden="1" customWidth="1"/>
    <col min="25" max="25" width="11.28515625" style="35" customWidth="1"/>
    <col min="26" max="26" width="13.42578125" style="32" customWidth="1"/>
    <col min="27" max="27" width="11.85546875" style="32" customWidth="1"/>
    <col min="28" max="28" width="10" style="32" customWidth="1"/>
    <col min="29" max="29" width="9.140625" style="32"/>
    <col min="30" max="30" width="10.140625" style="32" customWidth="1"/>
    <col min="31" max="16384" width="9.140625" style="32"/>
  </cols>
  <sheetData>
    <row r="2" spans="1:26" s="23" customFormat="1" ht="23.25">
      <c r="A2" s="197" t="s">
        <v>199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6" s="23" customFormat="1" ht="23.25">
      <c r="A3" s="24"/>
      <c r="B3" s="25"/>
      <c r="C3" s="25"/>
      <c r="D3" s="25"/>
      <c r="E3" s="25"/>
      <c r="F3" s="25"/>
      <c r="G3" s="25"/>
      <c r="H3" s="25"/>
      <c r="I3" s="25"/>
      <c r="J3" s="26"/>
      <c r="K3" s="25"/>
      <c r="L3" s="25"/>
      <c r="M3" s="25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6" s="28" customFormat="1">
      <c r="A4" s="27"/>
      <c r="B4" s="782" t="s">
        <v>70</v>
      </c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293"/>
      <c r="Q4" s="293"/>
      <c r="R4" s="782" t="s">
        <v>71</v>
      </c>
      <c r="S4" s="782"/>
      <c r="T4" s="782"/>
      <c r="U4" s="783"/>
      <c r="V4" s="783"/>
      <c r="W4" s="783"/>
      <c r="X4" s="782"/>
      <c r="Y4" s="782"/>
    </row>
    <row r="5" spans="1:26" s="22" customFormat="1" ht="64.5" customHeight="1">
      <c r="A5" s="27" t="s">
        <v>202</v>
      </c>
      <c r="B5" s="27" t="s">
        <v>72</v>
      </c>
      <c r="C5" s="27" t="s">
        <v>4</v>
      </c>
      <c r="D5" s="27" t="s">
        <v>73</v>
      </c>
      <c r="E5" s="27" t="s">
        <v>76</v>
      </c>
      <c r="F5" s="15" t="s">
        <v>7</v>
      </c>
      <c r="G5" s="15" t="s">
        <v>8</v>
      </c>
      <c r="H5" s="15" t="s">
        <v>9</v>
      </c>
      <c r="I5" s="15" t="s">
        <v>10</v>
      </c>
      <c r="J5" s="21" t="s">
        <v>11</v>
      </c>
      <c r="K5" s="27" t="s">
        <v>793</v>
      </c>
      <c r="L5" s="27" t="s">
        <v>794</v>
      </c>
      <c r="M5" s="2" t="s">
        <v>795</v>
      </c>
      <c r="N5" s="2" t="s">
        <v>12</v>
      </c>
      <c r="O5" s="27" t="s">
        <v>796</v>
      </c>
      <c r="P5" s="27" t="s">
        <v>797</v>
      </c>
      <c r="Q5" s="2" t="s">
        <v>798</v>
      </c>
      <c r="R5" s="2" t="s">
        <v>799</v>
      </c>
      <c r="S5" s="2" t="s">
        <v>800</v>
      </c>
      <c r="T5" s="27" t="s">
        <v>13</v>
      </c>
      <c r="U5" s="27" t="s">
        <v>14</v>
      </c>
      <c r="V5" s="15" t="s">
        <v>15</v>
      </c>
      <c r="W5" s="15" t="s">
        <v>185</v>
      </c>
      <c r="X5" s="15" t="s">
        <v>385</v>
      </c>
      <c r="Y5" s="27" t="s">
        <v>67</v>
      </c>
      <c r="Z5" s="16"/>
    </row>
    <row r="6" spans="1:26" s="22" customFormat="1" ht="25.15" customHeight="1">
      <c r="A6" s="193" t="s">
        <v>273</v>
      </c>
      <c r="B6" s="9">
        <f>'  תקציב מינהל תפעול 2025פרקים '!D7+'תקציב אגף המיחשוב 2025  פרקים'!D9</f>
        <v>13850000</v>
      </c>
      <c r="C6" s="9">
        <f>'  תקציב מינהל תפעול 2025פרקים '!E7+'תקציב אגף המיחשוב 2025  פרקים'!E9</f>
        <v>12650000</v>
      </c>
      <c r="D6" s="9">
        <f>'  תקציב מינהל תפעול 2025פרקים '!F7+'תקציב אגף המיחשוב 2025  פרקים'!F9</f>
        <v>1200000</v>
      </c>
      <c r="E6" s="9">
        <f>'  תקציב מינהל תפעול 2025פרקים '!G7+'תקציב אגף המיחשוב 2025  פרקים'!G9</f>
        <v>6008000</v>
      </c>
      <c r="F6" s="9">
        <f>'  תקציב מינהל תפעול 2025פרקים '!H7+'תקציב אגף המיחשוב 2025  פרקים'!H9</f>
        <v>4559785</v>
      </c>
      <c r="G6" s="9">
        <f>'  תקציב מינהל תפעול 2025פרקים '!I7+'תקציב אגף המיחשוב 2025  פרקים'!I9</f>
        <v>43536</v>
      </c>
      <c r="H6" s="9">
        <f>'  תקציב מינהל תפעול 2025פרקים '!J7+'תקציב אגף המיחשוב 2025  פרקים'!J9</f>
        <v>224573</v>
      </c>
      <c r="I6" s="9">
        <f>'  תקציב מינהל תפעול 2025פרקים '!K7+'תקציב אגף המיחשוב 2025  פרקים'!K9</f>
        <v>268109</v>
      </c>
      <c r="J6" s="9">
        <f>'  תקציב מינהל תפעול 2025פרקים '!L7+'תקציב אגף המיחשוב 2025  פרקים'!L9</f>
        <v>4827894</v>
      </c>
      <c r="K6" s="9">
        <f>'  תקציב מינהל תפעול 2025פרקים '!M7+'תקציב אגף המיחשוב 2025  פרקים'!M9</f>
        <v>1160106</v>
      </c>
      <c r="L6" s="9">
        <f>'  תקציב מינהל תפעול 2025פרקים '!N7+'תקציב אגף המיחשוב 2025  פרקים'!N9</f>
        <v>2645000</v>
      </c>
      <c r="M6" s="9">
        <f>'  תקציב מינהל תפעול 2025פרקים '!O7+'תקציב אגף המיחשוב 2025  פרקים'!O9</f>
        <v>5217000</v>
      </c>
      <c r="N6" s="9">
        <f>'  תקציב מינהל תפעול 2025פרקים '!P7+'תקציב אגף המיחשוב 2025  פרקים'!P9</f>
        <v>1180106</v>
      </c>
      <c r="O6" s="9">
        <f>'  תקציב מינהל תפעול 2025פרקים '!Q7+'תקציב אגף המיחשוב 2025  פרקים'!Q9</f>
        <v>0</v>
      </c>
      <c r="P6" s="9">
        <f>'  תקציב מינהל תפעול 2025פרקים '!R7+'תקציב אגף המיחשוב 2025  פרקים'!R9</f>
        <v>0</v>
      </c>
      <c r="Q6" s="9">
        <f>'  תקציב מינהל תפעול 2025פרקים '!S7+'תקציב אגף המיחשוב 2025  פרקים'!S9</f>
        <v>0</v>
      </c>
      <c r="R6" s="9">
        <f>'  תקציב מינהל תפעול 2025פרקים '!T7+'תקציב אגף המיחשוב 2025  פרקים'!T9</f>
        <v>20000</v>
      </c>
      <c r="S6" s="9">
        <f>'  תקציב מינהל תפעול 2025פרקים '!U7+'תקציב אגף המיחשוב 2025  פרקים'!U9</f>
        <v>2625000</v>
      </c>
      <c r="T6" s="9">
        <f>'  תקציב מינהל תפעול 2025פרקים '!V7+'תקציב אגף המיחשוב 2025  פרקים'!V9</f>
        <v>0</v>
      </c>
      <c r="U6" s="9">
        <f>'  תקציב מינהל תפעול 2025פרקים '!W7+'תקציב אגף המיחשוב 2025  פרקים'!W9</f>
        <v>2625000</v>
      </c>
      <c r="V6" s="9">
        <f>'  תקציב מינהל תפעול 2025פרקים '!X7+'תקציב אגף המיחשוב 2025  פרקים'!X9</f>
        <v>0</v>
      </c>
      <c r="W6" s="9">
        <f>'  תקציב מינהל תפעול 2025פרקים '!Y7+'תקציב אגף המיחשוב 2025  פרקים'!Y9</f>
        <v>0</v>
      </c>
      <c r="X6" s="9">
        <f>'  תקציב מינהל תפעול 2025פרקים '!Z7+'תקציב אגף המיחשוב 2025  פרקים'!Z9</f>
        <v>0</v>
      </c>
      <c r="Y6" s="9">
        <f>'  תקציב מינהל תפעול 2025פרקים '!AA7+'תקציב אגף המיחשוב 2025  פרקים'!AA9</f>
        <v>0</v>
      </c>
      <c r="Z6" s="17"/>
    </row>
    <row r="7" spans="1:26" s="31" customFormat="1" ht="27" customHeight="1">
      <c r="A7" s="2" t="s">
        <v>274</v>
      </c>
      <c r="B7" s="29">
        <f>'תקציב הנדסה 2025פרקים '!D30+'תקציב החברה לפיתוח 2025 פרקים'!D17+'  תקציב מינהל תפעול 2025פרקים '!D18+'תקציב החברה לתירות 2025  פרקים'!D12+'תקציב אגף המיחשוב 2025  פרקים'!D15+'תקציב מינהל כללי 2025 פרקים'!D7-'תקציב הנדסה 2025פרקים '!D66</f>
        <v>158483481</v>
      </c>
      <c r="C7" s="29">
        <f>'תקציב הנדסה 2025פרקים '!E30+'תקציב החברה לפיתוח 2025 פרקים'!E17+'  תקציב מינהל תפעול 2025פרקים '!E18+'תקציב החברה לתירות 2025  פרקים'!E12+'תקציב אגף המיחשוב 2025  פרקים'!E15+'תקציב מינהל כללי 2025 פרקים'!E7-'תקציב הנדסה 2025פרקים '!E66</f>
        <v>108981481</v>
      </c>
      <c r="D7" s="29">
        <f>'תקציב הנדסה 2025פרקים '!F30+'תקציב החברה לפיתוח 2025 פרקים'!F17+'  תקציב מינהל תפעול 2025פרקים '!F18+'תקציב החברה לתירות 2025  פרקים'!F12+'תקציב אגף המיחשוב 2025  פרקים'!F15+'תקציב מינהל כללי 2025 פרקים'!F7-'תקציב הנדסה 2025פרקים '!F66</f>
        <v>49502000</v>
      </c>
      <c r="E7" s="29">
        <f>'תקציב הנדסה 2025פרקים '!G30+'תקציב החברה לפיתוח 2025 פרקים'!G17+'  תקציב מינהל תפעול 2025פרקים '!G18+'תקציב החברה לתירות 2025  פרקים'!G12+'תקציב אגף המיחשוב 2025  פרקים'!G15+'תקציב מינהל כללי 2025 פרקים'!G7-'תקציב הנדסה 2025פרקים '!G66</f>
        <v>64564966</v>
      </c>
      <c r="F7" s="29">
        <f>'תקציב הנדסה 2025פרקים '!H30+'תקציב החברה לפיתוח 2025 פרקים'!H17+'  תקציב מינהל תפעול 2025פרקים '!H18+'תקציב החברה לתירות 2025  פרקים'!H12+'תקציב אגף המיחשוב 2025  פרקים'!H15+'תקציב מינהל כללי 2025 פרקים'!H7-'תקציב הנדסה 2025פרקים '!H66</f>
        <v>54728977</v>
      </c>
      <c r="G7" s="29">
        <f>'תקציב הנדסה 2025פרקים '!I30+'תקציב החברה לפיתוח 2025 פרקים'!I17+'  תקציב מינהל תפעול 2025פרקים '!I18+'תקציב החברה לתירות 2025  פרקים'!I12+'תקציב אגף המיחשוב 2025  פרקים'!I15+'תקציב מינהל כללי 2025 פרקים'!I7-'תקציב הנדסה 2025פרקים '!I66</f>
        <v>2037943</v>
      </c>
      <c r="H7" s="29">
        <f>'תקציב הנדסה 2025פרקים '!J30+'תקציב החברה לפיתוח 2025 פרקים'!J17+'  תקציב מינהל תפעול 2025פרקים '!J18+'תקציב החברה לתירות 2025  פרקים'!J12+'תקציב אגף המיחשוב 2025  פרקים'!J15+'תקציב מינהל כללי 2025 פרקים'!J7-'תקציב הנדסה 2025פרקים '!J66</f>
        <v>3228661</v>
      </c>
      <c r="I7" s="29">
        <f>'תקציב הנדסה 2025פרקים '!K30+'תקציב החברה לפיתוח 2025 פרקים'!K17+'  תקציב מינהל תפעול 2025פרקים '!K18+'תקציב החברה לתירות 2025  פרקים'!K12+'תקציב אגף המיחשוב 2025  פרקים'!K15+'תקציב מינהל כללי 2025 פרקים'!K7-'תקציב הנדסה 2025פרקים '!K66</f>
        <v>5266604</v>
      </c>
      <c r="J7" s="29">
        <f>'תקציב הנדסה 2025פרקים '!L30+'תקציב החברה לפיתוח 2025 פרקים'!L17+'  תקציב מינהל תפעול 2025פרקים '!L18+'תקציב החברה לתירות 2025  פרקים'!L12+'תקציב אגף המיחשוב 2025  פרקים'!L15+'תקציב מינהל כללי 2025 פרקים'!L7-'תקציב הנדסה 2025פרקים '!L66</f>
        <v>59995581</v>
      </c>
      <c r="K7" s="29">
        <f>'תקציב הנדסה 2025פרקים '!M30+'תקציב החברה לפיתוח 2025 פרקים'!M17+'  תקציב מינהל תפעול 2025פרקים '!M18+'תקציב החברה לתירות 2025  פרקים'!M12+'תקציב אגף המיחשוב 2025  פרקים'!M15+'תקציב מינהל כללי 2025 פרקים'!M7-'תקציב הנדסה 2025פרקים '!M66</f>
        <v>6229632</v>
      </c>
      <c r="L7" s="29">
        <f>'תקציב הנדסה 2025פרקים '!N30+'תקציב החברה לפיתוח 2025 פרקים'!N17+'  תקציב מינהל תפעול 2025פרקים '!N18+'תקציב החברה לתירות 2025  פרקים'!N12+'תקציב אגף המיחשוב 2025  פרקים'!N15+'תקציב מינהל כללי 2025 פרקים'!N7-'תקציב הנדסה 2025פרקים '!N66</f>
        <v>12030753</v>
      </c>
      <c r="M7" s="29">
        <f>'תקציב הנדסה 2025פרקים '!O30+'תקציב החברה לפיתוח 2025 פרקים'!O17+'  תקציב מינהל תפעול 2025פרקים '!O18+'תקציב החברה לתירות 2025  פרקים'!O12+'תקציב אגף המיחשוב 2025  פרקים'!O15+'תקציב מינהל כללי 2025 פרקים'!O7-'תקציב הנדסה 2025פרקים '!O66</f>
        <v>80227515</v>
      </c>
      <c r="N7" s="29">
        <f>'תקציב הנדסה 2025פרקים '!P30+'תקציב החברה לפיתוח 2025 פרקים'!P17+'  תקציב מינהל תפעול 2025פרקים '!P18+'תקציב החברה לתירות 2025  פרקים'!P12+'תקציב אגף המיחשוב 2025  פרקים'!P15+'תקציב מינהל כללי 2025 פרקים'!P7-'תקציב הנדסה 2025פרקים '!P66</f>
        <v>4569385</v>
      </c>
      <c r="O7" s="29">
        <f>'תקציב הנדסה 2025פרקים '!Q30+'תקציב החברה לפיתוח 2025 פרקים'!Q17+'  תקציב מינהל תפעול 2025פרקים '!Q18+'תקציב החברה לתירות 2025  פרקים'!Q12+'תקציב אגף המיחשוב 2025  פרקים'!Q15+'תקציב מינהל כללי 2025 פרקים'!Q7-'תקציב הנדסה 2025פרקים '!Q66</f>
        <v>2319247</v>
      </c>
      <c r="P7" s="29">
        <f>'תקציב הנדסה 2025פרקים '!R30+'תקציב החברה לפיתוח 2025 פרקים'!R17+'  תקציב מינהל תפעול 2025פרקים '!R18+'תקציב החברה לתירות 2025  פרקים'!R12+'תקציב אגף המיחשוב 2025  פרקים'!R15+'תקציב מינהל כללי 2025 פרקים'!R7-'תקציב הנדסה 2025פרקים '!R66</f>
        <v>651000</v>
      </c>
      <c r="Q7" s="29">
        <f>'תקציב הנדסה 2025פרקים '!S30+'תקציב החברה לפיתוח 2025 פרקים'!S17+'  תקציב מינהל תפעול 2025פרקים '!S18+'תקציב החברה לתירות 2025  פרקים'!S12+'תקציב אגף המיחשוב 2025  פרקים'!S15+'תקציב מינהל כללי 2025 פרקים'!S7-'תקציב הנדסה 2025פרקים '!S66</f>
        <v>2970247</v>
      </c>
      <c r="R7" s="29">
        <f>'תקציב הנדסה 2025פרקים '!T30+'תקציב החברה לפיתוח 2025 פרקים'!T17+'  תקציב מינהל תפעול 2025פרקים '!T18+'תקציב החברה לתירות 2025  פרקים'!T12+'תקציב אגף המיחשוב 2025  פרקים'!T15+'תקציב מינהל כללי 2025 פרקים'!T7-'תקציב הנדסה 2025פרקים '!T66</f>
        <v>1310000</v>
      </c>
      <c r="S7" s="29">
        <f>'תקציב הנדסה 2025פרקים '!U30+'תקציב החברה לפיתוח 2025 פרקים'!U17+'  תקציב מינהל תפעול 2025פרקים '!U18+'תקציב החברה לתירות 2025  פרקים'!U12+'תקציב אגף המיחשוב 2025  פרקים'!U15+'תקציב מינהל כללי 2025 פרקים'!U7-'תקציב הנדסה 2025פרקים '!U66</f>
        <v>10720753</v>
      </c>
      <c r="T7" s="29">
        <f>'תקציב הנדסה 2025פרקים '!V30+'תקציב החברה לפיתוח 2025 פרקים'!V17+'  תקציב מינהל תפעול 2025פרקים '!V18+'תקציב החברה לתירות 2025  פרקים'!V12+'תקציב אגף המיחשוב 2025  פרקים'!V15+'תקציב מינהל כללי 2025 פרקים'!V7-'תקציב הנדסה 2025פרקים '!V66</f>
        <v>9820000</v>
      </c>
      <c r="U7" s="29">
        <f>'תקציב הנדסה 2025פרקים '!W30+'תקציב החברה לפיתוח 2025 פרקים'!W17+'  תקציב מינהל תפעול 2025פרקים '!W18+'תקציב החברה לתירות 2025  פרקים'!W12+'תקציב אגף המיחשוב 2025  פרקים'!W15+'תקציב מינהל כללי 2025 פרקים'!W7-'תקציב הנדסה 2025פרקים '!W66</f>
        <v>255000</v>
      </c>
      <c r="V7" s="29">
        <f>'תקציב הנדסה 2025פרקים '!X30+'תקציב החברה לפיתוח 2025 פרקים'!X17+'  תקציב מינהל תפעול 2025פרקים '!X18+'תקציב החברה לתירות 2025  פרקים'!X12+'תקציב אגף המיחשוב 2025  פרקים'!X15+'תקציב מינהל כללי 2025 פרקים'!X7-'תקציב הנדסה 2025פרקים '!X66</f>
        <v>0</v>
      </c>
      <c r="W7" s="29">
        <f>'תקציב הנדסה 2025פרקים '!Y30+'תקציב החברה לפיתוח 2025 פרקים'!Y17+'  תקציב מינהל תפעול 2025פרקים '!Y18+'תקציב החברה לתירות 2025  פרקים'!Y12+'תקציב אגף המיחשוב 2025  פרקים'!Y15+'תקציב מינהל כללי 2025 פרקים'!Y7-'תקציב הנדסה 2025פרקים '!Y66</f>
        <v>0</v>
      </c>
      <c r="X7" s="29">
        <f>'תקציב הנדסה 2025פרקים '!Z30+'תקציב החברה לפיתוח 2025 פרקים'!Z17+'  תקציב מינהל תפעול 2025פרקים '!Z18+'תקציב החברה לתירות 2025  פרקים'!Z12+'תקציב אגף המיחשוב 2025  פרקים'!Z15+'תקציב מינהל כללי 2025 פרקים'!Z7-'תקציב הנדסה 2025פרקים '!Z66</f>
        <v>0</v>
      </c>
      <c r="Y7" s="29">
        <f>'תקציב הנדסה 2025פרקים '!AA30+'תקציב החברה לפיתוח 2025 פרקים'!AA17+'  תקציב מינהל תפעול 2025פרקים '!AA18+'תקציב החברה לתירות 2025  פרקים'!AA12+'תקציב אגף המיחשוב 2025  פרקים'!AA15+'תקציב מינהל כללי 2025 פרקים'!AA7-'תקציב הנדסה 2025פרקים '!AA66</f>
        <v>645753</v>
      </c>
      <c r="Z7" s="30"/>
    </row>
    <row r="8" spans="1:26" s="31" customFormat="1" ht="27" customHeight="1">
      <c r="A8" s="2" t="s">
        <v>275</v>
      </c>
      <c r="B8" s="29">
        <f>'תקציב הנדסה 2025פרקים '!D52+'תקציב החברה לפיתוח 2025 פרקים'!D68+'  תקציב מינהל תפעול 2025פרקים '!D45+'תקציב מינהל כללי 2025 פרקים'!D13-'  תקציב מינהל תפעול 2025פרקים '!D132+'תקציב הנדסה 2025פרקים '!D66</f>
        <v>2385040574</v>
      </c>
      <c r="C8" s="29">
        <f>'תקציב הנדסה 2025פרקים '!E52+'תקציב החברה לפיתוח 2025 פרקים'!E68+'  תקציב מינהל תפעול 2025פרקים '!E45+'תקציב מינהל כללי 2025 פרקים'!E13-'  תקציב מינהל תפעול 2025פרקים '!E132+'תקציב הנדסה 2025פרקים '!E66</f>
        <v>2248851676</v>
      </c>
      <c r="D8" s="29">
        <f>'תקציב הנדסה 2025פרקים '!F52+'תקציב החברה לפיתוח 2025 פרקים'!F68+'  תקציב מינהל תפעול 2025פרקים '!F45+'תקציב מינהל כללי 2025 פרקים'!F13-'  תקציב מינהל תפעול 2025פרקים '!F132+'תקציב הנדסה 2025פרקים '!F66</f>
        <v>136188898</v>
      </c>
      <c r="E8" s="29">
        <f>'תקציב הנדסה 2025פרקים '!G52+'תקציב החברה לפיתוח 2025 פרקים'!G68+'  תקציב מינהל תפעול 2025פרקים '!G45+'תקציב מינהל כללי 2025 פרקים'!G13-'  תקציב מינהל תפעול 2025פרקים '!G132+'תקציב הנדסה 2025פרקים '!G66</f>
        <v>1117368741</v>
      </c>
      <c r="F8" s="29">
        <f>'תקציב הנדסה 2025פרקים '!H52+'תקציב החברה לפיתוח 2025 פרקים'!H68+'  תקציב מינהל תפעול 2025פרקים '!H45+'תקציב מינהל כללי 2025 פרקים'!H13-'  תקציב מינהל תפעול 2025פרקים '!H132+'תקציב הנדסה 2025פרקים '!H66</f>
        <v>1032024945.73</v>
      </c>
      <c r="G8" s="29">
        <f>'תקציב הנדסה 2025פרקים '!I52+'תקציב החברה לפיתוח 2025 פרקים'!I68+'  תקציב מינהל תפעול 2025פרקים '!I45+'תקציב מינהל כללי 2025 פרקים'!I13-'  תקציב מינהל תפעול 2025פרקים '!I132+'תקציב הנדסה 2025פרקים '!I66</f>
        <v>1390280</v>
      </c>
      <c r="H8" s="29">
        <f>'תקציב הנדסה 2025פרקים '!J52+'תקציב החברה לפיתוח 2025 פרקים'!J68+'  תקציב מינהל תפעול 2025פרקים '!J45+'תקציב מינהל כללי 2025 פרקים'!J13-'  תקציב מינהל תפעול 2025פרקים '!J132+'תקציב הנדסה 2025פרקים '!J66</f>
        <v>39584243.140000001</v>
      </c>
      <c r="I8" s="29">
        <f>'תקציב הנדסה 2025פרקים '!K52+'תקציב החברה לפיתוח 2025 פרקים'!K68+'  תקציב מינהל תפעול 2025פרקים '!K45+'תקציב מינהל כללי 2025 פרקים'!K13-'  תקציב מינהל תפעול 2025פרקים '!K132+'תקציב הנדסה 2025פרקים '!K66</f>
        <v>40974523.140000001</v>
      </c>
      <c r="J8" s="29">
        <f>'תקציב הנדסה 2025פרקים '!L52+'תקציב החברה לפיתוח 2025 פרקים'!L68+'  תקציב מינהל תפעול 2025פרקים '!L45+'תקציב מינהל כללי 2025 פרקים'!L13-'  תקציב מינהל תפעול 2025פרקים '!L132+'תקציב הנדסה 2025פרקים '!L66</f>
        <v>1072999468.87</v>
      </c>
      <c r="K8" s="29">
        <f>'תקציב הנדסה 2025פרקים '!M52+'תקציב החברה לפיתוח 2025 פרקים'!M68+'  תקציב מינהל תפעול 2025פרקים '!M45+'תקציב מינהל כללי 2025 פרקים'!M13-'  תקציב מינהל תפעול 2025פרקים '!M132+'תקציב הנדסה 2025פרקים '!M66</f>
        <v>75199711.129999995</v>
      </c>
      <c r="L8" s="29">
        <f>'תקציב הנדסה 2025פרקים '!N52+'תקציב החברה לפיתוח 2025 פרקים'!N68+'  תקציב מינהל תפעול 2025פרקים '!N45+'תקציב מינהל כללי 2025 פרקים'!N13-'  תקציב מינהל תפעול 2025פרקים '!N132+'תקציב הנדסה 2025פרקים '!N66</f>
        <v>131388425</v>
      </c>
      <c r="M8" s="29">
        <f>'תקציב הנדסה 2025פרקים '!O52+'תקציב החברה לפיתוח 2025 פרקים'!O68+'  תקציב מינהל תפעול 2025פרקים '!O45+'תקציב מינהל כללי 2025 פרקים'!O13-'  תקציב מינהל תפעול 2025פרקים '!O132+'תקציב הנדסה 2025פרקים '!O66</f>
        <v>1105452969</v>
      </c>
      <c r="N8" s="29">
        <f>'תקציב הנדסה 2025פרקים '!P52+'תקציב החברה לפיתוח 2025 פרקים'!P68+'  תקציב מינהל תפעול 2025פרקים '!P45+'תקציב מינהל כללי 2025 פרקים'!P13-'  תקציב מינהל תפעול 2025פרקים '!P132+'תקציב הנדסה 2025פרקים '!P66</f>
        <v>44369272.130000003</v>
      </c>
      <c r="O8" s="29">
        <f>'תקציב הנדסה 2025פרקים '!Q52+'תקציב החברה לפיתוח 2025 פרקים'!Q68+'  תקציב מינהל תפעול 2025פרקים '!Q45+'תקציב מינהל כללי 2025 פרקים'!Q13-'  תקציב מינהל תפעול 2025פרקים '!Q132+'תקציב הנדסה 2025פרקים '!Q66</f>
        <v>26895439</v>
      </c>
      <c r="P8" s="29">
        <f>'תקציב הנדסה 2025פרקים '!R52+'תקציב החברה לפיתוח 2025 פרקים'!R68+'  תקציב מינהל תפעול 2025פרקים '!R45+'תקציב מינהל כללי 2025 פרקים'!R13-'  תקציב מינהל תפעול 2025פרקים '!R132+'תקציב הנדסה 2025פרקים '!R66</f>
        <v>4200000</v>
      </c>
      <c r="Q8" s="29">
        <f>'תקציב הנדסה 2025פרקים '!S52+'תקציב החברה לפיתוח 2025 פרקים'!S68+'  תקציב מינהל תפעול 2025פרקים '!S45+'תקציב מינהל כללי 2025 פרקים'!S13-'  תקציב מינהל תפעול 2025פרקים '!S132+'תקציב הנדסה 2025פרקים '!S66</f>
        <v>31095439</v>
      </c>
      <c r="R8" s="29">
        <f>'תקציב הנדסה 2025פרקים '!T52+'תקציב החברה לפיתוח 2025 פרקים'!T68+'  תקציב מינהל תפעול 2025פרקים '!T45+'תקציב מינהל כללי 2025 פרקים'!T13-'  תקציב מינהל תפעול 2025פרקים '!T132+'תקציב הנדסה 2025פרקים '!T66</f>
        <v>265000</v>
      </c>
      <c r="S8" s="29">
        <f>'תקציב הנדסה 2025פרקים '!U52+'תקציב החברה לפיתוח 2025 פרקים'!U68+'  תקציב מינהל תפעול 2025פרקים '!U45+'תקציב מינהל כללי 2025 פרקים'!U13-'  תקציב מינהל תפעול 2025פרקים '!U132+'תקציב הנדסה 2025פרקים '!U66</f>
        <v>131123425</v>
      </c>
      <c r="T8" s="29">
        <f>'תקציב הנדסה 2025פרקים '!V52+'תקציב החברה לפיתוח 2025 פרקים'!V68+'  תקציב מינהל תפעול 2025פרקים '!V45+'תקציב מינהל כללי 2025 פרקים'!V13-'  תקציב מינהל תפעול 2025פרקים '!V132+'תקציב הנדסה 2025פרקים '!V66</f>
        <v>63753172</v>
      </c>
      <c r="U8" s="29">
        <f>'תקציב הנדסה 2025פרקים '!W52+'תקציב החברה לפיתוח 2025 פרקים'!W68+'  תקציב מינהל תפעול 2025פרקים '!W45+'תקציב מינהל כללי 2025 פרקים'!W13-'  תקציב מינהל תפעול 2025פרקים '!W132+'תקציב הנדסה 2025פרקים '!W66</f>
        <v>11900000</v>
      </c>
      <c r="V8" s="29">
        <f>'תקציב הנדסה 2025פרקים '!X52+'תקציב החברה לפיתוח 2025 פרקים'!X68+'  תקציב מינהל תפעול 2025פרקים '!X45+'תקציב מינהל כללי 2025 פרקים'!X13-'  תקציב מינהל תפעול 2025פרקים '!X132+'תקציב הנדסה 2025פרקים '!X66</f>
        <v>0</v>
      </c>
      <c r="W8" s="29">
        <f>'תקציב הנדסה 2025פרקים '!Y52+'תקציב החברה לפיתוח 2025 פרקים'!Y68+'  תקציב מינהל תפעול 2025פרקים '!Y45+'תקציב מינהל כללי 2025 פרקים'!Y13-'  תקציב מינהל תפעול 2025פרקים '!Y132+'תקציב הנדסה 2025פרקים '!Y66</f>
        <v>30000000</v>
      </c>
      <c r="X8" s="29">
        <f>'תקציב הנדסה 2025פרקים '!Z52+'תקציב החברה לפיתוח 2025 פרקים'!Z68+'  תקציב מינהל תפעול 2025פרקים '!Z45+'תקציב מינהל כללי 2025 פרקים'!Z13-'  תקציב מינהל תפעול 2025פרקים '!Z132+'תקציב הנדסה 2025פרקים '!Z66</f>
        <v>0</v>
      </c>
      <c r="Y8" s="29">
        <f>'תקציב הנדסה 2025פרקים '!AA52+'תקציב החברה לפיתוח 2025 פרקים'!AA68+'  תקציב מינהל תפעול 2025פרקים '!AA45+'תקציב מינהל כללי 2025 פרקים'!AA13-'  תקציב מינהל תפעול 2025פרקים '!AA132+'תקציב הנדסה 2025פרקים '!AA66</f>
        <v>25470253</v>
      </c>
    </row>
    <row r="9" spans="1:26" s="31" customFormat="1" ht="25.15" customHeight="1">
      <c r="A9" s="297" t="s">
        <v>276</v>
      </c>
      <c r="B9" s="29">
        <f>'תקציב החברה לפיתוח 2025 פרקים'!D72+'  תקציב מינהל תפעול 2025פרקים '!D58+'תקציב החברה לתירות 2025  פרקים'!D16</f>
        <v>89515061</v>
      </c>
      <c r="C9" s="29">
        <f>'תקציב החברה לפיתוח 2025 פרקים'!E72+'  תקציב מינהל תפעול 2025פרקים '!E58+'תקציב החברה לתירות 2025  פרקים'!E16</f>
        <v>83367699</v>
      </c>
      <c r="D9" s="29">
        <f>'תקציב החברה לפיתוח 2025 פרקים'!F72+'  תקציב מינהל תפעול 2025פרקים '!F58+'תקציב החברה לתירות 2025  פרקים'!F16</f>
        <v>6147362</v>
      </c>
      <c r="E9" s="29">
        <f>'תקציב החברה לפיתוח 2025 פרקים'!G72+'  תקציב מינהל תפעול 2025פרקים '!G58+'תקציב החברה לתירות 2025  פרקים'!G16</f>
        <v>62033563</v>
      </c>
      <c r="F9" s="29">
        <f>'תקציב החברה לפיתוח 2025 פרקים'!H72+'  תקציב מינהל תפעול 2025פרקים '!H58+'תקציב החברה לתירות 2025  פרקים'!H16</f>
        <v>57039708.210000001</v>
      </c>
      <c r="G9" s="29">
        <f>'תקציב החברה לפיתוח 2025 פרקים'!I72+'  תקציב מינהל תפעול 2025פרקים '!I58+'תקציב החברה לתירות 2025  פרקים'!I16</f>
        <v>56624</v>
      </c>
      <c r="H9" s="29">
        <f>'תקציב החברה לפיתוח 2025 פרקים'!J72+'  תקציב מינהל תפעול 2025פרקים '!J58+'תקציב החברה לתירות 2025  פרקים'!J16</f>
        <v>2953572.84</v>
      </c>
      <c r="I9" s="29">
        <f>'תקציב החברה לפיתוח 2025 פרקים'!K72+'  תקציב מינהל תפעול 2025פרקים '!K58+'תקציב החברה לתירות 2025  פרקים'!K16</f>
        <v>3010196.84</v>
      </c>
      <c r="J9" s="29">
        <f>'תקציב החברה לפיתוח 2025 פרקים'!L72+'  תקציב מינהל תפעול 2025פרקים '!L58+'תקציב החברה לתירות 2025  פרקים'!L16</f>
        <v>60049905.049999997</v>
      </c>
      <c r="K9" s="29">
        <f>'תקציב החברה לפיתוח 2025 פרקים'!M72+'  תקציב מינהל תפעול 2025פרקים '!M58+'תקציב החברה לתירות 2025  פרקים'!M16</f>
        <v>2723657.9499999988</v>
      </c>
      <c r="L9" s="29">
        <f>'תקציב החברה לפיתוח 2025 פרקים'!N72+'  תקציב מינהל תפעול 2025פרקים '!N58+'תקציב החברה לתירות 2025  פרקים'!N16</f>
        <v>2547362</v>
      </c>
      <c r="M9" s="29">
        <f>'תקציב החברה לפיתוח 2025 פרקים'!O72+'  תקציב מינהל תפעול 2025פרקים '!O58+'תקציב החברה לתירות 2025  פרקים'!O16</f>
        <v>24194136</v>
      </c>
      <c r="N9" s="29">
        <f>'תקציב החברה לפיתוח 2025 פרקים'!P72+'  תקציב מינהל תפעול 2025פרקים '!P58+'תקציב החברה לתירות 2025  פרקים'!P16</f>
        <v>1983657.9499999988</v>
      </c>
      <c r="O9" s="29">
        <f>'תקציב החברה לפיתוח 2025 פרקים'!Q72+'  תקציב מינהל תפעול 2025פרקים '!Q58+'תקציב החברה לתירות 2025  פרקים'!Q16</f>
        <v>740000</v>
      </c>
      <c r="P9" s="29">
        <f>'תקציב החברה לפיתוח 2025 פרקים'!R72+'  תקציב מינהל תפעול 2025פרקים '!R58+'תקציב החברה לתירות 2025  פרקים'!R16</f>
        <v>0</v>
      </c>
      <c r="Q9" s="29">
        <f>'תקציב החברה לפיתוח 2025 פרקים'!S72+'  תקציב מינהל תפעול 2025פרקים '!S58+'תקציב החברה לתירות 2025  פרקים'!S16</f>
        <v>740000</v>
      </c>
      <c r="R9" s="29">
        <f>'תקציב החברה לפיתוח 2025 פרקים'!T72+'  תקציב מינהל תפעול 2025פרקים '!T58+'תקציב החברה לתירות 2025  פרקים'!T16</f>
        <v>0</v>
      </c>
      <c r="S9" s="29">
        <f>'תקציב החברה לפיתוח 2025 פרקים'!U72+'  תקציב מינהל תפעול 2025פרקים '!U58+'תקציב החברה לתירות 2025  פרקים'!U16</f>
        <v>2547362</v>
      </c>
      <c r="T9" s="29">
        <f>'תקציב החברה לפיתוח 2025 פרקים'!V72+'  תקציב מינהל תפעול 2025פרקים '!V58+'תקציב החברה לתירות 2025  פרקים'!V16</f>
        <v>600000</v>
      </c>
      <c r="U9" s="29">
        <f>'תקציב החברה לפיתוח 2025 פרקים'!W72+'  תקציב מינהל תפעול 2025פרקים '!W58+'תקציב החברה לתירות 2025  פרקים'!W16</f>
        <v>1800000</v>
      </c>
      <c r="V9" s="29">
        <f>'תקציב החברה לפיתוח 2025 פרקים'!X72+'  תקציב מינהל תפעול 2025פרקים '!X58+'תקציב החברה לתירות 2025  פרקים'!X16</f>
        <v>0</v>
      </c>
      <c r="W9" s="29">
        <f>'תקציב החברה לפיתוח 2025 פרקים'!Y72+'  תקציב מינהל תפעול 2025פרקים '!Y58+'תקציב החברה לתירות 2025  פרקים'!Y16</f>
        <v>0</v>
      </c>
      <c r="X9" s="29">
        <f>'תקציב החברה לפיתוח 2025 פרקים'!Z72+'  תקציב מינהל תפעול 2025פרקים '!Z58+'תקציב החברה לתירות 2025  פרקים'!Z16</f>
        <v>0</v>
      </c>
      <c r="Y9" s="29">
        <f>'תקציב החברה לפיתוח 2025 פרקים'!AA72+'  תקציב מינהל תפעול 2025פרקים '!AA58+'תקציב החברה לתירות 2025  פרקים'!AA16</f>
        <v>147362</v>
      </c>
    </row>
    <row r="10" spans="1:26" s="31" customFormat="1" ht="45">
      <c r="A10" s="2" t="s">
        <v>470</v>
      </c>
      <c r="B10" s="29">
        <f>'תקציב הנדסה 2025פרקים '!D55+'תקציב החברה לפיתוח 2025 פרקים'!D75+'  תקציב מינהל תפעול 2025פרקים '!D15+'תקציב אגף המיחשוב 2025  פרקים'!D12+'תקציב אגף המיחשוב 2025  פרקים'!D23+'תקציב מינהל כללי 2025 פרקים'!D18</f>
        <v>235373000</v>
      </c>
      <c r="C10" s="29">
        <f>'תקציב הנדסה 2025פרקים '!E55+'תקציב החברה לפיתוח 2025 פרקים'!E75+'  תקציב מינהל תפעול 2025פרקים '!E15+'תקציב אגף המיחשוב 2025  פרקים'!E12+'תקציב אגף המיחשוב 2025  פרקים'!E23+'תקציב מינהל כללי 2025 פרקים'!E18</f>
        <v>230831000</v>
      </c>
      <c r="D10" s="29">
        <f>'תקציב הנדסה 2025פרקים '!F55+'תקציב החברה לפיתוח 2025 פרקים'!F75+'  תקציב מינהל תפעול 2025פרקים '!F15+'תקציב אגף המיחשוב 2025  פרקים'!F12+'תקציב אגף המיחשוב 2025  פרקים'!F23+'תקציב מינהל כללי 2025 פרקים'!F18</f>
        <v>4542000</v>
      </c>
      <c r="E10" s="29">
        <f>'תקציב הנדסה 2025פרקים '!G55+'תקציב החברה לפיתוח 2025 פרקים'!G75+'  תקציב מינהל תפעול 2025פרקים '!G15+'תקציב אגף המיחשוב 2025  פרקים'!G12+'תקציב אגף המיחשוב 2025  פרקים'!G23+'תקציב מינהל כללי 2025 פרקים'!G18</f>
        <v>160891000</v>
      </c>
      <c r="F10" s="29">
        <f>'תקציב הנדסה 2025פרקים '!H55+'תקציב החברה לפיתוח 2025 פרקים'!H75+'  תקציב מינהל תפעול 2025פרקים '!H15+'תקציב אגף המיחשוב 2025  פרקים'!H12+'תקציב אגף המיחשוב 2025  פרקים'!H23+'תקציב מינהל כללי 2025 פרקים'!H18</f>
        <v>127100388</v>
      </c>
      <c r="G10" s="29">
        <f>'תקציב הנדסה 2025פרקים '!I55+'תקציב החברה לפיתוח 2025 פרקים'!I75+'  תקציב מינהל תפעול 2025פרקים '!I15+'תקציב אגף המיחשוב 2025  פרקים'!I12+'תקציב אגף המיחשוב 2025  פרקים'!I23+'תקציב מינהל כללי 2025 פרקים'!I18</f>
        <v>0</v>
      </c>
      <c r="H10" s="29">
        <f>'תקציב הנדסה 2025פרקים '!J55+'תקציב החברה לפיתוח 2025 פרקים'!J75+'  תקציב מינהל תפעול 2025פרקים '!J15+'תקציב אגף המיחשוב 2025  פרקים'!J12+'תקציב אגף המיחשוב 2025  פרקים'!J23+'תקציב מינהל כללי 2025 פרקים'!J18</f>
        <v>19541905</v>
      </c>
      <c r="I10" s="29">
        <f>'תקציב הנדסה 2025פרקים '!K55+'תקציב החברה לפיתוח 2025 פרקים'!K75+'  תקציב מינהל תפעול 2025פרקים '!K15+'תקציב אגף המיחשוב 2025  פרקים'!K12+'תקציב אגף המיחשוב 2025  פרקים'!K23+'תקציב מינהל כללי 2025 פרקים'!K18</f>
        <v>19541905</v>
      </c>
      <c r="J10" s="29">
        <f>'תקציב הנדסה 2025פרקים '!L55+'תקציב החברה לפיתוח 2025 פרקים'!L75+'  תקציב מינהל תפעול 2025פרקים '!L15+'תקציב אגף המיחשוב 2025  פרקים'!L12+'תקציב אגף המיחשוב 2025  פרקים'!L23+'תקציב מינהל כללי 2025 פרקים'!L18</f>
        <v>146642293</v>
      </c>
      <c r="K10" s="29">
        <f>'תקציב הנדסה 2025פרקים '!M55+'תקציב החברה לפיתוח 2025 פרקים'!M75+'  תקציב מינהל תפעול 2025פרקים '!M15+'תקציב אגף המיחשוב 2025  פרקים'!M12+'תקציב אגף המיחשוב 2025  פרקים'!M23+'תקציב מינהל כללי 2025 פרקים'!M18</f>
        <v>14998707</v>
      </c>
      <c r="L10" s="29">
        <f>'תקציב הנדסה 2025פרקים '!N55+'תקציב החברה לפיתוח 2025 פרקים'!N75+'  תקציב מינהל תפעול 2025פרקים '!N15+'תקציב אגף המיחשוב 2025  פרקים'!N12+'תקציב אגף המיחשוב 2025  פרקים'!N23+'תקציב מינהל כללי 2025 פרקים'!N18</f>
        <v>9622000</v>
      </c>
      <c r="M10" s="29">
        <f>'תקציב הנדסה 2025פרקים '!O55+'תקציב החברה לפיתוח 2025 פרקים'!O75+'  תקציב מינהל תפעול 2025פרקים '!O15+'תקציב אגף המיחשוב 2025  פרקים'!O12+'תקציב אגף המיחשוב 2025  פרקים'!O23+'תקציב מינהל כללי 2025 פרקים'!O18</f>
        <v>64110000</v>
      </c>
      <c r="N10" s="29">
        <f>'תקציב הנדסה 2025פרקים '!P55+'תקציב החברה לפיתוח 2025 פרקים'!P75+'  תקציב מינהל תפעול 2025פרקים '!P15+'תקציב אגף המיחשוב 2025  פרקים'!P12+'תקציב אגף המיחשוב 2025  פרקים'!P23+'תקציב מינהל כללי 2025 פרקים'!P18</f>
        <v>14248707</v>
      </c>
      <c r="O10" s="29">
        <f>'תקציב הנדסה 2025פרקים '!Q55+'תקציב החברה לפיתוח 2025 פרקים'!Q75+'  תקציב מינהל תפעול 2025פרקים '!Q15+'תקציב אגף המיחשוב 2025  פרקים'!Q12+'תקציב אגף המיחשוב 2025  פרקים'!Q23+'תקציב מינהל כללי 2025 פרקים'!Q18</f>
        <v>857000</v>
      </c>
      <c r="P10" s="29">
        <f>'תקציב הנדסה 2025פרקים '!R55+'תקציב החברה לפיתוח 2025 פרקים'!R75+'  תקציב מינהל תפעול 2025פרקים '!R15+'תקציב אגף המיחשוב 2025  פרקים'!R12+'תקציב אגף המיחשוב 2025  פרקים'!R23+'תקציב מינהל כללי 2025 פרקים'!R18</f>
        <v>0</v>
      </c>
      <c r="Q10" s="29">
        <f>'תקציב הנדסה 2025פרקים '!S55+'תקציב החברה לפיתוח 2025 פרקים'!S75+'  תקציב מינהל תפעול 2025פרקים '!S15+'תקציב אגף המיחשוב 2025  פרקים'!S12+'תקציב אגף המיחשוב 2025  פרקים'!S23+'תקציב מינהל כללי 2025 פרקים'!S18</f>
        <v>857000</v>
      </c>
      <c r="R10" s="29">
        <f>'תקציב הנדסה 2025פרקים '!T55+'תקציב החברה לפיתוח 2025 פרקים'!T75+'  תקציב מינהל תפעול 2025פרקים '!T15+'תקציב אגף המיחשוב 2025  פרקים'!T12+'תקציב אגף המיחשוב 2025  פרקים'!T23+'תקציב מינהל כללי 2025 פרקים'!T18</f>
        <v>107000</v>
      </c>
      <c r="S10" s="29">
        <f>'תקציב הנדסה 2025פרקים '!U55+'תקציב החברה לפיתוח 2025 פרקים'!U75+'  תקציב מינהל תפעול 2025פרקים '!U15+'תקציב אגף המיחשוב 2025  פרקים'!U12+'תקציב אגף המיחשוב 2025  פרקים'!U23+'תקציב מינהל כללי 2025 פרקים'!U18</f>
        <v>9515000</v>
      </c>
      <c r="T10" s="29">
        <f>'תקציב הנדסה 2025פרקים '!V55+'תקציב החברה לפיתוח 2025 פרקים'!V75+'  תקציב מינהל תפעול 2025פרקים '!V15+'תקציב אגף המיחשוב 2025  פרקים'!V12+'תקציב אגף המיחשוב 2025  פרקים'!V23+'תקציב מינהל כללי 2025 פרקים'!V18</f>
        <v>1829000</v>
      </c>
      <c r="U10" s="29">
        <f>'תקציב הנדסה 2025פרקים '!W55+'תקציב החברה לפיתוח 2025 פרקים'!W75+'  תקציב מינהל תפעול 2025פרקים '!W15+'תקציב אגף המיחשוב 2025  פרקים'!W12+'תקציב אגף המיחשוב 2025  פרקים'!W23+'תקציב מינהל כללי 2025 פרקים'!W18</f>
        <v>7686000</v>
      </c>
      <c r="V10" s="29">
        <f>'תקציב הנדסה 2025פרקים '!X55+'תקציב החברה לפיתוח 2025 פרקים'!X75+'  תקציב מינהל תפעול 2025פרקים '!X15+'תקציב אגף המיחשוב 2025  פרקים'!X12+'תקציב אגף המיחשוב 2025  פרקים'!X23+'תקציב מינהל כללי 2025 פרקים'!X18</f>
        <v>0</v>
      </c>
      <c r="W10" s="29">
        <f>'תקציב הנדסה 2025פרקים '!Y55+'תקציב החברה לפיתוח 2025 פרקים'!Y75+'  תקציב מינהל תפעול 2025פרקים '!Y15+'תקציב אגף המיחשוב 2025  פרקים'!Y12+'תקציב אגף המיחשוב 2025  פרקים'!Y23+'תקציב מינהל כללי 2025 פרקים'!Y18</f>
        <v>0</v>
      </c>
      <c r="X10" s="29">
        <f>'תקציב הנדסה 2025פרקים '!Z55+'תקציב החברה לפיתוח 2025 פרקים'!Z75+'  תקציב מינהל תפעול 2025פרקים '!Z15+'תקציב אגף המיחשוב 2025  פרקים'!Z12+'תקציב אגף המיחשוב 2025  פרקים'!Z23+'תקציב מינהל כללי 2025 פרקים'!Z18</f>
        <v>0</v>
      </c>
      <c r="Y10" s="29">
        <f>'תקציב הנדסה 2025פרקים '!AA55+'תקציב החברה לפיתוח 2025 פרקים'!AA75+'  תקציב מינהל תפעול 2025פרקים '!AA15+'תקציב אגף המיחשוב 2025  פרקים'!AA12+'תקציב אגף המיחשוב 2025  פרקים'!AA23+'תקציב מינהל כללי 2025 פרקים'!AA18</f>
        <v>0</v>
      </c>
    </row>
    <row r="11" spans="1:26" s="31" customFormat="1" ht="25.15" customHeight="1">
      <c r="A11" s="297" t="s">
        <v>277</v>
      </c>
      <c r="B11" s="29">
        <f>'תקציב החברה לפיתוח 2025 פרקים'!D105+'  תקציב מינהל תפעול 2025פרקים '!D90+'תקציב מינהל חינוך 2025 פרקים'!D15+'תקציב אגף המיחשוב 2025  פרקים'!D27</f>
        <v>1747909363</v>
      </c>
      <c r="C11" s="29">
        <f>'תקציב החברה לפיתוח 2025 פרקים'!E105+'  תקציב מינהל תפעול 2025פרקים '!E90+'תקציב מינהל חינוך 2025 פרקים'!E15+'תקציב אגף המיחשוב 2025  פרקים'!E27</f>
        <v>1705003376</v>
      </c>
      <c r="D11" s="29">
        <f>'תקציב החברה לפיתוח 2025 פרקים'!F105+'  תקציב מינהל תפעול 2025פרקים '!F90+'תקציב מינהל חינוך 2025 פרקים'!F15+'תקציב אגף המיחשוב 2025  פרקים'!F27</f>
        <v>42905987</v>
      </c>
      <c r="E11" s="29">
        <f>'תקציב החברה לפיתוח 2025 פרקים'!G105+'  תקציב מינהל תפעול 2025פרקים '!G90+'תקציב מינהל חינוך 2025 פרקים'!G15+'תקציב אגף המיחשוב 2025  פרקים'!G27</f>
        <v>1102994745</v>
      </c>
      <c r="F11" s="29">
        <f>'תקציב החברה לפיתוח 2025 פרקים'!H105+'  תקציב מינהל תפעול 2025פרקים '!H90+'תקציב מינהל חינוך 2025 פרקים'!H15+'תקציב אגף המיחשוב 2025  פרקים'!H27</f>
        <v>1027256982.85</v>
      </c>
      <c r="G11" s="29">
        <f>'תקציב החברה לפיתוח 2025 פרקים'!I105+'  תקציב מינהל תפעול 2025פרקים '!I90+'תקציב מינהל חינוך 2025 פרקים'!I15+'תקציב אגף המיחשוב 2025  פרקים'!I27</f>
        <v>252615</v>
      </c>
      <c r="H11" s="29">
        <f>'תקציב החברה לפיתוח 2025 פרקים'!J105+'  תקציב מינהל תפעול 2025פרקים '!J90+'תקציב מינהל חינוך 2025 פרקים'!J15+'תקציב אגף המיחשוב 2025  פרקים'!J27</f>
        <v>43231283.090000004</v>
      </c>
      <c r="I11" s="29">
        <f>'תקציב החברה לפיתוח 2025 פרקים'!K105+'  תקציב מינהל תפעול 2025פרקים '!K90+'תקציב מינהל חינוך 2025 פרקים'!K15+'תקציב אגף המיחשוב 2025  פרקים'!K27</f>
        <v>43483898.090000004</v>
      </c>
      <c r="J11" s="29">
        <f>'תקציב החברה לפיתוח 2025 פרקים'!L105+'  תקציב מינהל תפעול 2025פרקים '!L90+'תקציב מינהל חינוך 2025 פרקים'!L15+'תקציב אגף המיחשוב 2025  פרקים'!L27</f>
        <v>1070740880.9400001</v>
      </c>
      <c r="K11" s="29">
        <f>'תקציב החברה לפיתוח 2025 פרקים'!M105+'  תקציב מינהל תפעול 2025פרקים '!M90+'תקציב מינהל חינוך 2025 פרקים'!M15+'תקציב אגף המיחשוב 2025  פרקים'!M27</f>
        <v>114599962.06</v>
      </c>
      <c r="L11" s="29">
        <f>'תקציב החברה לפיתוח 2025 פרקים'!N105+'  תקציב מינהל תפעול 2025פרקים '!N90+'תקציב מינהל חינוך 2025 פרקים'!N15+'תקציב אגף המיחשוב 2025  פרקים'!N27</f>
        <v>108887583</v>
      </c>
      <c r="M11" s="29">
        <f>'תקציב החברה לפיתוח 2025 פרקים'!O105+'  תקציב מינהל תפעול 2025פרקים '!O90+'תקציב מינהל חינוך 2025 פרקים'!O15+'תקציב אגף המיחשוב 2025  פרקים'!O27</f>
        <v>453680937</v>
      </c>
      <c r="N11" s="29">
        <f>'תקציב החברה לפיתוח 2025 פרקים'!P105+'  תקציב מינהל תפעול 2025פרקים '!P90+'תקציב מינהל חינוך 2025 פרקים'!P15+'תקציב אגף המיחשוב 2025  פרקים'!P27</f>
        <v>32253864.060000002</v>
      </c>
      <c r="O11" s="29">
        <f>'תקציב החברה לפיתוח 2025 פרקים'!Q105+'  תקציב מינהל תפעול 2025פרקים '!Q90+'תקציב מינהל חינוך 2025 פרקים'!Q15+'תקציב אגף המיחשוב 2025  פרקים'!Q27</f>
        <v>59296098</v>
      </c>
      <c r="P11" s="29">
        <f>'תקציב החברה לפיתוח 2025 פרקים'!R105+'  תקציב מינהל תפעול 2025פרקים '!R90+'תקציב מינהל חינוך 2025 פרקים'!R15+'תקציב אגף המיחשוב 2025  פרקים'!R27</f>
        <v>23050000</v>
      </c>
      <c r="Q11" s="29">
        <f>'תקציב החברה לפיתוח 2025 פרקים'!S105+'  תקציב מינהל תפעול 2025פרקים '!S90+'תקציב מינהל חינוך 2025 פרקים'!S15+'תקציב אגף המיחשוב 2025  פרקים'!S27</f>
        <v>82346098</v>
      </c>
      <c r="R11" s="29">
        <f>'תקציב החברה לפיתוח 2025 פרקים'!T105+'  תקציב מינהל תפעול 2025פרקים '!T90+'תקציב מינהל חינוך 2025 פרקים'!T15+'תקציב אגף המיחשוב 2025  פרקים'!T27</f>
        <v>0</v>
      </c>
      <c r="S11" s="29">
        <f>'תקציב החברה לפיתוח 2025 פרקים'!U105+'  תקציב מינהל תפעול 2025פרקים '!U90+'תקציב מינהל חינוך 2025 פרקים'!U15+'תקציב אגף המיחשוב 2025  פרקים'!U27</f>
        <v>108887583</v>
      </c>
      <c r="T11" s="29">
        <f>'תקציב החברה לפיתוח 2025 פרקים'!V105+'  תקציב מינהל תפעול 2025פרקים '!V90+'תקציב מינהל חינוך 2025 פרקים'!V15+'תקציב אגף המיחשוב 2025  פרקים'!V27</f>
        <v>84843325</v>
      </c>
      <c r="U11" s="29">
        <f>'תקציב החברה לפיתוח 2025 פרקים'!W105+'  תקציב מינהל תפעול 2025פרקים '!W90+'תקציב מינהל חינוך 2025 פרקים'!W15+'תקציב אגף המיחשוב 2025  פרקים'!W27</f>
        <v>11338000</v>
      </c>
      <c r="V11" s="29">
        <f>'תקציב החברה לפיתוח 2025 פרקים'!X105+'  תקציב מינהל תפעול 2025פרקים '!X90+'תקציב מינהל חינוך 2025 פרקים'!X15+'תקציב אגף המיחשוב 2025  פרקים'!X27</f>
        <v>0</v>
      </c>
      <c r="W11" s="29">
        <f>'תקציב החברה לפיתוח 2025 פרקים'!Y105+'  תקציב מינהל תפעול 2025פרקים '!Y90+'תקציב מינהל חינוך 2025 פרקים'!Y15+'תקציב אגף המיחשוב 2025  פרקים'!Y27</f>
        <v>600000</v>
      </c>
      <c r="X11" s="29">
        <f>'תקציב החברה לפיתוח 2025 פרקים'!Z105+'  תקציב מינהל תפעול 2025פרקים '!Z90+'תקציב מינהל חינוך 2025 פרקים'!Z15+'תקציב אגף המיחשוב 2025  פרקים'!Z27</f>
        <v>0</v>
      </c>
      <c r="Y11" s="29">
        <f>'תקציב החברה לפיתוח 2025 פרקים'!AA105+'  תקציב מינהל תפעול 2025פרקים '!AA90+'תקציב מינהל חינוך 2025 פרקים'!AA15+'תקציב אגף המיחשוב 2025  פרקים'!AA27</f>
        <v>12106258</v>
      </c>
    </row>
    <row r="12" spans="1:26" s="31" customFormat="1" ht="27" customHeight="1">
      <c r="A12" s="2" t="s">
        <v>460</v>
      </c>
      <c r="B12" s="29">
        <f>'תקציב החברה לפיתוח 2025 פרקים'!D124+'  תקציב מינהל תפעול 2025פרקים '!D105+'תקציב אגף ספורט 2025 פרקים'!D15+'תקציב אגף תנוק 2025 פרקים'!D6</f>
        <v>795610866</v>
      </c>
      <c r="C12" s="29">
        <f>'תקציב החברה לפיתוח 2025 פרקים'!E124+'  תקציב מינהל תפעול 2025פרקים '!E105+'תקציב אגף ספורט 2025 פרקים'!E15+'תקציב אגף תנוק 2025 פרקים'!E6</f>
        <v>678779866</v>
      </c>
      <c r="D12" s="29">
        <f>'תקציב החברה לפיתוח 2025 פרקים'!F124+'  תקציב מינהל תפעול 2025פרקים '!F105+'תקציב אגף ספורט 2025 פרקים'!F15+'תקציב אגף תנוק 2025 פרקים'!F6</f>
        <v>116831000</v>
      </c>
      <c r="E12" s="29">
        <f>'תקציב החברה לפיתוח 2025 פרקים'!G124+'  תקציב מינהל תפעול 2025פרקים '!G105+'תקציב אגף ספורט 2025 פרקים'!G15+'תקציב אגף תנוק 2025 פרקים'!G6</f>
        <v>283426646</v>
      </c>
      <c r="F12" s="29">
        <f>'תקציב החברה לפיתוח 2025 פרקים'!H124+'  תקציב מינהל תפעול 2025פרקים '!H105+'תקציב אגף ספורט 2025 פרקים'!H15+'תקציב אגף תנוק 2025 פרקים'!H6</f>
        <v>258576741</v>
      </c>
      <c r="G12" s="29">
        <f>'תקציב החברה לפיתוח 2025 פרקים'!I124+'  תקציב מינהל תפעול 2025פרקים '!I105+'תקציב אגף ספורט 2025 פרקים'!I15+'תקציב אגף תנוק 2025 פרקים'!I6</f>
        <v>0</v>
      </c>
      <c r="H12" s="29">
        <f>'תקציב החברה לפיתוח 2025 פרקים'!J124+'  תקציב מינהל תפעול 2025פרקים '!J105+'תקציב אגף ספורט 2025 פרקים'!J15+'תקציב אגף תנוק 2025 פרקים'!J6</f>
        <v>12812356.65</v>
      </c>
      <c r="I12" s="29">
        <f>'תקציב החברה לפיתוח 2025 פרקים'!K124+'  תקציב מינהל תפעול 2025פרקים '!K105+'תקציב אגף ספורט 2025 פרקים'!K15+'תקציב אגף תנוק 2025 פרקים'!K6</f>
        <v>12812356.65</v>
      </c>
      <c r="J12" s="29">
        <f>'תקציב החברה לפיתוח 2025 פרקים'!L124+'  תקציב מינהל תפעול 2025פרקים '!L105+'תקציב אגף ספורט 2025 פרקים'!L15+'תקציב אגף תנוק 2025 פרקים'!L6</f>
        <v>271389097.64999998</v>
      </c>
      <c r="K12" s="29">
        <f>'תקציב החברה לפיתוח 2025 פרקים'!M124+'  תקציב מינהל תפעול 2025פרקים '!M105+'תקציב אגף ספורט 2025 פרקים'!M15+'תקציב אגף תנוק 2025 פרקים'!M6</f>
        <v>30927768.350000001</v>
      </c>
      <c r="L12" s="29">
        <f>'תקציב החברה לפיתוח 2025 פרקים'!N124+'  תקציב מינהל תפעול 2025פרקים '!N105+'תקציב אגף ספורט 2025 פרקים'!N15+'תקציב אגף תנוק 2025 פרקים'!N6</f>
        <v>50799000</v>
      </c>
      <c r="M12" s="29">
        <f>'תקציב החברה לפיתוח 2025 פרקים'!O124+'  תקציב מינהל תפעול 2025פרקים '!O105+'תקציב אגף ספורט 2025 פרקים'!O15+'תקציב אגף תנוק 2025 פרקים'!O6</f>
        <v>442495000</v>
      </c>
      <c r="N12" s="29">
        <f>'תקציב החברה לפיתוח 2025 פרקים'!P124+'  תקציב מינהל תפעול 2025פרקים '!P105+'תקציב אגף ספורט 2025 פרקים'!P15+'תקציב אגף תנוק 2025 פרקים'!P6</f>
        <v>12037548.35</v>
      </c>
      <c r="O12" s="29">
        <f>'תקציב החברה לפיתוח 2025 פרקים'!Q124+'  תקציב מינהל תפעול 2025פרקים '!Q105+'תקציב אגף ספורט 2025 פרקים'!Q15+'תקציב אגף תנוק 2025 פרקים'!Q6</f>
        <v>14597220</v>
      </c>
      <c r="P12" s="29">
        <f>'תקציב החברה לפיתוח 2025 פרקים'!R124+'  תקציב מינהל תפעול 2025פרקים '!R105+'תקציב אגף ספורט 2025 פרקים'!R15+'תקציב אגף תנוק 2025 פרקים'!R6</f>
        <v>5420000</v>
      </c>
      <c r="Q12" s="29">
        <f>'תקציב החברה לפיתוח 2025 פרקים'!S124+'  תקציב מינהל תפעול 2025פרקים '!S105+'תקציב אגף ספורט 2025 פרקים'!S15+'תקציב אגף תנוק 2025 פרקים'!S6</f>
        <v>20017220</v>
      </c>
      <c r="R12" s="29">
        <f>'תקציב החברה לפיתוח 2025 פרקים'!T124+'  תקציב מינהל תפעול 2025פרקים '!T105+'תקציב אגף ספורט 2025 פרקים'!T15+'תקציב אגף תנוק 2025 פרקים'!T6</f>
        <v>1127000</v>
      </c>
      <c r="S12" s="29">
        <f>'תקציב החברה לפיתוח 2025 פרקים'!U124+'  תקציב מינהל תפעול 2025פרקים '!U105+'תקציב אגף ספורט 2025 פרקים'!U15+'תקציב אגף תנוק 2025 פרקים'!U6</f>
        <v>49672000</v>
      </c>
      <c r="T12" s="29">
        <f>'תקציב החברה לפיתוח 2025 פרקים'!V124+'  תקציב מינהל תפעול 2025פרקים '!V105+'תקציב אגף ספורט 2025 פרקים'!V15+'תקציב אגף תנוק 2025 פרקים'!V6</f>
        <v>32103354</v>
      </c>
      <c r="U12" s="29">
        <f>'תקציב החברה לפיתוח 2025 פרקים'!W124+'  תקציב מינהל תפעול 2025פרקים '!W105+'תקציב אגף ספורט 2025 פרקים'!W15+'תקציב אגף תנוק 2025 פרקים'!W6</f>
        <v>4722000</v>
      </c>
      <c r="V12" s="29">
        <f>'תקציב החברה לפיתוח 2025 פרקים'!X124+'  תקציב מינהל תפעול 2025פרקים '!X105+'תקציב אגף ספורט 2025 פרקים'!X15+'תקציב אגף תנוק 2025 פרקים'!X6</f>
        <v>0</v>
      </c>
      <c r="W12" s="29">
        <f>'תקציב החברה לפיתוח 2025 פרקים'!Y124+'  תקציב מינהל תפעול 2025פרקים '!Y105+'תקציב אגף ספורט 2025 פרקים'!Y15+'תקציב אגף תנוק 2025 פרקים'!Y6</f>
        <v>0</v>
      </c>
      <c r="X12" s="29">
        <f>'תקציב החברה לפיתוח 2025 פרקים'!Z124+'  תקציב מינהל תפעול 2025פרקים '!Z105+'תקציב אגף ספורט 2025 פרקים'!Z15+'תקציב אגף תנוק 2025 פרקים'!Z6</f>
        <v>0</v>
      </c>
      <c r="Y12" s="29">
        <f>'תקציב החברה לפיתוח 2025 פרקים'!AA124+'  תקציב מינהל תפעול 2025פרקים '!AA105+'תקציב אגף ספורט 2025 פרקים'!AA15+'תקציב אגף תנוק 2025 פרקים'!AA6</f>
        <v>12846646</v>
      </c>
    </row>
    <row r="13" spans="1:26" s="31" customFormat="1" ht="25.15" customHeight="1">
      <c r="A13" s="297" t="s">
        <v>281</v>
      </c>
      <c r="B13" s="29">
        <f>'תקציב החברה לפיתוח 2025 פרקים'!D129+'תקציב מינהל כללי 2025 פרקים'!D21</f>
        <v>36900000</v>
      </c>
      <c r="C13" s="29">
        <f>'תקציב החברה לפיתוח 2025 פרקים'!E129+'תקציב מינהל כללי 2025 פרקים'!E21</f>
        <v>26400000</v>
      </c>
      <c r="D13" s="29">
        <f>'תקציב החברה לפיתוח 2025 פרקים'!F129+'תקציב מינהל כללי 2025 פרקים'!F21</f>
        <v>10500000</v>
      </c>
      <c r="E13" s="29">
        <f>'תקציב החברה לפיתוח 2025 פרקים'!G129+'תקציב מינהל כללי 2025 פרקים'!G21</f>
        <v>9700000</v>
      </c>
      <c r="F13" s="29">
        <f>'תקציב החברה לפיתוח 2025 פרקים'!H129+'תקציב מינהל כללי 2025 פרקים'!H21</f>
        <v>9103743</v>
      </c>
      <c r="G13" s="29">
        <f>'תקציב החברה לפיתוח 2025 פרקים'!I129+'תקציב מינהל כללי 2025 פרקים'!I21</f>
        <v>0</v>
      </c>
      <c r="H13" s="29">
        <f>'תקציב החברה לפיתוח 2025 פרקים'!J129+'תקציב מינהל כללי 2025 פרקים'!J21</f>
        <v>387993</v>
      </c>
      <c r="I13" s="29">
        <f>'תקציב החברה לפיתוח 2025 פרקים'!K129+'תקציב מינהל כללי 2025 פרקים'!K21</f>
        <v>387993</v>
      </c>
      <c r="J13" s="29">
        <f>'תקציב החברה לפיתוח 2025 פרקים'!L129+'תקציב מינהל כללי 2025 פרקים'!L21</f>
        <v>9491736</v>
      </c>
      <c r="K13" s="29">
        <f>'תקציב החברה לפיתוח 2025 פרקים'!M129+'תקציב מינהל כללי 2025 פרקים'!M21</f>
        <v>7908264</v>
      </c>
      <c r="L13" s="29">
        <f>'תקציב החברה לפיתוח 2025 פרקים'!N129+'תקציב מינהל כללי 2025 פרקים'!N21</f>
        <v>6600000</v>
      </c>
      <c r="M13" s="29">
        <f>'תקציב החברה לפיתוח 2025 פרקים'!O129+'תקציב מינהל כללי 2025 פרקים'!O21</f>
        <v>12900000</v>
      </c>
      <c r="N13" s="29">
        <f>'תקציב החברה לפיתוח 2025 פרקים'!P129+'תקציב מינהל כללי 2025 פרקים'!P21</f>
        <v>208264</v>
      </c>
      <c r="O13" s="29">
        <f>'תקציב החברה לפיתוח 2025 פרקים'!Q129+'תקציב מינהל כללי 2025 פרקים'!Q21</f>
        <v>7700000</v>
      </c>
      <c r="P13" s="29">
        <f>'תקציב החברה לפיתוח 2025 פרקים'!R129+'תקציב מינהל כללי 2025 פרקים'!R21</f>
        <v>0</v>
      </c>
      <c r="Q13" s="29">
        <f>'תקציב החברה לפיתוח 2025 פרקים'!S129+'תקציב מינהל כללי 2025 פרקים'!S21</f>
        <v>7700000</v>
      </c>
      <c r="R13" s="29">
        <f>'תקציב החברה לפיתוח 2025 פרקים'!T129+'תקציב מינהל כללי 2025 פרקים'!T21</f>
        <v>0</v>
      </c>
      <c r="S13" s="29">
        <f>'תקציב החברה לפיתוח 2025 פרקים'!U129+'תקציב מינהל כללי 2025 פרקים'!U21</f>
        <v>6600000</v>
      </c>
      <c r="T13" s="29">
        <f>'תקציב החברה לפיתוח 2025 פרקים'!V129+'תקציב מינהל כללי 2025 פרקים'!V21</f>
        <v>6600000</v>
      </c>
      <c r="U13" s="29">
        <f>'תקציב החברה לפיתוח 2025 פרקים'!W129+'תקציב מינהל כללי 2025 פרקים'!W21</f>
        <v>0</v>
      </c>
      <c r="V13" s="29">
        <f>'תקציב החברה לפיתוח 2025 פרקים'!X129+'תקציב מינהל כללי 2025 פרקים'!X21</f>
        <v>0</v>
      </c>
      <c r="W13" s="29">
        <f>'תקציב החברה לפיתוח 2025 פרקים'!Y129+'תקציב מינהל כללי 2025 פרקים'!Y21</f>
        <v>0</v>
      </c>
      <c r="X13" s="29">
        <f>'תקציב החברה לפיתוח 2025 פרקים'!Z129+'תקציב מינהל כללי 2025 פרקים'!Z21</f>
        <v>0</v>
      </c>
      <c r="Y13" s="29">
        <f>'תקציב החברה לפיתוח 2025 פרקים'!AA129+'תקציב מינהל כללי 2025 פרקים'!AA21</f>
        <v>0</v>
      </c>
    </row>
    <row r="14" spans="1:26" s="31" customFormat="1" ht="27" customHeight="1">
      <c r="A14" s="2" t="s">
        <v>278</v>
      </c>
      <c r="B14" s="29">
        <f>'תקציב החברה לפיתוח 2025 פרקים'!D137+'  תקציב מינהל תפעול 2025פרקים '!D113</f>
        <v>21200000</v>
      </c>
      <c r="C14" s="29">
        <f>'תקציב החברה לפיתוח 2025 פרקים'!E137+'  תקציב מינהל תפעול 2025פרקים '!E113</f>
        <v>20700000</v>
      </c>
      <c r="D14" s="29">
        <f>'תקציב החברה לפיתוח 2025 פרקים'!F137+'  תקציב מינהל תפעול 2025פרקים '!F113</f>
        <v>500000</v>
      </c>
      <c r="E14" s="29">
        <f>'תקציב החברה לפיתוח 2025 פרקים'!G137+'  תקציב מינהל תפעול 2025פרקים '!G113</f>
        <v>9850000</v>
      </c>
      <c r="F14" s="29">
        <f>'תקציב החברה לפיתוח 2025 פרקים'!H137+'  תקציב מינהל תפעול 2025פרקים '!H113</f>
        <v>8580185</v>
      </c>
      <c r="G14" s="29">
        <f>'תקציב החברה לפיתוח 2025 פרקים'!I137+'  תקציב מינהל תפעול 2025פרקים '!I113</f>
        <v>0</v>
      </c>
      <c r="H14" s="29">
        <f>'תקציב החברה לפיתוח 2025 פרקים'!J137+'  תקציב מינהל תפעול 2025פרקים '!J113</f>
        <v>992791</v>
      </c>
      <c r="I14" s="29">
        <f>'תקציב החברה לפיתוח 2025 פרקים'!K137+'  תקציב מינהל תפעול 2025פרקים '!K113</f>
        <v>992791</v>
      </c>
      <c r="J14" s="29">
        <f>'תקציב החברה לפיתוח 2025 פרקים'!L137+'  תקציב מינהל תפעול 2025פרקים '!L113</f>
        <v>9572976</v>
      </c>
      <c r="K14" s="29">
        <f>'תקציב החברה לפיתוח 2025 פרקים'!M137+'  תקציב מינהל תפעול 2025פרקים '!M113</f>
        <v>877024</v>
      </c>
      <c r="L14" s="29">
        <f>'תקציב החברה לפיתוח 2025 פרקים'!N137+'  תקציב מינהל תפעול 2025פרקים '!N113</f>
        <v>950000</v>
      </c>
      <c r="M14" s="29">
        <f>'תקציב החברה לפיתוח 2025 פרקים'!O137+'  תקציב מינהל תפעול 2025פרקים '!O113</f>
        <v>9800000</v>
      </c>
      <c r="N14" s="29">
        <f>'תקציב החברה לפיתוח 2025 פרקים'!P137+'  תקציב מינהל תפעול 2025פרקים '!P113</f>
        <v>277024</v>
      </c>
      <c r="O14" s="29">
        <f>'תקציב החברה לפיתוח 2025 פרקים'!Q137+'  תקציב מינהל תפעול 2025פרקים '!Q113</f>
        <v>200000</v>
      </c>
      <c r="P14" s="29">
        <f>'תקציב החברה לפיתוח 2025 פרקים'!R137+'  תקציב מינהל תפעול 2025פרקים '!R113</f>
        <v>400000</v>
      </c>
      <c r="Q14" s="29">
        <f>'תקציב החברה לפיתוח 2025 פרקים'!S137+'  תקציב מינהל תפעול 2025פרקים '!S113</f>
        <v>600000</v>
      </c>
      <c r="R14" s="29">
        <f>'תקציב החברה לפיתוח 2025 פרקים'!T137+'  תקציב מינהל תפעול 2025פרקים '!T113</f>
        <v>0</v>
      </c>
      <c r="S14" s="29">
        <f>'תקציב החברה לפיתוח 2025 פרקים'!U137+'  תקציב מינהל תפעול 2025פרקים '!U113</f>
        <v>950000</v>
      </c>
      <c r="T14" s="29">
        <f>'תקציב החברה לפיתוח 2025 פרקים'!V137+'  תקציב מינהל תפעול 2025פרקים '!V113</f>
        <v>450000</v>
      </c>
      <c r="U14" s="29">
        <f>'תקציב החברה לפיתוח 2025 פרקים'!W137+'  תקציב מינהל תפעול 2025פרקים '!W113</f>
        <v>500000</v>
      </c>
      <c r="V14" s="29">
        <f>'תקציב החברה לפיתוח 2025 פרקים'!X137+'  תקציב מינהל תפעול 2025פרקים '!X113</f>
        <v>0</v>
      </c>
      <c r="W14" s="29">
        <f>'תקציב החברה לפיתוח 2025 פרקים'!Y137+'  תקציב מינהל תפעול 2025פרקים '!Y113</f>
        <v>0</v>
      </c>
      <c r="X14" s="29">
        <f>'תקציב החברה לפיתוח 2025 פרקים'!Z137+'  תקציב מינהל תפעול 2025פרקים '!Z113</f>
        <v>0</v>
      </c>
      <c r="Y14" s="29">
        <f>'תקציב החברה לפיתוח 2025 פרקים'!AA137+'  תקציב מינהל תפעול 2025פרקים '!AA113</f>
        <v>0</v>
      </c>
    </row>
    <row r="15" spans="1:26" s="31" customFormat="1" ht="30">
      <c r="A15" s="2" t="s">
        <v>279</v>
      </c>
      <c r="B15" s="29">
        <f>'תקציב הנדסה 2025פרקים '!D59+'תקציב החברה לפיתוח 2025 פרקים'!D141+'  תקציב מינהל תפעול 2025פרקים '!D117+'תקציב איכות הסביבה 2025 פרקים'!D14</f>
        <v>88907500</v>
      </c>
      <c r="C15" s="29">
        <f>'תקציב הנדסה 2025פרקים '!E59+'תקציב החברה לפיתוח 2025 פרקים'!E141+'  תקציב מינהל תפעול 2025פרקים '!E117+'תקציב איכות הסביבה 2025 פרקים'!E14</f>
        <v>23257500</v>
      </c>
      <c r="D15" s="29">
        <f>'תקציב הנדסה 2025פרקים '!F59+'תקציב החברה לפיתוח 2025 פרקים'!F141+'  תקציב מינהל תפעול 2025פרקים '!F117+'תקציב איכות הסביבה 2025 פרקים'!F14</f>
        <v>65650000</v>
      </c>
      <c r="E15" s="29">
        <f>'תקציב הנדסה 2025פרקים '!G59+'תקציב החברה לפיתוח 2025 פרקים'!G141+'  תקציב מינהל תפעול 2025פרקים '!G117+'תקציב איכות הסביבה 2025 פרקים'!G14</f>
        <v>17025500</v>
      </c>
      <c r="F15" s="29">
        <f>'תקציב הנדסה 2025פרקים '!H59+'תקציב החברה לפיתוח 2025 פרקים'!H141+'  תקציב מינהל תפעול 2025פרקים '!H117+'תקציב איכות הסביבה 2025 פרקים'!H14</f>
        <v>13061445.34</v>
      </c>
      <c r="G15" s="29">
        <f>'תקציב הנדסה 2025פרקים '!I59+'תקציב החברה לפיתוח 2025 פרקים'!I141+'  תקציב מינהל תפעול 2025פרקים '!I117+'תקציב איכות הסביבה 2025 פרקים'!I14</f>
        <v>0</v>
      </c>
      <c r="H15" s="29">
        <f>'תקציב הנדסה 2025פרקים '!J59+'תקציב החברה לפיתוח 2025 פרקים'!J141+'  תקציב מינהל תפעול 2025פרקים '!J117+'תקציב איכות הסביבה 2025 פרקים'!J14</f>
        <v>1713731.65</v>
      </c>
      <c r="I15" s="29">
        <f>'תקציב הנדסה 2025פרקים '!K59+'תקציב החברה לפיתוח 2025 פרקים'!K141+'  תקציב מינהל תפעול 2025פרקים '!K117+'תקציב איכות הסביבה 2025 פרקים'!K14</f>
        <v>1713731.65</v>
      </c>
      <c r="J15" s="29">
        <f>'תקציב הנדסה 2025פרקים '!L59+'תקציב החברה לפיתוח 2025 פרקים'!L141+'  תקציב מינהל תפעול 2025פרקים '!L117+'תקציב איכות הסביבה 2025 פרקים'!L14</f>
        <v>14775176.99</v>
      </c>
      <c r="K15" s="29">
        <f>'תקציב הנדסה 2025פרקים '!M59+'תקציב החברה לפיתוח 2025 פרקים'!M141+'  תקציב מינהל תפעול 2025פרקים '!M117+'תקציב איכות הסביבה 2025 פרקים'!M14</f>
        <v>4655323.01</v>
      </c>
      <c r="L15" s="29">
        <f>'תקציב הנדסה 2025פרקים '!N59+'תקציב החברה לפיתוח 2025 פרקים'!N141+'  תקציב מינהל תפעול 2025פרקים '!N117+'תקציב איכות הסביבה 2025 פרקים'!N14</f>
        <v>2950000</v>
      </c>
      <c r="M15" s="29">
        <f>'תקציב הנדסה 2025פרקים '!O59+'תקציב החברה לפיתוח 2025 פרקים'!O141+'  תקציב מינהל תפעול 2025פרקים '!O117+'תקציב איכות הסביבה 2025 פרקים'!O14</f>
        <v>66527000</v>
      </c>
      <c r="N15" s="29">
        <f>'תקציב הנדסה 2025פרקים '!P59+'תקציב החברה לפיתוח 2025 פרקים'!P141+'  תקציב מינהל תפעול 2025פרקים '!P117+'תקציב איכות הסביבה 2025 פרקים'!P14</f>
        <v>2250323.0099999998</v>
      </c>
      <c r="O15" s="29">
        <f>'תקציב הנדסה 2025פרקים '!Q59+'תקציב החברה לפיתוח 2025 פרקים'!Q141+'  תקציב מינהל תפעול 2025פרקים '!Q117+'תקציב איכות הסביבה 2025 פרקים'!Q14</f>
        <v>605000</v>
      </c>
      <c r="P15" s="29">
        <f>'תקציב הנדסה 2025פרקים '!R59+'תקציב החברה לפיתוח 2025 פרקים'!R141+'  תקציב מינהל תפעול 2025פרקים '!R117+'תקציב איכות הסביבה 2025 פרקים'!R14</f>
        <v>2000000</v>
      </c>
      <c r="Q15" s="29">
        <f>'תקציב הנדסה 2025פרקים '!S59+'תקציב החברה לפיתוח 2025 פרקים'!S141+'  תקציב מינהל תפעול 2025פרקים '!S117+'תקציב איכות הסביבה 2025 פרקים'!S14</f>
        <v>2605000</v>
      </c>
      <c r="R15" s="29">
        <f>'תקציב הנדסה 2025פרקים '!T59+'תקציב החברה לפיתוח 2025 פרקים'!T141+'  תקציב מינהל תפעול 2025פרקים '!T117+'תקציב איכות הסביבה 2025 פרקים'!T14</f>
        <v>200000</v>
      </c>
      <c r="S15" s="29">
        <f>'תקציב הנדסה 2025פרקים '!U59+'תקציב החברה לפיתוח 2025 פרקים'!U141+'  תקציב מינהל תפעול 2025פרקים '!U117+'תקציב איכות הסביבה 2025 פרקים'!U14</f>
        <v>2750000</v>
      </c>
      <c r="T15" s="29">
        <f>'תקציב הנדסה 2025פרקים '!V59+'תקציב החברה לפיתוח 2025 פרקים'!V141+'  תקציב מינהל תפעול 2025פרקים '!V117+'תקציב איכות הסביבה 2025 פרקים'!V14</f>
        <v>1650000</v>
      </c>
      <c r="U15" s="29">
        <f>'תקציב הנדסה 2025פרקים '!W59+'תקציב החברה לפיתוח 2025 פרקים'!W141+'  תקציב מינהל תפעול 2025פרקים '!W117+'תקציב איכות הסביבה 2025 פרקים'!W14</f>
        <v>1050000</v>
      </c>
      <c r="V15" s="29">
        <f>'תקציב הנדסה 2025פרקים '!X59+'תקציב החברה לפיתוח 2025 פרקים'!X141+'  תקציב מינהל תפעול 2025פרקים '!X117+'תקציב איכות הסביבה 2025 פרקים'!X14</f>
        <v>0</v>
      </c>
      <c r="W15" s="29">
        <f>'תקציב הנדסה 2025פרקים '!Y59+'תקציב החברה לפיתוח 2025 פרקים'!Y141+'  תקציב מינהל תפעול 2025פרקים '!Y117+'תקציב איכות הסביבה 2025 פרקים'!Y14</f>
        <v>0</v>
      </c>
      <c r="X15" s="29">
        <f>'תקציב הנדסה 2025פרקים '!Z59+'תקציב החברה לפיתוח 2025 פרקים'!Z141+'  תקציב מינהל תפעול 2025פרקים '!Z117+'תקציב איכות הסביבה 2025 פרקים'!Z14</f>
        <v>0</v>
      </c>
      <c r="Y15" s="29">
        <f>'תקציב הנדסה 2025פרקים '!AA59+'תקציב החברה לפיתוח 2025 פרקים'!AA141+'  תקציב מינהל תפעול 2025פרקים '!AA117+'תקציב איכות הסביבה 2025 פרקים'!AA14</f>
        <v>50000</v>
      </c>
    </row>
    <row r="16" spans="1:26" s="31" customFormat="1" ht="27" customHeight="1">
      <c r="A16" s="2" t="s">
        <v>284</v>
      </c>
      <c r="B16" s="29">
        <f>'תקציב החברה לפיתוח 2025 פרקים'!D132+'  תקציב מינהל תפעול 2025פרקים '!D110+'  תקציב מינהל תפעול 2025פרקים '!D132</f>
        <v>61474320</v>
      </c>
      <c r="C16" s="29">
        <f>'תקציב החברה לפיתוח 2025 פרקים'!E132+'  תקציב מינהל תפעול 2025פרקים '!E110+'  תקציב מינהל תפעול 2025פרקים '!E132</f>
        <v>56500000</v>
      </c>
      <c r="D16" s="29">
        <f>'תקציב החברה לפיתוח 2025 פרקים'!F132+'  תקציב מינהל תפעול 2025פרקים '!F110+'  תקציב מינהל תפעול 2025פרקים '!F132</f>
        <v>4974320</v>
      </c>
      <c r="E16" s="29">
        <f>'תקציב החברה לפיתוח 2025 פרקים'!G132+'  תקציב מינהל תפעול 2025פרקים '!G110+'  תקציב מינהל תפעול 2025פרקים '!G132</f>
        <v>48004320</v>
      </c>
      <c r="F16" s="29">
        <f>'תקציב החברה לפיתוח 2025 פרקים'!H132+'  תקציב מינהל תפעול 2025פרקים '!H110+'  תקציב מינהל תפעול 2025פרקים '!H132</f>
        <v>39437215.590000004</v>
      </c>
      <c r="G16" s="29">
        <f>'תקציב החברה לפיתוח 2025 פרקים'!I132+'  תקציב מינהל תפעול 2025פרקים '!I110+'  תקציב מינהל תפעול 2025פרקים '!I132</f>
        <v>0</v>
      </c>
      <c r="H16" s="29">
        <f>'תקציב החברה לפיתוח 2025 פרקים'!J132+'  תקציב מינהל תפעול 2025פרקים '!J110+'  תקציב מינהל תפעול 2025פרקים '!J132</f>
        <v>7955002.1500000004</v>
      </c>
      <c r="I16" s="29">
        <f>'תקציב החברה לפיתוח 2025 פרקים'!K132+'  תקציב מינהל תפעול 2025פרקים '!K110+'  תקציב מינהל תפעול 2025פרקים '!K132</f>
        <v>7955002.1500000004</v>
      </c>
      <c r="J16" s="29">
        <f>'תקציב החברה לפיתוח 2025 פרקים'!L132+'  תקציב מינהל תפעול 2025פרקים '!L110+'  תקציב מינהל תפעול 2025פרקים '!L132</f>
        <v>47392217.74000001</v>
      </c>
      <c r="K16" s="29">
        <f>'תקציב החברה לפיתוח 2025 פרקים'!M132+'  תקציב מינהל תפעול 2025פרקים '!M110+'  תקציב מינהל תפעול 2025פרקים '!M132</f>
        <v>1602102.2599999937</v>
      </c>
      <c r="L16" s="29">
        <f>'תקציב החברה לפיתוח 2025 פרקים'!N132+'  תקציב מינהל תפעול 2025פרקים '!N110+'  תקציב מינהל תפעול 2025פרקים '!N132</f>
        <v>3200000</v>
      </c>
      <c r="M16" s="29">
        <f>'תקציב החברה לפיתוח 2025 פרקים'!O132+'  תקציב מינהל תפעול 2025פרקים '!O110+'  תקציב מינהל תפעול 2025פרקים '!O132</f>
        <v>9280000</v>
      </c>
      <c r="N16" s="29">
        <f>'תקציב החברה לפיתוח 2025 פרקים'!P132+'  תקציב מינהל תפעול 2025פרקים '!P110+'  תקציב מינהל תפעול 2025פרקים '!P132</f>
        <v>612102.25999999372</v>
      </c>
      <c r="O16" s="29">
        <f>'תקציב החברה לפיתוח 2025 פרקים'!Q132+'  תקציב מינהל תפעול 2025פרקים '!Q110+'  תקציב מינהל תפעול 2025פרקים '!Q132</f>
        <v>0</v>
      </c>
      <c r="P16" s="29">
        <f>'תקציב החברה לפיתוח 2025 פרקים'!R132+'  תקציב מינהל תפעול 2025פרקים '!R110+'  תקציב מינהל תפעול 2025פרקים '!R132</f>
        <v>990000</v>
      </c>
      <c r="Q16" s="29">
        <f>'תקציב החברה לפיתוח 2025 פרקים'!S132+'  תקציב מינהל תפעול 2025פרקים '!S110+'  תקציב מינהל תפעול 2025פרקים '!S132</f>
        <v>990000</v>
      </c>
      <c r="R16" s="29">
        <f>'תקציב החברה לפיתוח 2025 פרקים'!T132+'  תקציב מינהל תפעול 2025פרקים '!T110+'  תקציב מינהל תפעול 2025פרקים '!T132</f>
        <v>0</v>
      </c>
      <c r="S16" s="29">
        <f>'תקציב החברה לפיתוח 2025 פרקים'!U132+'  תקציב מינהל תפעול 2025פרקים '!U110+'  תקציב מינהל תפעול 2025פרקים '!U132</f>
        <v>3200000</v>
      </c>
      <c r="T16" s="29">
        <f>'תקציב החברה לפיתוח 2025 פרקים'!V132+'  תקציב מינהל תפעול 2025פרקים '!V110+'  תקציב מינהל תפעול 2025פרקים '!V132</f>
        <v>200000</v>
      </c>
      <c r="U16" s="29">
        <f>'תקציב החברה לפיתוח 2025 פרקים'!W132+'  תקציב מינהל תפעול 2025פרקים '!W110+'  תקציב מינהל תפעול 2025פרקים '!W132</f>
        <v>3000000</v>
      </c>
      <c r="V16" s="29">
        <f>'תקציב החברה לפיתוח 2025 פרקים'!X132+'  תקציב מינהל תפעול 2025פרקים '!X110+'  תקציב מינהל תפעול 2025פרקים '!X132</f>
        <v>0</v>
      </c>
      <c r="W16" s="29">
        <f>'תקציב החברה לפיתוח 2025 פרקים'!Y132+'  תקציב מינהל תפעול 2025פרקים '!Y110+'  תקציב מינהל תפעול 2025פרקים '!Y132</f>
        <v>0</v>
      </c>
      <c r="X16" s="29">
        <f>'תקציב החברה לפיתוח 2025 פרקים'!Z132+'  תקציב מינהל תפעול 2025פרקים '!Z110+'  תקציב מינהל תפעול 2025פרקים '!Z132</f>
        <v>0</v>
      </c>
      <c r="Y16" s="29">
        <f>'תקציב החברה לפיתוח 2025 פרקים'!AA132+'  תקציב מינהל תפעול 2025פרקים '!AA110+'  תקציב מינהל תפעול 2025פרקים '!AA132</f>
        <v>0</v>
      </c>
    </row>
    <row r="17" spans="1:27" s="31" customFormat="1" ht="27" customHeight="1">
      <c r="A17" s="2" t="s">
        <v>290</v>
      </c>
      <c r="B17" s="29">
        <f>'  תקציב מינהל תפעול 2025פרקים '!D61</f>
        <v>140000000</v>
      </c>
      <c r="C17" s="29">
        <f>'  תקציב מינהל תפעול 2025פרקים '!E61</f>
        <v>130550000</v>
      </c>
      <c r="D17" s="29">
        <f>'  תקציב מינהל תפעול 2025פרקים '!F61</f>
        <v>9450000</v>
      </c>
      <c r="E17" s="29">
        <f>'  תקציב מינהל תפעול 2025פרקים '!G61</f>
        <v>119200000</v>
      </c>
      <c r="F17" s="29">
        <f>'  תקציב מינהל תפעול 2025פרקים '!H61</f>
        <v>112423048</v>
      </c>
      <c r="G17" s="29">
        <f>'  תקציב מינהל תפעול 2025פרקים '!I61</f>
        <v>0</v>
      </c>
      <c r="H17" s="29">
        <f>'  תקציב מינהל תפעול 2025פרקים '!J61</f>
        <v>178000</v>
      </c>
      <c r="I17" s="29">
        <f>'  תקציב מינהל תפעול 2025פרקים '!K61</f>
        <v>178000</v>
      </c>
      <c r="J17" s="29">
        <f>'  תקציב מינהל תפעול 2025פרקים '!L61</f>
        <v>112601048</v>
      </c>
      <c r="K17" s="29">
        <f>'  תקציב מינהל תפעול 2025פרקים '!M61</f>
        <v>6598952</v>
      </c>
      <c r="L17" s="29">
        <f>'  תקציב מינהל תפעול 2025פרקים '!N61</f>
        <v>15000000</v>
      </c>
      <c r="M17" s="29">
        <f>'  תקציב מינהל תפעול 2025פרקים '!O61</f>
        <v>5800000</v>
      </c>
      <c r="N17" s="29">
        <f>'  תקציב מינהל תפעול 2025פרקים '!P61</f>
        <v>6598952</v>
      </c>
      <c r="O17" s="29">
        <f>'  תקציב מינהל תפעול 2025פרקים '!Q61</f>
        <v>0</v>
      </c>
      <c r="P17" s="29">
        <f>'  תקציב מינהל תפעול 2025פרקים '!R61</f>
        <v>0</v>
      </c>
      <c r="Q17" s="29">
        <f>'  תקציב מינהל תפעול 2025פרקים '!S61</f>
        <v>0</v>
      </c>
      <c r="R17" s="29">
        <f>'  תקציב מינהל תפעול 2025פרקים '!T61</f>
        <v>0</v>
      </c>
      <c r="S17" s="29">
        <f>'  תקציב מינהל תפעול 2025פרקים '!U61</f>
        <v>15000000</v>
      </c>
      <c r="T17" s="29">
        <f>'  תקציב מינהל תפעול 2025פרקים '!V61</f>
        <v>0</v>
      </c>
      <c r="U17" s="29">
        <f>'  תקציב מינהל תפעול 2025פרקים '!W61</f>
        <v>0</v>
      </c>
      <c r="V17" s="29">
        <f>'  תקציב מינהל תפעול 2025פרקים '!X61</f>
        <v>0</v>
      </c>
      <c r="W17" s="29">
        <f>'  תקציב מינהל תפעול 2025פרקים '!Y61</f>
        <v>0</v>
      </c>
      <c r="X17" s="29">
        <f>'  תקציב מינהל תפעול 2025פרקים '!Z61</f>
        <v>0</v>
      </c>
      <c r="Y17" s="29">
        <f>'  תקציב מינהל תפעול 2025פרקים '!AA61</f>
        <v>15000000</v>
      </c>
    </row>
    <row r="18" spans="1:27" s="31" customFormat="1" ht="25.15" customHeight="1">
      <c r="A18" s="297" t="s">
        <v>282</v>
      </c>
      <c r="B18" s="29">
        <f>'תקציב החברה לפיתוח 2025 פרקים'!D145+'  תקציב מינהל תפעול 2025פרקים '!D125+'תקציב אגף תנוק 2025 פרקים'!D5+'תקציב אגף נכסים וביטוח 2025 פרק'!D15</f>
        <v>190526190</v>
      </c>
      <c r="C18" s="29">
        <f>'תקציב החברה לפיתוח 2025 פרקים'!E145+'  תקציב מינהל תפעול 2025פרקים '!E125+'תקציב אגף תנוק 2025 פרקים'!E5+'תקציב אגף נכסים וביטוח 2025 פרק'!E15</f>
        <v>145975365</v>
      </c>
      <c r="D18" s="29">
        <f>'תקציב החברה לפיתוח 2025 פרקים'!F145+'  תקציב מינהל תפעול 2025פרקים '!F125+'תקציב אגף תנוק 2025 פרקים'!F5+'תקציב אגף נכסים וביטוח 2025 פרק'!F15</f>
        <v>44550825</v>
      </c>
      <c r="E18" s="29">
        <f>'תקציב החברה לפיתוח 2025 פרקים'!G145+'  תקציב מינהל תפעול 2025פרקים '!G125+'תקציב אגף תנוק 2025 פרקים'!G5+'תקציב אגף נכסים וביטוח 2025 פרק'!G15</f>
        <v>80789690</v>
      </c>
      <c r="F18" s="29">
        <f>'תקציב החברה לפיתוח 2025 פרקים'!H145+'  תקציב מינהל תפעול 2025פרקים '!H125+'תקציב אגף תנוק 2025 פרקים'!H5+'תקציב אגף נכסים וביטוח 2025 פרק'!H15</f>
        <v>62822020</v>
      </c>
      <c r="G18" s="29">
        <f>'תקציב החברה לפיתוח 2025 פרקים'!I145+'  תקציב מינהל תפעול 2025פרקים '!I125+'תקציב אגף תנוק 2025 פרקים'!I5+'תקציב אגף נכסים וביטוח 2025 פרק'!I15</f>
        <v>0</v>
      </c>
      <c r="H18" s="29">
        <f>'תקציב החברה לפיתוח 2025 פרקים'!J145+'  תקציב מינהל תפעול 2025פרקים '!J125+'תקציב אגף תנוק 2025 פרקים'!J5+'תקציב אגף נכסים וביטוח 2025 פרק'!J15</f>
        <v>2810481</v>
      </c>
      <c r="I18" s="29">
        <f>'תקציב החברה לפיתוח 2025 פרקים'!K145+'  תקציב מינהל תפעול 2025פרקים '!K125+'תקציב אגף תנוק 2025 פרקים'!K5+'תקציב אגף נכסים וביטוח 2025 פרק'!K15</f>
        <v>2810481</v>
      </c>
      <c r="J18" s="29">
        <f>'תקציב החברה לפיתוח 2025 פרקים'!L145+'  תקציב מינהל תפעול 2025פרקים '!L125+'תקציב אגף תנוק 2025 פרקים'!L5+'תקציב אגף נכסים וביטוח 2025 פרק'!L15</f>
        <v>65632501</v>
      </c>
      <c r="K18" s="29">
        <f>'תקציב החברה לפיתוח 2025 פרקים'!M145+'  תקציב מינהל תפעול 2025פרקים '!M125+'תקציב אגף תנוק 2025 פרקים'!M5+'תקציב אגף נכסים וביטוח 2025 פרק'!M15</f>
        <v>16694689</v>
      </c>
      <c r="L18" s="29">
        <f>'תקציב החברה לפיתוח 2025 פרקים'!N145+'  תקציב מינהל תפעול 2025פרקים '!N125+'תקציב אגף תנוק 2025 פרקים'!N5+'תקציב אגף נכסים וביטוח 2025 פרק'!N15</f>
        <v>25579000</v>
      </c>
      <c r="M18" s="29">
        <f>'תקציב החברה לפיתוח 2025 פרקים'!O145+'  תקציב מינהל תפעול 2025פרקים '!O125+'תקציב אגף תנוק 2025 פרקים'!O5+'תקציב אגף נכסים וביטוח 2025 פרק'!O15</f>
        <v>82620000</v>
      </c>
      <c r="N18" s="29">
        <f>'תקציב החברה לפיתוח 2025 פרקים'!P145+'  תקציב מינהל תפעול 2025פרקים '!P125+'תקציב אגף תנוק 2025 פרקים'!P5+'תקציב אגף נכסים וביטוח 2025 פרק'!P15</f>
        <v>15157189</v>
      </c>
      <c r="O18" s="29">
        <f>'תקציב החברה לפיתוח 2025 פרקים'!Q145+'  תקציב מינהל תפעול 2025פרקים '!Q125+'תקציב אגף תנוק 2025 פרקים'!Q5+'תקציב אגף נכסים וביטוח 2025 פרק'!Q15</f>
        <v>1537500</v>
      </c>
      <c r="P18" s="29">
        <f>'תקציב החברה לפיתוח 2025 פרקים'!R145+'  תקציב מינהל תפעול 2025פרקים '!R125+'תקציב אגף תנוק 2025 פרקים'!R5+'תקציב אגף נכסים וביטוח 2025 פרק'!R15</f>
        <v>0</v>
      </c>
      <c r="Q18" s="29">
        <f>'תקציב החברה לפיתוח 2025 פרקים'!S145+'  תקציב מינהל תפעול 2025פרקים '!S125+'תקציב אגף תנוק 2025 פרקים'!S5+'תקציב אגף נכסים וביטוח 2025 פרק'!S15</f>
        <v>1537500</v>
      </c>
      <c r="R18" s="29">
        <f>'תקציב החברה לפיתוח 2025 פרקים'!T145+'  תקציב מינהל תפעול 2025פרקים '!T125+'תקציב אגף תנוק 2025 פרקים'!T5+'תקציב אגף נכסים וביטוח 2025 פרק'!T15</f>
        <v>0</v>
      </c>
      <c r="S18" s="29">
        <f>'תקציב החברה לפיתוח 2025 פרקים'!U145+'  תקציב מינהל תפעול 2025פרקים '!U125+'תקציב אגף תנוק 2025 פרקים'!U5+'תקציב אגף נכסים וביטוח 2025 פרק'!U15</f>
        <v>25579000</v>
      </c>
      <c r="T18" s="29">
        <f>'תקציב החברה לפיתוח 2025 פרקים'!V145+'  תקציב מינהל תפעול 2025פרקים '!V125+'תקציב אגף תנוק 2025 פרקים'!V5+'תקציב אגף נכסים וביטוח 2025 פרק'!V15</f>
        <v>20455000</v>
      </c>
      <c r="U18" s="29">
        <f>'תקציב החברה לפיתוח 2025 פרקים'!W145+'  תקציב מינהל תפעול 2025פרקים '!W125+'תקציב אגף תנוק 2025 פרקים'!W5+'תקציב אגף נכסים וביטוח 2025 פרק'!W15</f>
        <v>5124000</v>
      </c>
      <c r="V18" s="29">
        <f>'תקציב החברה לפיתוח 2025 פרקים'!X145+'  תקציב מינהל תפעול 2025פרקים '!X125+'תקציב אגף תנוק 2025 פרקים'!X5+'תקציב אגף נכסים וביטוח 2025 פרק'!X15</f>
        <v>0</v>
      </c>
      <c r="W18" s="29">
        <f>'תקציב החברה לפיתוח 2025 פרקים'!Y145+'  תקציב מינהל תפעול 2025פרקים '!Y125+'תקציב אגף תנוק 2025 פרקים'!Y5+'תקציב אגף נכסים וביטוח 2025 פרק'!Y15</f>
        <v>0</v>
      </c>
      <c r="X18" s="29">
        <f>'תקציב החברה לפיתוח 2025 פרקים'!Z145+'  תקציב מינהל תפעול 2025פרקים '!Z125+'תקציב אגף תנוק 2025 פרקים'!Z5+'תקציב אגף נכסים וביטוח 2025 פרק'!Z15</f>
        <v>0</v>
      </c>
      <c r="Y18" s="29">
        <f>'תקציב החברה לפיתוח 2025 פרקים'!AA145+'  תקציב מינהל תפעול 2025פרקים '!AA125+'תקציב אגף תנוק 2025 פרקים'!AA5+'תקציב אגף נכסים וביטוח 2025 פרק'!AA15</f>
        <v>0</v>
      </c>
    </row>
    <row r="19" spans="1:27" s="31" customFormat="1" ht="27" customHeight="1">
      <c r="A19" s="2" t="s">
        <v>283</v>
      </c>
      <c r="B19" s="29">
        <f>'תקציב מינהל כללי 2025 פרקים'!D25</f>
        <v>343383000</v>
      </c>
      <c r="C19" s="29">
        <f>'תקציב מינהל כללי 2025 פרקים'!E25</f>
        <v>47833000</v>
      </c>
      <c r="D19" s="29">
        <f>'תקציב מינהל כללי 2025 פרקים'!F25</f>
        <v>295550000</v>
      </c>
      <c r="E19" s="29">
        <f>'תקציב מינהל כללי 2025 פרקים'!G25</f>
        <v>20583000</v>
      </c>
      <c r="F19" s="29">
        <f>'תקציב מינהל כללי 2025 פרקים'!H25</f>
        <v>20583000</v>
      </c>
      <c r="G19" s="29">
        <f>'תקציב מינהל כללי 2025 פרקים'!I25</f>
        <v>0</v>
      </c>
      <c r="H19" s="29">
        <f>'תקציב מינהל כללי 2025 פרקים'!J25</f>
        <v>0</v>
      </c>
      <c r="I19" s="29">
        <f>'תקציב מינהל כללי 2025 פרקים'!K25</f>
        <v>0</v>
      </c>
      <c r="J19" s="29">
        <f>'תקציב מינהל כללי 2025 פרקים'!L25</f>
        <v>20583000</v>
      </c>
      <c r="K19" s="29">
        <f>'תקציב מינהל כללי 2025 פרקים'!M25</f>
        <v>0</v>
      </c>
      <c r="L19" s="29">
        <f>'תקציב מינהל כללי 2025 פרקים'!N25</f>
        <v>28500000</v>
      </c>
      <c r="M19" s="29">
        <f>'תקציב מינהל כללי 2025 פרקים'!O25</f>
        <v>294300000</v>
      </c>
      <c r="N19" s="29">
        <f>'תקציב מינהל כללי 2025 פרקים'!P25</f>
        <v>0</v>
      </c>
      <c r="O19" s="29">
        <f>'תקציב מינהל כללי 2025 פרקים'!Q25</f>
        <v>0</v>
      </c>
      <c r="P19" s="29">
        <f>'תקציב מינהל כללי 2025 פרקים'!R25</f>
        <v>0</v>
      </c>
      <c r="Q19" s="29">
        <f>'תקציב מינהל כללי 2025 פרקים'!S25</f>
        <v>0</v>
      </c>
      <c r="R19" s="29">
        <f>'תקציב מינהל כללי 2025 פרקים'!T25</f>
        <v>0</v>
      </c>
      <c r="S19" s="29">
        <f>'תקציב מינהל כללי 2025 פרקים'!U25</f>
        <v>28500000</v>
      </c>
      <c r="T19" s="29">
        <f>'תקציב מינהל כללי 2025 פרקים'!V25</f>
        <v>28500000</v>
      </c>
      <c r="U19" s="29">
        <f>'תקציב מינהל כללי 2025 פרקים'!W25</f>
        <v>0</v>
      </c>
      <c r="V19" s="29">
        <f>'תקציב מינהל כללי 2025 פרקים'!X25</f>
        <v>0</v>
      </c>
      <c r="W19" s="29">
        <f>'תקציב מינהל כללי 2025 פרקים'!Y25</f>
        <v>0</v>
      </c>
      <c r="X19" s="29">
        <f>'תקציב מינהל כללי 2025 פרקים'!Z25</f>
        <v>0</v>
      </c>
      <c r="Y19" s="29">
        <f>'תקציב מינהל כללי 2025 פרקים'!AA25</f>
        <v>0</v>
      </c>
    </row>
    <row r="20" spans="1:27" s="192" customFormat="1" ht="25.15" customHeight="1">
      <c r="A20" s="389" t="s">
        <v>75</v>
      </c>
      <c r="B20" s="295">
        <f>SUM(B6:B19)</f>
        <v>6308173355</v>
      </c>
      <c r="C20" s="295">
        <f t="shared" ref="C20:Y20" si="0">SUM(C6:C19)</f>
        <v>5519680963</v>
      </c>
      <c r="D20" s="295">
        <f t="shared" si="0"/>
        <v>788492392</v>
      </c>
      <c r="E20" s="295">
        <f t="shared" si="0"/>
        <v>3102440171</v>
      </c>
      <c r="F20" s="295">
        <f t="shared" si="0"/>
        <v>2827298184.7200003</v>
      </c>
      <c r="G20" s="295">
        <f t="shared" si="0"/>
        <v>3780998</v>
      </c>
      <c r="H20" s="295">
        <f t="shared" si="0"/>
        <v>135614593.52000004</v>
      </c>
      <c r="I20" s="295">
        <f t="shared" si="0"/>
        <v>139395591.52000001</v>
      </c>
      <c r="J20" s="295">
        <f t="shared" si="0"/>
        <v>2966693776.2399998</v>
      </c>
      <c r="K20" s="295">
        <f t="shared" si="0"/>
        <v>284175898.75999999</v>
      </c>
      <c r="L20" s="295">
        <f t="shared" si="0"/>
        <v>400699123</v>
      </c>
      <c r="M20" s="295">
        <f t="shared" si="0"/>
        <v>2656604557</v>
      </c>
      <c r="N20" s="295">
        <f t="shared" si="0"/>
        <v>135746394.75999999</v>
      </c>
      <c r="O20" s="295">
        <f t="shared" si="0"/>
        <v>114747504</v>
      </c>
      <c r="P20" s="295">
        <f t="shared" si="0"/>
        <v>36711000</v>
      </c>
      <c r="Q20" s="295">
        <f t="shared" si="0"/>
        <v>151458504</v>
      </c>
      <c r="R20" s="295">
        <f t="shared" si="0"/>
        <v>3029000</v>
      </c>
      <c r="S20" s="295">
        <f t="shared" si="0"/>
        <v>397670123</v>
      </c>
      <c r="T20" s="295">
        <f t="shared" si="0"/>
        <v>250803851</v>
      </c>
      <c r="U20" s="295">
        <f t="shared" si="0"/>
        <v>50000000</v>
      </c>
      <c r="V20" s="295">
        <f t="shared" si="0"/>
        <v>0</v>
      </c>
      <c r="W20" s="295">
        <f>SUM(W6:W19)</f>
        <v>30600000</v>
      </c>
      <c r="X20" s="295">
        <f t="shared" si="0"/>
        <v>0</v>
      </c>
      <c r="Y20" s="295">
        <f t="shared" si="0"/>
        <v>66266272</v>
      </c>
    </row>
    <row r="21" spans="1:27" s="31" customFormat="1">
      <c r="A21" s="29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27" ht="15.6" customHeight="1">
      <c r="A22" s="37"/>
      <c r="B22" s="37"/>
      <c r="C22" s="37"/>
      <c r="D22" s="37"/>
      <c r="M22" s="38"/>
      <c r="O22" s="38"/>
      <c r="P22" s="38"/>
      <c r="Q22" s="38"/>
      <c r="R22" s="31"/>
      <c r="S22" s="36"/>
      <c r="T22" s="36"/>
      <c r="U22" s="36"/>
      <c r="V22" s="36"/>
      <c r="W22" s="36"/>
      <c r="X22" s="36"/>
      <c r="Y22" s="36"/>
    </row>
    <row r="23" spans="1:27" ht="15.6" customHeight="1">
      <c r="A23" s="37"/>
      <c r="B23" s="37"/>
      <c r="C23" s="37"/>
      <c r="D23" s="37"/>
      <c r="M23" s="38"/>
      <c r="O23" s="38"/>
      <c r="P23" s="38"/>
      <c r="Q23" s="38"/>
      <c r="R23" s="31"/>
      <c r="S23" s="36"/>
      <c r="T23" s="36"/>
      <c r="U23" s="36"/>
      <c r="V23" s="36"/>
      <c r="W23" s="36"/>
      <c r="X23" s="36"/>
      <c r="Y23" s="36"/>
    </row>
    <row r="24" spans="1:27" ht="15.6" customHeight="1">
      <c r="A24" s="37"/>
      <c r="B24" s="37"/>
      <c r="C24" s="37"/>
      <c r="D24" s="37"/>
      <c r="M24" s="38"/>
      <c r="O24" s="38"/>
      <c r="P24" s="38"/>
      <c r="Q24" s="38"/>
      <c r="R24" s="31"/>
      <c r="S24" s="36"/>
      <c r="T24" s="36"/>
      <c r="U24" s="36"/>
      <c r="V24" s="36"/>
      <c r="W24" s="36"/>
      <c r="X24" s="36"/>
      <c r="Y24" s="36"/>
    </row>
    <row r="25" spans="1:27" ht="15.6" customHeight="1">
      <c r="A25" s="37"/>
      <c r="B25" s="37"/>
      <c r="C25" s="37"/>
      <c r="D25" s="37"/>
      <c r="M25" s="38"/>
      <c r="O25" s="38"/>
      <c r="P25" s="38"/>
      <c r="Q25" s="38"/>
      <c r="R25" s="31"/>
      <c r="S25" s="36"/>
      <c r="T25" s="36"/>
      <c r="U25" s="36"/>
      <c r="V25" s="36"/>
      <c r="W25" s="36"/>
      <c r="X25" s="36"/>
      <c r="Y25" s="36"/>
    </row>
    <row r="26" spans="1:27" ht="15.6" customHeight="1">
      <c r="A26" s="37"/>
      <c r="B26" s="37"/>
      <c r="C26" s="37"/>
      <c r="D26" s="37"/>
      <c r="M26" s="38"/>
      <c r="O26" s="38"/>
      <c r="P26" s="38"/>
      <c r="Q26" s="38"/>
      <c r="R26" s="31"/>
      <c r="S26" s="36"/>
      <c r="T26" s="36"/>
      <c r="U26" s="36"/>
      <c r="V26" s="36"/>
      <c r="W26" s="36"/>
      <c r="X26" s="36"/>
      <c r="Y26" s="36"/>
    </row>
    <row r="27" spans="1:27" ht="15.6" customHeight="1">
      <c r="A27" s="37"/>
      <c r="B27" s="37"/>
      <c r="C27" s="37"/>
      <c r="D27" s="37"/>
      <c r="M27" s="38"/>
      <c r="O27" s="38"/>
      <c r="P27" s="38"/>
      <c r="Q27" s="38"/>
      <c r="R27" s="31"/>
      <c r="S27" s="36"/>
      <c r="T27" s="36"/>
      <c r="U27" s="36"/>
      <c r="V27" s="36"/>
      <c r="W27" s="36"/>
      <c r="X27" s="36"/>
      <c r="Y27" s="36"/>
    </row>
    <row r="28" spans="1:27" ht="15.6" customHeight="1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7" ht="15.6" customHeight="1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7" s="35" customFormat="1">
      <c r="A30" s="34"/>
      <c r="B30" s="37"/>
      <c r="J30" s="31"/>
      <c r="U30" s="39"/>
      <c r="Z30" s="32"/>
      <c r="AA30" s="32"/>
    </row>
    <row r="31" spans="1:27" s="35" customFormat="1">
      <c r="A31" s="34"/>
      <c r="B31" s="37"/>
      <c r="J31" s="31"/>
      <c r="U31" s="39"/>
      <c r="Z31" s="32"/>
      <c r="AA31" s="32"/>
    </row>
    <row r="32" spans="1:27" s="35" customFormat="1">
      <c r="A32" s="34"/>
      <c r="B32" s="37"/>
      <c r="J32" s="31"/>
      <c r="U32" s="39"/>
      <c r="Z32" s="32"/>
      <c r="AA32" s="32"/>
    </row>
    <row r="33" spans="1:27" s="35" customFormat="1">
      <c r="A33" s="34"/>
      <c r="B33" s="37"/>
      <c r="J33" s="31"/>
      <c r="U33" s="39"/>
      <c r="Z33" s="32"/>
      <c r="AA33" s="32"/>
    </row>
    <row r="34" spans="1:27" s="35" customFormat="1">
      <c r="A34" s="34"/>
      <c r="B34" s="37"/>
      <c r="J34" s="31"/>
      <c r="U34" s="39"/>
      <c r="Z34" s="32"/>
      <c r="AA34" s="32"/>
    </row>
    <row r="35" spans="1:27" s="35" customFormat="1">
      <c r="A35" s="34"/>
      <c r="B35" s="37"/>
      <c r="J35" s="31"/>
      <c r="U35" s="39"/>
      <c r="Z35" s="32"/>
      <c r="AA35" s="32"/>
    </row>
    <row r="36" spans="1:27" s="35" customFormat="1">
      <c r="A36" s="34"/>
      <c r="B36" s="243"/>
      <c r="J36" s="31"/>
      <c r="U36" s="39"/>
      <c r="Z36" s="32"/>
      <c r="AA36" s="32"/>
    </row>
    <row r="37" spans="1:27" s="35" customFormat="1">
      <c r="A37" s="34"/>
      <c r="J37" s="31"/>
      <c r="M37" s="191"/>
      <c r="N37" s="192"/>
      <c r="O37" s="191"/>
      <c r="P37" s="191"/>
      <c r="Q37" s="191"/>
      <c r="R37" s="191"/>
      <c r="Z37" s="32"/>
      <c r="AA37" s="32"/>
    </row>
  </sheetData>
  <sheetProtection formatCells="0" formatColumns="0" formatRows="0" insertColumns="0" insertRows="0" insertHyperlinks="0" deleteColumns="0" deleteRows="0" sort="0" autoFilter="0" pivotTables="0"/>
  <mergeCells count="3">
    <mergeCell ref="B4:M4"/>
    <mergeCell ref="N4:O4"/>
    <mergeCell ref="R4:Y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14"/>
  <sheetViews>
    <sheetView showZeros="0" rightToLeft="1" workbookViewId="0">
      <selection activeCell="U4" sqref="U4"/>
    </sheetView>
  </sheetViews>
  <sheetFormatPr defaultRowHeight="15.75"/>
  <cols>
    <col min="1" max="1" width="25.5703125" style="43" customWidth="1"/>
    <col min="2" max="3" width="10.28515625" style="45" customWidth="1"/>
    <col min="4" max="4" width="11.140625" style="45" customWidth="1"/>
    <col min="5" max="9" width="10.28515625" style="45" customWidth="1"/>
    <col min="10" max="10" width="10.28515625" style="45" hidden="1" customWidth="1"/>
    <col min="11" max="14" width="10.28515625" style="45" customWidth="1"/>
    <col min="15" max="15" width="11.28515625" style="43" customWidth="1"/>
    <col min="16" max="16" width="8.85546875" style="43" customWidth="1"/>
    <col min="17" max="17" width="13.28515625" style="110" customWidth="1"/>
    <col min="18" max="18" width="11.85546875" style="110" customWidth="1"/>
    <col min="19" max="19" width="12.140625" style="110" customWidth="1"/>
    <col min="20" max="20" width="2.7109375" style="110" customWidth="1"/>
    <col min="21" max="21" width="10.140625" style="110" bestFit="1" customWidth="1"/>
    <col min="22" max="22" width="9.140625" style="43" customWidth="1"/>
    <col min="23" max="257" width="9.140625" style="43"/>
    <col min="258" max="258" width="4.140625" style="43" customWidth="1"/>
    <col min="259" max="259" width="25.5703125" style="43" customWidth="1"/>
    <col min="260" max="260" width="0" style="43" hidden="1" customWidth="1"/>
    <col min="261" max="261" width="9.140625" style="43" bestFit="1" customWidth="1"/>
    <col min="262" max="262" width="9.140625" style="43" customWidth="1"/>
    <col min="263" max="263" width="8.85546875" style="43" customWidth="1"/>
    <col min="264" max="265" width="10.7109375" style="43" customWidth="1"/>
    <col min="266" max="266" width="10" style="43" customWidth="1"/>
    <col min="267" max="267" width="10.42578125" style="43" customWidth="1"/>
    <col min="268" max="268" width="8.7109375" style="43" customWidth="1"/>
    <col min="269" max="269" width="0" style="43" hidden="1" customWidth="1"/>
    <col min="270" max="270" width="10.140625" style="43" bestFit="1" customWidth="1"/>
    <col min="271" max="271" width="10.140625" style="43" customWidth="1"/>
    <col min="272" max="272" width="0" style="43" hidden="1" customWidth="1"/>
    <col min="273" max="273" width="10" style="43" customWidth="1"/>
    <col min="274" max="274" width="12.85546875" style="43" customWidth="1"/>
    <col min="275" max="513" width="9.140625" style="43"/>
    <col min="514" max="514" width="4.140625" style="43" customWidth="1"/>
    <col min="515" max="515" width="25.5703125" style="43" customWidth="1"/>
    <col min="516" max="516" width="0" style="43" hidden="1" customWidth="1"/>
    <col min="517" max="517" width="9.140625" style="43" bestFit="1" customWidth="1"/>
    <col min="518" max="518" width="9.140625" style="43" customWidth="1"/>
    <col min="519" max="519" width="8.85546875" style="43" customWidth="1"/>
    <col min="520" max="521" width="10.7109375" style="43" customWidth="1"/>
    <col min="522" max="522" width="10" style="43" customWidth="1"/>
    <col min="523" max="523" width="10.42578125" style="43" customWidth="1"/>
    <col min="524" max="524" width="8.7109375" style="43" customWidth="1"/>
    <col min="525" max="525" width="0" style="43" hidden="1" customWidth="1"/>
    <col min="526" max="526" width="10.140625" style="43" bestFit="1" customWidth="1"/>
    <col min="527" max="527" width="10.140625" style="43" customWidth="1"/>
    <col min="528" max="528" width="0" style="43" hidden="1" customWidth="1"/>
    <col min="529" max="529" width="10" style="43" customWidth="1"/>
    <col min="530" max="530" width="12.85546875" style="43" customWidth="1"/>
    <col min="531" max="769" width="9.140625" style="43"/>
    <col min="770" max="770" width="4.140625" style="43" customWidth="1"/>
    <col min="771" max="771" width="25.5703125" style="43" customWidth="1"/>
    <col min="772" max="772" width="0" style="43" hidden="1" customWidth="1"/>
    <col min="773" max="773" width="9.140625" style="43" bestFit="1" customWidth="1"/>
    <col min="774" max="774" width="9.140625" style="43" customWidth="1"/>
    <col min="775" max="775" width="8.85546875" style="43" customWidth="1"/>
    <col min="776" max="777" width="10.7109375" style="43" customWidth="1"/>
    <col min="778" max="778" width="10" style="43" customWidth="1"/>
    <col min="779" max="779" width="10.42578125" style="43" customWidth="1"/>
    <col min="780" max="780" width="8.7109375" style="43" customWidth="1"/>
    <col min="781" max="781" width="0" style="43" hidden="1" customWidth="1"/>
    <col min="782" max="782" width="10.140625" style="43" bestFit="1" customWidth="1"/>
    <col min="783" max="783" width="10.140625" style="43" customWidth="1"/>
    <col min="784" max="784" width="0" style="43" hidden="1" customWidth="1"/>
    <col min="785" max="785" width="10" style="43" customWidth="1"/>
    <col min="786" max="786" width="12.85546875" style="43" customWidth="1"/>
    <col min="787" max="1025" width="9.140625" style="43"/>
    <col min="1026" max="1026" width="4.140625" style="43" customWidth="1"/>
    <col min="1027" max="1027" width="25.5703125" style="43" customWidth="1"/>
    <col min="1028" max="1028" width="0" style="43" hidden="1" customWidth="1"/>
    <col min="1029" max="1029" width="9.140625" style="43" bestFit="1" customWidth="1"/>
    <col min="1030" max="1030" width="9.140625" style="43" customWidth="1"/>
    <col min="1031" max="1031" width="8.85546875" style="43" customWidth="1"/>
    <col min="1032" max="1033" width="10.7109375" style="43" customWidth="1"/>
    <col min="1034" max="1034" width="10" style="43" customWidth="1"/>
    <col min="1035" max="1035" width="10.42578125" style="43" customWidth="1"/>
    <col min="1036" max="1036" width="8.7109375" style="43" customWidth="1"/>
    <col min="1037" max="1037" width="0" style="43" hidden="1" customWidth="1"/>
    <col min="1038" max="1038" width="10.140625" style="43" bestFit="1" customWidth="1"/>
    <col min="1039" max="1039" width="10.140625" style="43" customWidth="1"/>
    <col min="1040" max="1040" width="0" style="43" hidden="1" customWidth="1"/>
    <col min="1041" max="1041" width="10" style="43" customWidth="1"/>
    <col min="1042" max="1042" width="12.85546875" style="43" customWidth="1"/>
    <col min="1043" max="1281" width="9.140625" style="43"/>
    <col min="1282" max="1282" width="4.140625" style="43" customWidth="1"/>
    <col min="1283" max="1283" width="25.5703125" style="43" customWidth="1"/>
    <col min="1284" max="1284" width="0" style="43" hidden="1" customWidth="1"/>
    <col min="1285" max="1285" width="9.140625" style="43" bestFit="1" customWidth="1"/>
    <col min="1286" max="1286" width="9.140625" style="43" customWidth="1"/>
    <col min="1287" max="1287" width="8.85546875" style="43" customWidth="1"/>
    <col min="1288" max="1289" width="10.7109375" style="43" customWidth="1"/>
    <col min="1290" max="1290" width="10" style="43" customWidth="1"/>
    <col min="1291" max="1291" width="10.42578125" style="43" customWidth="1"/>
    <col min="1292" max="1292" width="8.7109375" style="43" customWidth="1"/>
    <col min="1293" max="1293" width="0" style="43" hidden="1" customWidth="1"/>
    <col min="1294" max="1294" width="10.140625" style="43" bestFit="1" customWidth="1"/>
    <col min="1295" max="1295" width="10.140625" style="43" customWidth="1"/>
    <col min="1296" max="1296" width="0" style="43" hidden="1" customWidth="1"/>
    <col min="1297" max="1297" width="10" style="43" customWidth="1"/>
    <col min="1298" max="1298" width="12.85546875" style="43" customWidth="1"/>
    <col min="1299" max="1537" width="9.140625" style="43"/>
    <col min="1538" max="1538" width="4.140625" style="43" customWidth="1"/>
    <col min="1539" max="1539" width="25.5703125" style="43" customWidth="1"/>
    <col min="1540" max="1540" width="0" style="43" hidden="1" customWidth="1"/>
    <col min="1541" max="1541" width="9.140625" style="43" bestFit="1" customWidth="1"/>
    <col min="1542" max="1542" width="9.140625" style="43" customWidth="1"/>
    <col min="1543" max="1543" width="8.85546875" style="43" customWidth="1"/>
    <col min="1544" max="1545" width="10.7109375" style="43" customWidth="1"/>
    <col min="1546" max="1546" width="10" style="43" customWidth="1"/>
    <col min="1547" max="1547" width="10.42578125" style="43" customWidth="1"/>
    <col min="1548" max="1548" width="8.7109375" style="43" customWidth="1"/>
    <col min="1549" max="1549" width="0" style="43" hidden="1" customWidth="1"/>
    <col min="1550" max="1550" width="10.140625" style="43" bestFit="1" customWidth="1"/>
    <col min="1551" max="1551" width="10.140625" style="43" customWidth="1"/>
    <col min="1552" max="1552" width="0" style="43" hidden="1" customWidth="1"/>
    <col min="1553" max="1553" width="10" style="43" customWidth="1"/>
    <col min="1554" max="1554" width="12.85546875" style="43" customWidth="1"/>
    <col min="1555" max="1793" width="9.140625" style="43"/>
    <col min="1794" max="1794" width="4.140625" style="43" customWidth="1"/>
    <col min="1795" max="1795" width="25.5703125" style="43" customWidth="1"/>
    <col min="1796" max="1796" width="0" style="43" hidden="1" customWidth="1"/>
    <col min="1797" max="1797" width="9.140625" style="43" bestFit="1" customWidth="1"/>
    <col min="1798" max="1798" width="9.140625" style="43" customWidth="1"/>
    <col min="1799" max="1799" width="8.85546875" style="43" customWidth="1"/>
    <col min="1800" max="1801" width="10.7109375" style="43" customWidth="1"/>
    <col min="1802" max="1802" width="10" style="43" customWidth="1"/>
    <col min="1803" max="1803" width="10.42578125" style="43" customWidth="1"/>
    <col min="1804" max="1804" width="8.7109375" style="43" customWidth="1"/>
    <col min="1805" max="1805" width="0" style="43" hidden="1" customWidth="1"/>
    <col min="1806" max="1806" width="10.140625" style="43" bestFit="1" customWidth="1"/>
    <col min="1807" max="1807" width="10.140625" style="43" customWidth="1"/>
    <col min="1808" max="1808" width="0" style="43" hidden="1" customWidth="1"/>
    <col min="1809" max="1809" width="10" style="43" customWidth="1"/>
    <col min="1810" max="1810" width="12.85546875" style="43" customWidth="1"/>
    <col min="1811" max="2049" width="9.140625" style="43"/>
    <col min="2050" max="2050" width="4.140625" style="43" customWidth="1"/>
    <col min="2051" max="2051" width="25.5703125" style="43" customWidth="1"/>
    <col min="2052" max="2052" width="0" style="43" hidden="1" customWidth="1"/>
    <col min="2053" max="2053" width="9.140625" style="43" bestFit="1" customWidth="1"/>
    <col min="2054" max="2054" width="9.140625" style="43" customWidth="1"/>
    <col min="2055" max="2055" width="8.85546875" style="43" customWidth="1"/>
    <col min="2056" max="2057" width="10.7109375" style="43" customWidth="1"/>
    <col min="2058" max="2058" width="10" style="43" customWidth="1"/>
    <col min="2059" max="2059" width="10.42578125" style="43" customWidth="1"/>
    <col min="2060" max="2060" width="8.7109375" style="43" customWidth="1"/>
    <col min="2061" max="2061" width="0" style="43" hidden="1" customWidth="1"/>
    <col min="2062" max="2062" width="10.140625" style="43" bestFit="1" customWidth="1"/>
    <col min="2063" max="2063" width="10.140625" style="43" customWidth="1"/>
    <col min="2064" max="2064" width="0" style="43" hidden="1" customWidth="1"/>
    <col min="2065" max="2065" width="10" style="43" customWidth="1"/>
    <col min="2066" max="2066" width="12.85546875" style="43" customWidth="1"/>
    <col min="2067" max="2305" width="9.140625" style="43"/>
    <col min="2306" max="2306" width="4.140625" style="43" customWidth="1"/>
    <col min="2307" max="2307" width="25.5703125" style="43" customWidth="1"/>
    <col min="2308" max="2308" width="0" style="43" hidden="1" customWidth="1"/>
    <col min="2309" max="2309" width="9.140625" style="43" bestFit="1" customWidth="1"/>
    <col min="2310" max="2310" width="9.140625" style="43" customWidth="1"/>
    <col min="2311" max="2311" width="8.85546875" style="43" customWidth="1"/>
    <col min="2312" max="2313" width="10.7109375" style="43" customWidth="1"/>
    <col min="2314" max="2314" width="10" style="43" customWidth="1"/>
    <col min="2315" max="2315" width="10.42578125" style="43" customWidth="1"/>
    <col min="2316" max="2316" width="8.7109375" style="43" customWidth="1"/>
    <col min="2317" max="2317" width="0" style="43" hidden="1" customWidth="1"/>
    <col min="2318" max="2318" width="10.140625" style="43" bestFit="1" customWidth="1"/>
    <col min="2319" max="2319" width="10.140625" style="43" customWidth="1"/>
    <col min="2320" max="2320" width="0" style="43" hidden="1" customWidth="1"/>
    <col min="2321" max="2321" width="10" style="43" customWidth="1"/>
    <col min="2322" max="2322" width="12.85546875" style="43" customWidth="1"/>
    <col min="2323" max="2561" width="9.140625" style="43"/>
    <col min="2562" max="2562" width="4.140625" style="43" customWidth="1"/>
    <col min="2563" max="2563" width="25.5703125" style="43" customWidth="1"/>
    <col min="2564" max="2564" width="0" style="43" hidden="1" customWidth="1"/>
    <col min="2565" max="2565" width="9.140625" style="43" bestFit="1" customWidth="1"/>
    <col min="2566" max="2566" width="9.140625" style="43" customWidth="1"/>
    <col min="2567" max="2567" width="8.85546875" style="43" customWidth="1"/>
    <col min="2568" max="2569" width="10.7109375" style="43" customWidth="1"/>
    <col min="2570" max="2570" width="10" style="43" customWidth="1"/>
    <col min="2571" max="2571" width="10.42578125" style="43" customWidth="1"/>
    <col min="2572" max="2572" width="8.7109375" style="43" customWidth="1"/>
    <col min="2573" max="2573" width="0" style="43" hidden="1" customWidth="1"/>
    <col min="2574" max="2574" width="10.140625" style="43" bestFit="1" customWidth="1"/>
    <col min="2575" max="2575" width="10.140625" style="43" customWidth="1"/>
    <col min="2576" max="2576" width="0" style="43" hidden="1" customWidth="1"/>
    <col min="2577" max="2577" width="10" style="43" customWidth="1"/>
    <col min="2578" max="2578" width="12.85546875" style="43" customWidth="1"/>
    <col min="2579" max="2817" width="9.140625" style="43"/>
    <col min="2818" max="2818" width="4.140625" style="43" customWidth="1"/>
    <col min="2819" max="2819" width="25.5703125" style="43" customWidth="1"/>
    <col min="2820" max="2820" width="0" style="43" hidden="1" customWidth="1"/>
    <col min="2821" max="2821" width="9.140625" style="43" bestFit="1" customWidth="1"/>
    <col min="2822" max="2822" width="9.140625" style="43" customWidth="1"/>
    <col min="2823" max="2823" width="8.85546875" style="43" customWidth="1"/>
    <col min="2824" max="2825" width="10.7109375" style="43" customWidth="1"/>
    <col min="2826" max="2826" width="10" style="43" customWidth="1"/>
    <col min="2827" max="2827" width="10.42578125" style="43" customWidth="1"/>
    <col min="2828" max="2828" width="8.7109375" style="43" customWidth="1"/>
    <col min="2829" max="2829" width="0" style="43" hidden="1" customWidth="1"/>
    <col min="2830" max="2830" width="10.140625" style="43" bestFit="1" customWidth="1"/>
    <col min="2831" max="2831" width="10.140625" style="43" customWidth="1"/>
    <col min="2832" max="2832" width="0" style="43" hidden="1" customWidth="1"/>
    <col min="2833" max="2833" width="10" style="43" customWidth="1"/>
    <col min="2834" max="2834" width="12.85546875" style="43" customWidth="1"/>
    <col min="2835" max="3073" width="9.140625" style="43"/>
    <col min="3074" max="3074" width="4.140625" style="43" customWidth="1"/>
    <col min="3075" max="3075" width="25.5703125" style="43" customWidth="1"/>
    <col min="3076" max="3076" width="0" style="43" hidden="1" customWidth="1"/>
    <col min="3077" max="3077" width="9.140625" style="43" bestFit="1" customWidth="1"/>
    <col min="3078" max="3078" width="9.140625" style="43" customWidth="1"/>
    <col min="3079" max="3079" width="8.85546875" style="43" customWidth="1"/>
    <col min="3080" max="3081" width="10.7109375" style="43" customWidth="1"/>
    <col min="3082" max="3082" width="10" style="43" customWidth="1"/>
    <col min="3083" max="3083" width="10.42578125" style="43" customWidth="1"/>
    <col min="3084" max="3084" width="8.7109375" style="43" customWidth="1"/>
    <col min="3085" max="3085" width="0" style="43" hidden="1" customWidth="1"/>
    <col min="3086" max="3086" width="10.140625" style="43" bestFit="1" customWidth="1"/>
    <col min="3087" max="3087" width="10.140625" style="43" customWidth="1"/>
    <col min="3088" max="3088" width="0" style="43" hidden="1" customWidth="1"/>
    <col min="3089" max="3089" width="10" style="43" customWidth="1"/>
    <col min="3090" max="3090" width="12.85546875" style="43" customWidth="1"/>
    <col min="3091" max="3329" width="9.140625" style="43"/>
    <col min="3330" max="3330" width="4.140625" style="43" customWidth="1"/>
    <col min="3331" max="3331" width="25.5703125" style="43" customWidth="1"/>
    <col min="3332" max="3332" width="0" style="43" hidden="1" customWidth="1"/>
    <col min="3333" max="3333" width="9.140625" style="43" bestFit="1" customWidth="1"/>
    <col min="3334" max="3334" width="9.140625" style="43" customWidth="1"/>
    <col min="3335" max="3335" width="8.85546875" style="43" customWidth="1"/>
    <col min="3336" max="3337" width="10.7109375" style="43" customWidth="1"/>
    <col min="3338" max="3338" width="10" style="43" customWidth="1"/>
    <col min="3339" max="3339" width="10.42578125" style="43" customWidth="1"/>
    <col min="3340" max="3340" width="8.7109375" style="43" customWidth="1"/>
    <col min="3341" max="3341" width="0" style="43" hidden="1" customWidth="1"/>
    <col min="3342" max="3342" width="10.140625" style="43" bestFit="1" customWidth="1"/>
    <col min="3343" max="3343" width="10.140625" style="43" customWidth="1"/>
    <col min="3344" max="3344" width="0" style="43" hidden="1" customWidth="1"/>
    <col min="3345" max="3345" width="10" style="43" customWidth="1"/>
    <col min="3346" max="3346" width="12.85546875" style="43" customWidth="1"/>
    <col min="3347" max="3585" width="9.140625" style="43"/>
    <col min="3586" max="3586" width="4.140625" style="43" customWidth="1"/>
    <col min="3587" max="3587" width="25.5703125" style="43" customWidth="1"/>
    <col min="3588" max="3588" width="0" style="43" hidden="1" customWidth="1"/>
    <col min="3589" max="3589" width="9.140625" style="43" bestFit="1" customWidth="1"/>
    <col min="3590" max="3590" width="9.140625" style="43" customWidth="1"/>
    <col min="3591" max="3591" width="8.85546875" style="43" customWidth="1"/>
    <col min="3592" max="3593" width="10.7109375" style="43" customWidth="1"/>
    <col min="3594" max="3594" width="10" style="43" customWidth="1"/>
    <col min="3595" max="3595" width="10.42578125" style="43" customWidth="1"/>
    <col min="3596" max="3596" width="8.7109375" style="43" customWidth="1"/>
    <col min="3597" max="3597" width="0" style="43" hidden="1" customWidth="1"/>
    <col min="3598" max="3598" width="10.140625" style="43" bestFit="1" customWidth="1"/>
    <col min="3599" max="3599" width="10.140625" style="43" customWidth="1"/>
    <col min="3600" max="3600" width="0" style="43" hidden="1" customWidth="1"/>
    <col min="3601" max="3601" width="10" style="43" customWidth="1"/>
    <col min="3602" max="3602" width="12.85546875" style="43" customWidth="1"/>
    <col min="3603" max="3841" width="9.140625" style="43"/>
    <col min="3842" max="3842" width="4.140625" style="43" customWidth="1"/>
    <col min="3843" max="3843" width="25.5703125" style="43" customWidth="1"/>
    <col min="3844" max="3844" width="0" style="43" hidden="1" customWidth="1"/>
    <col min="3845" max="3845" width="9.140625" style="43" bestFit="1" customWidth="1"/>
    <col min="3846" max="3846" width="9.140625" style="43" customWidth="1"/>
    <col min="3847" max="3847" width="8.85546875" style="43" customWidth="1"/>
    <col min="3848" max="3849" width="10.7109375" style="43" customWidth="1"/>
    <col min="3850" max="3850" width="10" style="43" customWidth="1"/>
    <col min="3851" max="3851" width="10.42578125" style="43" customWidth="1"/>
    <col min="3852" max="3852" width="8.7109375" style="43" customWidth="1"/>
    <col min="3853" max="3853" width="0" style="43" hidden="1" customWidth="1"/>
    <col min="3854" max="3854" width="10.140625" style="43" bestFit="1" customWidth="1"/>
    <col min="3855" max="3855" width="10.140625" style="43" customWidth="1"/>
    <col min="3856" max="3856" width="0" style="43" hidden="1" customWidth="1"/>
    <col min="3857" max="3857" width="10" style="43" customWidth="1"/>
    <col min="3858" max="3858" width="12.85546875" style="43" customWidth="1"/>
    <col min="3859" max="4097" width="9.140625" style="43"/>
    <col min="4098" max="4098" width="4.140625" style="43" customWidth="1"/>
    <col min="4099" max="4099" width="25.5703125" style="43" customWidth="1"/>
    <col min="4100" max="4100" width="0" style="43" hidden="1" customWidth="1"/>
    <col min="4101" max="4101" width="9.140625" style="43" bestFit="1" customWidth="1"/>
    <col min="4102" max="4102" width="9.140625" style="43" customWidth="1"/>
    <col min="4103" max="4103" width="8.85546875" style="43" customWidth="1"/>
    <col min="4104" max="4105" width="10.7109375" style="43" customWidth="1"/>
    <col min="4106" max="4106" width="10" style="43" customWidth="1"/>
    <col min="4107" max="4107" width="10.42578125" style="43" customWidth="1"/>
    <col min="4108" max="4108" width="8.7109375" style="43" customWidth="1"/>
    <col min="4109" max="4109" width="0" style="43" hidden="1" customWidth="1"/>
    <col min="4110" max="4110" width="10.140625" style="43" bestFit="1" customWidth="1"/>
    <col min="4111" max="4111" width="10.140625" style="43" customWidth="1"/>
    <col min="4112" max="4112" width="0" style="43" hidden="1" customWidth="1"/>
    <col min="4113" max="4113" width="10" style="43" customWidth="1"/>
    <col min="4114" max="4114" width="12.85546875" style="43" customWidth="1"/>
    <col min="4115" max="4353" width="9.140625" style="43"/>
    <col min="4354" max="4354" width="4.140625" style="43" customWidth="1"/>
    <col min="4355" max="4355" width="25.5703125" style="43" customWidth="1"/>
    <col min="4356" max="4356" width="0" style="43" hidden="1" customWidth="1"/>
    <col min="4357" max="4357" width="9.140625" style="43" bestFit="1" customWidth="1"/>
    <col min="4358" max="4358" width="9.140625" style="43" customWidth="1"/>
    <col min="4359" max="4359" width="8.85546875" style="43" customWidth="1"/>
    <col min="4360" max="4361" width="10.7109375" style="43" customWidth="1"/>
    <col min="4362" max="4362" width="10" style="43" customWidth="1"/>
    <col min="4363" max="4363" width="10.42578125" style="43" customWidth="1"/>
    <col min="4364" max="4364" width="8.7109375" style="43" customWidth="1"/>
    <col min="4365" max="4365" width="0" style="43" hidden="1" customWidth="1"/>
    <col min="4366" max="4366" width="10.140625" style="43" bestFit="1" customWidth="1"/>
    <col min="4367" max="4367" width="10.140625" style="43" customWidth="1"/>
    <col min="4368" max="4368" width="0" style="43" hidden="1" customWidth="1"/>
    <col min="4369" max="4369" width="10" style="43" customWidth="1"/>
    <col min="4370" max="4370" width="12.85546875" style="43" customWidth="1"/>
    <col min="4371" max="4609" width="9.140625" style="43"/>
    <col min="4610" max="4610" width="4.140625" style="43" customWidth="1"/>
    <col min="4611" max="4611" width="25.5703125" style="43" customWidth="1"/>
    <col min="4612" max="4612" width="0" style="43" hidden="1" customWidth="1"/>
    <col min="4613" max="4613" width="9.140625" style="43" bestFit="1" customWidth="1"/>
    <col min="4614" max="4614" width="9.140625" style="43" customWidth="1"/>
    <col min="4615" max="4615" width="8.85546875" style="43" customWidth="1"/>
    <col min="4616" max="4617" width="10.7109375" style="43" customWidth="1"/>
    <col min="4618" max="4618" width="10" style="43" customWidth="1"/>
    <col min="4619" max="4619" width="10.42578125" style="43" customWidth="1"/>
    <col min="4620" max="4620" width="8.7109375" style="43" customWidth="1"/>
    <col min="4621" max="4621" width="0" style="43" hidden="1" customWidth="1"/>
    <col min="4622" max="4622" width="10.140625" style="43" bestFit="1" customWidth="1"/>
    <col min="4623" max="4623" width="10.140625" style="43" customWidth="1"/>
    <col min="4624" max="4624" width="0" style="43" hidden="1" customWidth="1"/>
    <col min="4625" max="4625" width="10" style="43" customWidth="1"/>
    <col min="4626" max="4626" width="12.85546875" style="43" customWidth="1"/>
    <col min="4627" max="4865" width="9.140625" style="43"/>
    <col min="4866" max="4866" width="4.140625" style="43" customWidth="1"/>
    <col min="4867" max="4867" width="25.5703125" style="43" customWidth="1"/>
    <col min="4868" max="4868" width="0" style="43" hidden="1" customWidth="1"/>
    <col min="4869" max="4869" width="9.140625" style="43" bestFit="1" customWidth="1"/>
    <col min="4870" max="4870" width="9.140625" style="43" customWidth="1"/>
    <col min="4871" max="4871" width="8.85546875" style="43" customWidth="1"/>
    <col min="4872" max="4873" width="10.7109375" style="43" customWidth="1"/>
    <col min="4874" max="4874" width="10" style="43" customWidth="1"/>
    <col min="4875" max="4875" width="10.42578125" style="43" customWidth="1"/>
    <col min="4876" max="4876" width="8.7109375" style="43" customWidth="1"/>
    <col min="4877" max="4877" width="0" style="43" hidden="1" customWidth="1"/>
    <col min="4878" max="4878" width="10.140625" style="43" bestFit="1" customWidth="1"/>
    <col min="4879" max="4879" width="10.140625" style="43" customWidth="1"/>
    <col min="4880" max="4880" width="0" style="43" hidden="1" customWidth="1"/>
    <col min="4881" max="4881" width="10" style="43" customWidth="1"/>
    <col min="4882" max="4882" width="12.85546875" style="43" customWidth="1"/>
    <col min="4883" max="5121" width="9.140625" style="43"/>
    <col min="5122" max="5122" width="4.140625" style="43" customWidth="1"/>
    <col min="5123" max="5123" width="25.5703125" style="43" customWidth="1"/>
    <col min="5124" max="5124" width="0" style="43" hidden="1" customWidth="1"/>
    <col min="5125" max="5125" width="9.140625" style="43" bestFit="1" customWidth="1"/>
    <col min="5126" max="5126" width="9.140625" style="43" customWidth="1"/>
    <col min="5127" max="5127" width="8.85546875" style="43" customWidth="1"/>
    <col min="5128" max="5129" width="10.7109375" style="43" customWidth="1"/>
    <col min="5130" max="5130" width="10" style="43" customWidth="1"/>
    <col min="5131" max="5131" width="10.42578125" style="43" customWidth="1"/>
    <col min="5132" max="5132" width="8.7109375" style="43" customWidth="1"/>
    <col min="5133" max="5133" width="0" style="43" hidden="1" customWidth="1"/>
    <col min="5134" max="5134" width="10.140625" style="43" bestFit="1" customWidth="1"/>
    <col min="5135" max="5135" width="10.140625" style="43" customWidth="1"/>
    <col min="5136" max="5136" width="0" style="43" hidden="1" customWidth="1"/>
    <col min="5137" max="5137" width="10" style="43" customWidth="1"/>
    <col min="5138" max="5138" width="12.85546875" style="43" customWidth="1"/>
    <col min="5139" max="5377" width="9.140625" style="43"/>
    <col min="5378" max="5378" width="4.140625" style="43" customWidth="1"/>
    <col min="5379" max="5379" width="25.5703125" style="43" customWidth="1"/>
    <col min="5380" max="5380" width="0" style="43" hidden="1" customWidth="1"/>
    <col min="5381" max="5381" width="9.140625" style="43" bestFit="1" customWidth="1"/>
    <col min="5382" max="5382" width="9.140625" style="43" customWidth="1"/>
    <col min="5383" max="5383" width="8.85546875" style="43" customWidth="1"/>
    <col min="5384" max="5385" width="10.7109375" style="43" customWidth="1"/>
    <col min="5386" max="5386" width="10" style="43" customWidth="1"/>
    <col min="5387" max="5387" width="10.42578125" style="43" customWidth="1"/>
    <col min="5388" max="5388" width="8.7109375" style="43" customWidth="1"/>
    <col min="5389" max="5389" width="0" style="43" hidden="1" customWidth="1"/>
    <col min="5390" max="5390" width="10.140625" style="43" bestFit="1" customWidth="1"/>
    <col min="5391" max="5391" width="10.140625" style="43" customWidth="1"/>
    <col min="5392" max="5392" width="0" style="43" hidden="1" customWidth="1"/>
    <col min="5393" max="5393" width="10" style="43" customWidth="1"/>
    <col min="5394" max="5394" width="12.85546875" style="43" customWidth="1"/>
    <col min="5395" max="5633" width="9.140625" style="43"/>
    <col min="5634" max="5634" width="4.140625" style="43" customWidth="1"/>
    <col min="5635" max="5635" width="25.5703125" style="43" customWidth="1"/>
    <col min="5636" max="5636" width="0" style="43" hidden="1" customWidth="1"/>
    <col min="5637" max="5637" width="9.140625" style="43" bestFit="1" customWidth="1"/>
    <col min="5638" max="5638" width="9.140625" style="43" customWidth="1"/>
    <col min="5639" max="5639" width="8.85546875" style="43" customWidth="1"/>
    <col min="5640" max="5641" width="10.7109375" style="43" customWidth="1"/>
    <col min="5642" max="5642" width="10" style="43" customWidth="1"/>
    <col min="5643" max="5643" width="10.42578125" style="43" customWidth="1"/>
    <col min="5644" max="5644" width="8.7109375" style="43" customWidth="1"/>
    <col min="5645" max="5645" width="0" style="43" hidden="1" customWidth="1"/>
    <col min="5646" max="5646" width="10.140625" style="43" bestFit="1" customWidth="1"/>
    <col min="5647" max="5647" width="10.140625" style="43" customWidth="1"/>
    <col min="5648" max="5648" width="0" style="43" hidden="1" customWidth="1"/>
    <col min="5649" max="5649" width="10" style="43" customWidth="1"/>
    <col min="5650" max="5650" width="12.85546875" style="43" customWidth="1"/>
    <col min="5651" max="5889" width="9.140625" style="43"/>
    <col min="5890" max="5890" width="4.140625" style="43" customWidth="1"/>
    <col min="5891" max="5891" width="25.5703125" style="43" customWidth="1"/>
    <col min="5892" max="5892" width="0" style="43" hidden="1" customWidth="1"/>
    <col min="5893" max="5893" width="9.140625" style="43" bestFit="1" customWidth="1"/>
    <col min="5894" max="5894" width="9.140625" style="43" customWidth="1"/>
    <col min="5895" max="5895" width="8.85546875" style="43" customWidth="1"/>
    <col min="5896" max="5897" width="10.7109375" style="43" customWidth="1"/>
    <col min="5898" max="5898" width="10" style="43" customWidth="1"/>
    <col min="5899" max="5899" width="10.42578125" style="43" customWidth="1"/>
    <col min="5900" max="5900" width="8.7109375" style="43" customWidth="1"/>
    <col min="5901" max="5901" width="0" style="43" hidden="1" customWidth="1"/>
    <col min="5902" max="5902" width="10.140625" style="43" bestFit="1" customWidth="1"/>
    <col min="5903" max="5903" width="10.140625" style="43" customWidth="1"/>
    <col min="5904" max="5904" width="0" style="43" hidden="1" customWidth="1"/>
    <col min="5905" max="5905" width="10" style="43" customWidth="1"/>
    <col min="5906" max="5906" width="12.85546875" style="43" customWidth="1"/>
    <col min="5907" max="6145" width="9.140625" style="43"/>
    <col min="6146" max="6146" width="4.140625" style="43" customWidth="1"/>
    <col min="6147" max="6147" width="25.5703125" style="43" customWidth="1"/>
    <col min="6148" max="6148" width="0" style="43" hidden="1" customWidth="1"/>
    <col min="6149" max="6149" width="9.140625" style="43" bestFit="1" customWidth="1"/>
    <col min="6150" max="6150" width="9.140625" style="43" customWidth="1"/>
    <col min="6151" max="6151" width="8.85546875" style="43" customWidth="1"/>
    <col min="6152" max="6153" width="10.7109375" style="43" customWidth="1"/>
    <col min="6154" max="6154" width="10" style="43" customWidth="1"/>
    <col min="6155" max="6155" width="10.42578125" style="43" customWidth="1"/>
    <col min="6156" max="6156" width="8.7109375" style="43" customWidth="1"/>
    <col min="6157" max="6157" width="0" style="43" hidden="1" customWidth="1"/>
    <col min="6158" max="6158" width="10.140625" style="43" bestFit="1" customWidth="1"/>
    <col min="6159" max="6159" width="10.140625" style="43" customWidth="1"/>
    <col min="6160" max="6160" width="0" style="43" hidden="1" customWidth="1"/>
    <col min="6161" max="6161" width="10" style="43" customWidth="1"/>
    <col min="6162" max="6162" width="12.85546875" style="43" customWidth="1"/>
    <col min="6163" max="6401" width="9.140625" style="43"/>
    <col min="6402" max="6402" width="4.140625" style="43" customWidth="1"/>
    <col min="6403" max="6403" width="25.5703125" style="43" customWidth="1"/>
    <col min="6404" max="6404" width="0" style="43" hidden="1" customWidth="1"/>
    <col min="6405" max="6405" width="9.140625" style="43" bestFit="1" customWidth="1"/>
    <col min="6406" max="6406" width="9.140625" style="43" customWidth="1"/>
    <col min="6407" max="6407" width="8.85546875" style="43" customWidth="1"/>
    <col min="6408" max="6409" width="10.7109375" style="43" customWidth="1"/>
    <col min="6410" max="6410" width="10" style="43" customWidth="1"/>
    <col min="6411" max="6411" width="10.42578125" style="43" customWidth="1"/>
    <col min="6412" max="6412" width="8.7109375" style="43" customWidth="1"/>
    <col min="6413" max="6413" width="0" style="43" hidden="1" customWidth="1"/>
    <col min="6414" max="6414" width="10.140625" style="43" bestFit="1" customWidth="1"/>
    <col min="6415" max="6415" width="10.140625" style="43" customWidth="1"/>
    <col min="6416" max="6416" width="0" style="43" hidden="1" customWidth="1"/>
    <col min="6417" max="6417" width="10" style="43" customWidth="1"/>
    <col min="6418" max="6418" width="12.85546875" style="43" customWidth="1"/>
    <col min="6419" max="6657" width="9.140625" style="43"/>
    <col min="6658" max="6658" width="4.140625" style="43" customWidth="1"/>
    <col min="6659" max="6659" width="25.5703125" style="43" customWidth="1"/>
    <col min="6660" max="6660" width="0" style="43" hidden="1" customWidth="1"/>
    <col min="6661" max="6661" width="9.140625" style="43" bestFit="1" customWidth="1"/>
    <col min="6662" max="6662" width="9.140625" style="43" customWidth="1"/>
    <col min="6663" max="6663" width="8.85546875" style="43" customWidth="1"/>
    <col min="6664" max="6665" width="10.7109375" style="43" customWidth="1"/>
    <col min="6666" max="6666" width="10" style="43" customWidth="1"/>
    <col min="6667" max="6667" width="10.42578125" style="43" customWidth="1"/>
    <col min="6668" max="6668" width="8.7109375" style="43" customWidth="1"/>
    <col min="6669" max="6669" width="0" style="43" hidden="1" customWidth="1"/>
    <col min="6670" max="6670" width="10.140625" style="43" bestFit="1" customWidth="1"/>
    <col min="6671" max="6671" width="10.140625" style="43" customWidth="1"/>
    <col min="6672" max="6672" width="0" style="43" hidden="1" customWidth="1"/>
    <col min="6673" max="6673" width="10" style="43" customWidth="1"/>
    <col min="6674" max="6674" width="12.85546875" style="43" customWidth="1"/>
    <col min="6675" max="6913" width="9.140625" style="43"/>
    <col min="6914" max="6914" width="4.140625" style="43" customWidth="1"/>
    <col min="6915" max="6915" width="25.5703125" style="43" customWidth="1"/>
    <col min="6916" max="6916" width="0" style="43" hidden="1" customWidth="1"/>
    <col min="6917" max="6917" width="9.140625" style="43" bestFit="1" customWidth="1"/>
    <col min="6918" max="6918" width="9.140625" style="43" customWidth="1"/>
    <col min="6919" max="6919" width="8.85546875" style="43" customWidth="1"/>
    <col min="6920" max="6921" width="10.7109375" style="43" customWidth="1"/>
    <col min="6922" max="6922" width="10" style="43" customWidth="1"/>
    <col min="6923" max="6923" width="10.42578125" style="43" customWidth="1"/>
    <col min="6924" max="6924" width="8.7109375" style="43" customWidth="1"/>
    <col min="6925" max="6925" width="0" style="43" hidden="1" customWidth="1"/>
    <col min="6926" max="6926" width="10.140625" style="43" bestFit="1" customWidth="1"/>
    <col min="6927" max="6927" width="10.140625" style="43" customWidth="1"/>
    <col min="6928" max="6928" width="0" style="43" hidden="1" customWidth="1"/>
    <col min="6929" max="6929" width="10" style="43" customWidth="1"/>
    <col min="6930" max="6930" width="12.85546875" style="43" customWidth="1"/>
    <col min="6931" max="7169" width="9.140625" style="43"/>
    <col min="7170" max="7170" width="4.140625" style="43" customWidth="1"/>
    <col min="7171" max="7171" width="25.5703125" style="43" customWidth="1"/>
    <col min="7172" max="7172" width="0" style="43" hidden="1" customWidth="1"/>
    <col min="7173" max="7173" width="9.140625" style="43" bestFit="1" customWidth="1"/>
    <col min="7174" max="7174" width="9.140625" style="43" customWidth="1"/>
    <col min="7175" max="7175" width="8.85546875" style="43" customWidth="1"/>
    <col min="7176" max="7177" width="10.7109375" style="43" customWidth="1"/>
    <col min="7178" max="7178" width="10" style="43" customWidth="1"/>
    <col min="7179" max="7179" width="10.42578125" style="43" customWidth="1"/>
    <col min="7180" max="7180" width="8.7109375" style="43" customWidth="1"/>
    <col min="7181" max="7181" width="0" style="43" hidden="1" customWidth="1"/>
    <col min="7182" max="7182" width="10.140625" style="43" bestFit="1" customWidth="1"/>
    <col min="7183" max="7183" width="10.140625" style="43" customWidth="1"/>
    <col min="7184" max="7184" width="0" style="43" hidden="1" customWidth="1"/>
    <col min="7185" max="7185" width="10" style="43" customWidth="1"/>
    <col min="7186" max="7186" width="12.85546875" style="43" customWidth="1"/>
    <col min="7187" max="7425" width="9.140625" style="43"/>
    <col min="7426" max="7426" width="4.140625" style="43" customWidth="1"/>
    <col min="7427" max="7427" width="25.5703125" style="43" customWidth="1"/>
    <col min="7428" max="7428" width="0" style="43" hidden="1" customWidth="1"/>
    <col min="7429" max="7429" width="9.140625" style="43" bestFit="1" customWidth="1"/>
    <col min="7430" max="7430" width="9.140625" style="43" customWidth="1"/>
    <col min="7431" max="7431" width="8.85546875" style="43" customWidth="1"/>
    <col min="7432" max="7433" width="10.7109375" style="43" customWidth="1"/>
    <col min="7434" max="7434" width="10" style="43" customWidth="1"/>
    <col min="7435" max="7435" width="10.42578125" style="43" customWidth="1"/>
    <col min="7436" max="7436" width="8.7109375" style="43" customWidth="1"/>
    <col min="7437" max="7437" width="0" style="43" hidden="1" customWidth="1"/>
    <col min="7438" max="7438" width="10.140625" style="43" bestFit="1" customWidth="1"/>
    <col min="7439" max="7439" width="10.140625" style="43" customWidth="1"/>
    <col min="7440" max="7440" width="0" style="43" hidden="1" customWidth="1"/>
    <col min="7441" max="7441" width="10" style="43" customWidth="1"/>
    <col min="7442" max="7442" width="12.85546875" style="43" customWidth="1"/>
    <col min="7443" max="7681" width="9.140625" style="43"/>
    <col min="7682" max="7682" width="4.140625" style="43" customWidth="1"/>
    <col min="7683" max="7683" width="25.5703125" style="43" customWidth="1"/>
    <col min="7684" max="7684" width="0" style="43" hidden="1" customWidth="1"/>
    <col min="7685" max="7685" width="9.140625" style="43" bestFit="1" customWidth="1"/>
    <col min="7686" max="7686" width="9.140625" style="43" customWidth="1"/>
    <col min="7687" max="7687" width="8.85546875" style="43" customWidth="1"/>
    <col min="7688" max="7689" width="10.7109375" style="43" customWidth="1"/>
    <col min="7690" max="7690" width="10" style="43" customWidth="1"/>
    <col min="7691" max="7691" width="10.42578125" style="43" customWidth="1"/>
    <col min="7692" max="7692" width="8.7109375" style="43" customWidth="1"/>
    <col min="7693" max="7693" width="0" style="43" hidden="1" customWidth="1"/>
    <col min="7694" max="7694" width="10.140625" style="43" bestFit="1" customWidth="1"/>
    <col min="7695" max="7695" width="10.140625" style="43" customWidth="1"/>
    <col min="7696" max="7696" width="0" style="43" hidden="1" customWidth="1"/>
    <col min="7697" max="7697" width="10" style="43" customWidth="1"/>
    <col min="7698" max="7698" width="12.85546875" style="43" customWidth="1"/>
    <col min="7699" max="7937" width="9.140625" style="43"/>
    <col min="7938" max="7938" width="4.140625" style="43" customWidth="1"/>
    <col min="7939" max="7939" width="25.5703125" style="43" customWidth="1"/>
    <col min="7940" max="7940" width="0" style="43" hidden="1" customWidth="1"/>
    <col min="7941" max="7941" width="9.140625" style="43" bestFit="1" customWidth="1"/>
    <col min="7942" max="7942" width="9.140625" style="43" customWidth="1"/>
    <col min="7943" max="7943" width="8.85546875" style="43" customWidth="1"/>
    <col min="7944" max="7945" width="10.7109375" style="43" customWidth="1"/>
    <col min="7946" max="7946" width="10" style="43" customWidth="1"/>
    <col min="7947" max="7947" width="10.42578125" style="43" customWidth="1"/>
    <col min="7948" max="7948" width="8.7109375" style="43" customWidth="1"/>
    <col min="7949" max="7949" width="0" style="43" hidden="1" customWidth="1"/>
    <col min="7950" max="7950" width="10.140625" style="43" bestFit="1" customWidth="1"/>
    <col min="7951" max="7951" width="10.140625" style="43" customWidth="1"/>
    <col min="7952" max="7952" width="0" style="43" hidden="1" customWidth="1"/>
    <col min="7953" max="7953" width="10" style="43" customWidth="1"/>
    <col min="7954" max="7954" width="12.85546875" style="43" customWidth="1"/>
    <col min="7955" max="8193" width="9.140625" style="43"/>
    <col min="8194" max="8194" width="4.140625" style="43" customWidth="1"/>
    <col min="8195" max="8195" width="25.5703125" style="43" customWidth="1"/>
    <col min="8196" max="8196" width="0" style="43" hidden="1" customWidth="1"/>
    <col min="8197" max="8197" width="9.140625" style="43" bestFit="1" customWidth="1"/>
    <col min="8198" max="8198" width="9.140625" style="43" customWidth="1"/>
    <col min="8199" max="8199" width="8.85546875" style="43" customWidth="1"/>
    <col min="8200" max="8201" width="10.7109375" style="43" customWidth="1"/>
    <col min="8202" max="8202" width="10" style="43" customWidth="1"/>
    <col min="8203" max="8203" width="10.42578125" style="43" customWidth="1"/>
    <col min="8204" max="8204" width="8.7109375" style="43" customWidth="1"/>
    <col min="8205" max="8205" width="0" style="43" hidden="1" customWidth="1"/>
    <col min="8206" max="8206" width="10.140625" style="43" bestFit="1" customWidth="1"/>
    <col min="8207" max="8207" width="10.140625" style="43" customWidth="1"/>
    <col min="8208" max="8208" width="0" style="43" hidden="1" customWidth="1"/>
    <col min="8209" max="8209" width="10" style="43" customWidth="1"/>
    <col min="8210" max="8210" width="12.85546875" style="43" customWidth="1"/>
    <col min="8211" max="8449" width="9.140625" style="43"/>
    <col min="8450" max="8450" width="4.140625" style="43" customWidth="1"/>
    <col min="8451" max="8451" width="25.5703125" style="43" customWidth="1"/>
    <col min="8452" max="8452" width="0" style="43" hidden="1" customWidth="1"/>
    <col min="8453" max="8453" width="9.140625" style="43" bestFit="1" customWidth="1"/>
    <col min="8454" max="8454" width="9.140625" style="43" customWidth="1"/>
    <col min="8455" max="8455" width="8.85546875" style="43" customWidth="1"/>
    <col min="8456" max="8457" width="10.7109375" style="43" customWidth="1"/>
    <col min="8458" max="8458" width="10" style="43" customWidth="1"/>
    <col min="8459" max="8459" width="10.42578125" style="43" customWidth="1"/>
    <col min="8460" max="8460" width="8.7109375" style="43" customWidth="1"/>
    <col min="8461" max="8461" width="0" style="43" hidden="1" customWidth="1"/>
    <col min="8462" max="8462" width="10.140625" style="43" bestFit="1" customWidth="1"/>
    <col min="8463" max="8463" width="10.140625" style="43" customWidth="1"/>
    <col min="8464" max="8464" width="0" style="43" hidden="1" customWidth="1"/>
    <col min="8465" max="8465" width="10" style="43" customWidth="1"/>
    <col min="8466" max="8466" width="12.85546875" style="43" customWidth="1"/>
    <col min="8467" max="8705" width="9.140625" style="43"/>
    <col min="8706" max="8706" width="4.140625" style="43" customWidth="1"/>
    <col min="8707" max="8707" width="25.5703125" style="43" customWidth="1"/>
    <col min="8708" max="8708" width="0" style="43" hidden="1" customWidth="1"/>
    <col min="8709" max="8709" width="9.140625" style="43" bestFit="1" customWidth="1"/>
    <col min="8710" max="8710" width="9.140625" style="43" customWidth="1"/>
    <col min="8711" max="8711" width="8.85546875" style="43" customWidth="1"/>
    <col min="8712" max="8713" width="10.7109375" style="43" customWidth="1"/>
    <col min="8714" max="8714" width="10" style="43" customWidth="1"/>
    <col min="8715" max="8715" width="10.42578125" style="43" customWidth="1"/>
    <col min="8716" max="8716" width="8.7109375" style="43" customWidth="1"/>
    <col min="8717" max="8717" width="0" style="43" hidden="1" customWidth="1"/>
    <col min="8718" max="8718" width="10.140625" style="43" bestFit="1" customWidth="1"/>
    <col min="8719" max="8719" width="10.140625" style="43" customWidth="1"/>
    <col min="8720" max="8720" width="0" style="43" hidden="1" customWidth="1"/>
    <col min="8721" max="8721" width="10" style="43" customWidth="1"/>
    <col min="8722" max="8722" width="12.85546875" style="43" customWidth="1"/>
    <col min="8723" max="8961" width="9.140625" style="43"/>
    <col min="8962" max="8962" width="4.140625" style="43" customWidth="1"/>
    <col min="8963" max="8963" width="25.5703125" style="43" customWidth="1"/>
    <col min="8964" max="8964" width="0" style="43" hidden="1" customWidth="1"/>
    <col min="8965" max="8965" width="9.140625" style="43" bestFit="1" customWidth="1"/>
    <col min="8966" max="8966" width="9.140625" style="43" customWidth="1"/>
    <col min="8967" max="8967" width="8.85546875" style="43" customWidth="1"/>
    <col min="8968" max="8969" width="10.7109375" style="43" customWidth="1"/>
    <col min="8970" max="8970" width="10" style="43" customWidth="1"/>
    <col min="8971" max="8971" width="10.42578125" style="43" customWidth="1"/>
    <col min="8972" max="8972" width="8.7109375" style="43" customWidth="1"/>
    <col min="8973" max="8973" width="0" style="43" hidden="1" customWidth="1"/>
    <col min="8974" max="8974" width="10.140625" style="43" bestFit="1" customWidth="1"/>
    <col min="8975" max="8975" width="10.140625" style="43" customWidth="1"/>
    <col min="8976" max="8976" width="0" style="43" hidden="1" customWidth="1"/>
    <col min="8977" max="8977" width="10" style="43" customWidth="1"/>
    <col min="8978" max="8978" width="12.85546875" style="43" customWidth="1"/>
    <col min="8979" max="9217" width="9.140625" style="43"/>
    <col min="9218" max="9218" width="4.140625" style="43" customWidth="1"/>
    <col min="9219" max="9219" width="25.5703125" style="43" customWidth="1"/>
    <col min="9220" max="9220" width="0" style="43" hidden="1" customWidth="1"/>
    <col min="9221" max="9221" width="9.140625" style="43" bestFit="1" customWidth="1"/>
    <col min="9222" max="9222" width="9.140625" style="43" customWidth="1"/>
    <col min="9223" max="9223" width="8.85546875" style="43" customWidth="1"/>
    <col min="9224" max="9225" width="10.7109375" style="43" customWidth="1"/>
    <col min="9226" max="9226" width="10" style="43" customWidth="1"/>
    <col min="9227" max="9227" width="10.42578125" style="43" customWidth="1"/>
    <col min="9228" max="9228" width="8.7109375" style="43" customWidth="1"/>
    <col min="9229" max="9229" width="0" style="43" hidden="1" customWidth="1"/>
    <col min="9230" max="9230" width="10.140625" style="43" bestFit="1" customWidth="1"/>
    <col min="9231" max="9231" width="10.140625" style="43" customWidth="1"/>
    <col min="9232" max="9232" width="0" style="43" hidden="1" customWidth="1"/>
    <col min="9233" max="9233" width="10" style="43" customWidth="1"/>
    <col min="9234" max="9234" width="12.85546875" style="43" customWidth="1"/>
    <col min="9235" max="9473" width="9.140625" style="43"/>
    <col min="9474" max="9474" width="4.140625" style="43" customWidth="1"/>
    <col min="9475" max="9475" width="25.5703125" style="43" customWidth="1"/>
    <col min="9476" max="9476" width="0" style="43" hidden="1" customWidth="1"/>
    <col min="9477" max="9477" width="9.140625" style="43" bestFit="1" customWidth="1"/>
    <col min="9478" max="9478" width="9.140625" style="43" customWidth="1"/>
    <col min="9479" max="9479" width="8.85546875" style="43" customWidth="1"/>
    <col min="9480" max="9481" width="10.7109375" style="43" customWidth="1"/>
    <col min="9482" max="9482" width="10" style="43" customWidth="1"/>
    <col min="9483" max="9483" width="10.42578125" style="43" customWidth="1"/>
    <col min="9484" max="9484" width="8.7109375" style="43" customWidth="1"/>
    <col min="9485" max="9485" width="0" style="43" hidden="1" customWidth="1"/>
    <col min="9486" max="9486" width="10.140625" style="43" bestFit="1" customWidth="1"/>
    <col min="9487" max="9487" width="10.140625" style="43" customWidth="1"/>
    <col min="9488" max="9488" width="0" style="43" hidden="1" customWidth="1"/>
    <col min="9489" max="9489" width="10" style="43" customWidth="1"/>
    <col min="9490" max="9490" width="12.85546875" style="43" customWidth="1"/>
    <col min="9491" max="9729" width="9.140625" style="43"/>
    <col min="9730" max="9730" width="4.140625" style="43" customWidth="1"/>
    <col min="9731" max="9731" width="25.5703125" style="43" customWidth="1"/>
    <col min="9732" max="9732" width="0" style="43" hidden="1" customWidth="1"/>
    <col min="9733" max="9733" width="9.140625" style="43" bestFit="1" customWidth="1"/>
    <col min="9734" max="9734" width="9.140625" style="43" customWidth="1"/>
    <col min="9735" max="9735" width="8.85546875" style="43" customWidth="1"/>
    <col min="9736" max="9737" width="10.7109375" style="43" customWidth="1"/>
    <col min="9738" max="9738" width="10" style="43" customWidth="1"/>
    <col min="9739" max="9739" width="10.42578125" style="43" customWidth="1"/>
    <col min="9740" max="9740" width="8.7109375" style="43" customWidth="1"/>
    <col min="9741" max="9741" width="0" style="43" hidden="1" customWidth="1"/>
    <col min="9742" max="9742" width="10.140625" style="43" bestFit="1" customWidth="1"/>
    <col min="9743" max="9743" width="10.140625" style="43" customWidth="1"/>
    <col min="9744" max="9744" width="0" style="43" hidden="1" customWidth="1"/>
    <col min="9745" max="9745" width="10" style="43" customWidth="1"/>
    <col min="9746" max="9746" width="12.85546875" style="43" customWidth="1"/>
    <col min="9747" max="9985" width="9.140625" style="43"/>
    <col min="9986" max="9986" width="4.140625" style="43" customWidth="1"/>
    <col min="9987" max="9987" width="25.5703125" style="43" customWidth="1"/>
    <col min="9988" max="9988" width="0" style="43" hidden="1" customWidth="1"/>
    <col min="9989" max="9989" width="9.140625" style="43" bestFit="1" customWidth="1"/>
    <col min="9990" max="9990" width="9.140625" style="43" customWidth="1"/>
    <col min="9991" max="9991" width="8.85546875" style="43" customWidth="1"/>
    <col min="9992" max="9993" width="10.7109375" style="43" customWidth="1"/>
    <col min="9994" max="9994" width="10" style="43" customWidth="1"/>
    <col min="9995" max="9995" width="10.42578125" style="43" customWidth="1"/>
    <col min="9996" max="9996" width="8.7109375" style="43" customWidth="1"/>
    <col min="9997" max="9997" width="0" style="43" hidden="1" customWidth="1"/>
    <col min="9998" max="9998" width="10.140625" style="43" bestFit="1" customWidth="1"/>
    <col min="9999" max="9999" width="10.140625" style="43" customWidth="1"/>
    <col min="10000" max="10000" width="0" style="43" hidden="1" customWidth="1"/>
    <col min="10001" max="10001" width="10" style="43" customWidth="1"/>
    <col min="10002" max="10002" width="12.85546875" style="43" customWidth="1"/>
    <col min="10003" max="10241" width="9.140625" style="43"/>
    <col min="10242" max="10242" width="4.140625" style="43" customWidth="1"/>
    <col min="10243" max="10243" width="25.5703125" style="43" customWidth="1"/>
    <col min="10244" max="10244" width="0" style="43" hidden="1" customWidth="1"/>
    <col min="10245" max="10245" width="9.140625" style="43" bestFit="1" customWidth="1"/>
    <col min="10246" max="10246" width="9.140625" style="43" customWidth="1"/>
    <col min="10247" max="10247" width="8.85546875" style="43" customWidth="1"/>
    <col min="10248" max="10249" width="10.7109375" style="43" customWidth="1"/>
    <col min="10250" max="10250" width="10" style="43" customWidth="1"/>
    <col min="10251" max="10251" width="10.42578125" style="43" customWidth="1"/>
    <col min="10252" max="10252" width="8.7109375" style="43" customWidth="1"/>
    <col min="10253" max="10253" width="0" style="43" hidden="1" customWidth="1"/>
    <col min="10254" max="10254" width="10.140625" style="43" bestFit="1" customWidth="1"/>
    <col min="10255" max="10255" width="10.140625" style="43" customWidth="1"/>
    <col min="10256" max="10256" width="0" style="43" hidden="1" customWidth="1"/>
    <col min="10257" max="10257" width="10" style="43" customWidth="1"/>
    <col min="10258" max="10258" width="12.85546875" style="43" customWidth="1"/>
    <col min="10259" max="10497" width="9.140625" style="43"/>
    <col min="10498" max="10498" width="4.140625" style="43" customWidth="1"/>
    <col min="10499" max="10499" width="25.5703125" style="43" customWidth="1"/>
    <col min="10500" max="10500" width="0" style="43" hidden="1" customWidth="1"/>
    <col min="10501" max="10501" width="9.140625" style="43" bestFit="1" customWidth="1"/>
    <col min="10502" max="10502" width="9.140625" style="43" customWidth="1"/>
    <col min="10503" max="10503" width="8.85546875" style="43" customWidth="1"/>
    <col min="10504" max="10505" width="10.7109375" style="43" customWidth="1"/>
    <col min="10506" max="10506" width="10" style="43" customWidth="1"/>
    <col min="10507" max="10507" width="10.42578125" style="43" customWidth="1"/>
    <col min="10508" max="10508" width="8.7109375" style="43" customWidth="1"/>
    <col min="10509" max="10509" width="0" style="43" hidden="1" customWidth="1"/>
    <col min="10510" max="10510" width="10.140625" style="43" bestFit="1" customWidth="1"/>
    <col min="10511" max="10511" width="10.140625" style="43" customWidth="1"/>
    <col min="10512" max="10512" width="0" style="43" hidden="1" customWidth="1"/>
    <col min="10513" max="10513" width="10" style="43" customWidth="1"/>
    <col min="10514" max="10514" width="12.85546875" style="43" customWidth="1"/>
    <col min="10515" max="10753" width="9.140625" style="43"/>
    <col min="10754" max="10754" width="4.140625" style="43" customWidth="1"/>
    <col min="10755" max="10755" width="25.5703125" style="43" customWidth="1"/>
    <col min="10756" max="10756" width="0" style="43" hidden="1" customWidth="1"/>
    <col min="10757" max="10757" width="9.140625" style="43" bestFit="1" customWidth="1"/>
    <col min="10758" max="10758" width="9.140625" style="43" customWidth="1"/>
    <col min="10759" max="10759" width="8.85546875" style="43" customWidth="1"/>
    <col min="10760" max="10761" width="10.7109375" style="43" customWidth="1"/>
    <col min="10762" max="10762" width="10" style="43" customWidth="1"/>
    <col min="10763" max="10763" width="10.42578125" style="43" customWidth="1"/>
    <col min="10764" max="10764" width="8.7109375" style="43" customWidth="1"/>
    <col min="10765" max="10765" width="0" style="43" hidden="1" customWidth="1"/>
    <col min="10766" max="10766" width="10.140625" style="43" bestFit="1" customWidth="1"/>
    <col min="10767" max="10767" width="10.140625" style="43" customWidth="1"/>
    <col min="10768" max="10768" width="0" style="43" hidden="1" customWidth="1"/>
    <col min="10769" max="10769" width="10" style="43" customWidth="1"/>
    <col min="10770" max="10770" width="12.85546875" style="43" customWidth="1"/>
    <col min="10771" max="11009" width="9.140625" style="43"/>
    <col min="11010" max="11010" width="4.140625" style="43" customWidth="1"/>
    <col min="11011" max="11011" width="25.5703125" style="43" customWidth="1"/>
    <col min="11012" max="11012" width="0" style="43" hidden="1" customWidth="1"/>
    <col min="11013" max="11013" width="9.140625" style="43" bestFit="1" customWidth="1"/>
    <col min="11014" max="11014" width="9.140625" style="43" customWidth="1"/>
    <col min="11015" max="11015" width="8.85546875" style="43" customWidth="1"/>
    <col min="11016" max="11017" width="10.7109375" style="43" customWidth="1"/>
    <col min="11018" max="11018" width="10" style="43" customWidth="1"/>
    <col min="11019" max="11019" width="10.42578125" style="43" customWidth="1"/>
    <col min="11020" max="11020" width="8.7109375" style="43" customWidth="1"/>
    <col min="11021" max="11021" width="0" style="43" hidden="1" customWidth="1"/>
    <col min="11022" max="11022" width="10.140625" style="43" bestFit="1" customWidth="1"/>
    <col min="11023" max="11023" width="10.140625" style="43" customWidth="1"/>
    <col min="11024" max="11024" width="0" style="43" hidden="1" customWidth="1"/>
    <col min="11025" max="11025" width="10" style="43" customWidth="1"/>
    <col min="11026" max="11026" width="12.85546875" style="43" customWidth="1"/>
    <col min="11027" max="11265" width="9.140625" style="43"/>
    <col min="11266" max="11266" width="4.140625" style="43" customWidth="1"/>
    <col min="11267" max="11267" width="25.5703125" style="43" customWidth="1"/>
    <col min="11268" max="11268" width="0" style="43" hidden="1" customWidth="1"/>
    <col min="11269" max="11269" width="9.140625" style="43" bestFit="1" customWidth="1"/>
    <col min="11270" max="11270" width="9.140625" style="43" customWidth="1"/>
    <col min="11271" max="11271" width="8.85546875" style="43" customWidth="1"/>
    <col min="11272" max="11273" width="10.7109375" style="43" customWidth="1"/>
    <col min="11274" max="11274" width="10" style="43" customWidth="1"/>
    <col min="11275" max="11275" width="10.42578125" style="43" customWidth="1"/>
    <col min="11276" max="11276" width="8.7109375" style="43" customWidth="1"/>
    <col min="11277" max="11277" width="0" style="43" hidden="1" customWidth="1"/>
    <col min="11278" max="11278" width="10.140625" style="43" bestFit="1" customWidth="1"/>
    <col min="11279" max="11279" width="10.140625" style="43" customWidth="1"/>
    <col min="11280" max="11280" width="0" style="43" hidden="1" customWidth="1"/>
    <col min="11281" max="11281" width="10" style="43" customWidth="1"/>
    <col min="11282" max="11282" width="12.85546875" style="43" customWidth="1"/>
    <col min="11283" max="11521" width="9.140625" style="43"/>
    <col min="11522" max="11522" width="4.140625" style="43" customWidth="1"/>
    <col min="11523" max="11523" width="25.5703125" style="43" customWidth="1"/>
    <col min="11524" max="11524" width="0" style="43" hidden="1" customWidth="1"/>
    <col min="11525" max="11525" width="9.140625" style="43" bestFit="1" customWidth="1"/>
    <col min="11526" max="11526" width="9.140625" style="43" customWidth="1"/>
    <col min="11527" max="11527" width="8.85546875" style="43" customWidth="1"/>
    <col min="11528" max="11529" width="10.7109375" style="43" customWidth="1"/>
    <col min="11530" max="11530" width="10" style="43" customWidth="1"/>
    <col min="11531" max="11531" width="10.42578125" style="43" customWidth="1"/>
    <col min="11532" max="11532" width="8.7109375" style="43" customWidth="1"/>
    <col min="11533" max="11533" width="0" style="43" hidden="1" customWidth="1"/>
    <col min="11534" max="11534" width="10.140625" style="43" bestFit="1" customWidth="1"/>
    <col min="11535" max="11535" width="10.140625" style="43" customWidth="1"/>
    <col min="11536" max="11536" width="0" style="43" hidden="1" customWidth="1"/>
    <col min="11537" max="11537" width="10" style="43" customWidth="1"/>
    <col min="11538" max="11538" width="12.85546875" style="43" customWidth="1"/>
    <col min="11539" max="11777" width="9.140625" style="43"/>
    <col min="11778" max="11778" width="4.140625" style="43" customWidth="1"/>
    <col min="11779" max="11779" width="25.5703125" style="43" customWidth="1"/>
    <col min="11780" max="11780" width="0" style="43" hidden="1" customWidth="1"/>
    <col min="11781" max="11781" width="9.140625" style="43" bestFit="1" customWidth="1"/>
    <col min="11782" max="11782" width="9.140625" style="43" customWidth="1"/>
    <col min="11783" max="11783" width="8.85546875" style="43" customWidth="1"/>
    <col min="11784" max="11785" width="10.7109375" style="43" customWidth="1"/>
    <col min="11786" max="11786" width="10" style="43" customWidth="1"/>
    <col min="11787" max="11787" width="10.42578125" style="43" customWidth="1"/>
    <col min="11788" max="11788" width="8.7109375" style="43" customWidth="1"/>
    <col min="11789" max="11789" width="0" style="43" hidden="1" customWidth="1"/>
    <col min="11790" max="11790" width="10.140625" style="43" bestFit="1" customWidth="1"/>
    <col min="11791" max="11791" width="10.140625" style="43" customWidth="1"/>
    <col min="11792" max="11792" width="0" style="43" hidden="1" customWidth="1"/>
    <col min="11793" max="11793" width="10" style="43" customWidth="1"/>
    <col min="11794" max="11794" width="12.85546875" style="43" customWidth="1"/>
    <col min="11795" max="12033" width="9.140625" style="43"/>
    <col min="12034" max="12034" width="4.140625" style="43" customWidth="1"/>
    <col min="12035" max="12035" width="25.5703125" style="43" customWidth="1"/>
    <col min="12036" max="12036" width="0" style="43" hidden="1" customWidth="1"/>
    <col min="12037" max="12037" width="9.140625" style="43" bestFit="1" customWidth="1"/>
    <col min="12038" max="12038" width="9.140625" style="43" customWidth="1"/>
    <col min="12039" max="12039" width="8.85546875" style="43" customWidth="1"/>
    <col min="12040" max="12041" width="10.7109375" style="43" customWidth="1"/>
    <col min="12042" max="12042" width="10" style="43" customWidth="1"/>
    <col min="12043" max="12043" width="10.42578125" style="43" customWidth="1"/>
    <col min="12044" max="12044" width="8.7109375" style="43" customWidth="1"/>
    <col min="12045" max="12045" width="0" style="43" hidden="1" customWidth="1"/>
    <col min="12046" max="12046" width="10.140625" style="43" bestFit="1" customWidth="1"/>
    <col min="12047" max="12047" width="10.140625" style="43" customWidth="1"/>
    <col min="12048" max="12048" width="0" style="43" hidden="1" customWidth="1"/>
    <col min="12049" max="12049" width="10" style="43" customWidth="1"/>
    <col min="12050" max="12050" width="12.85546875" style="43" customWidth="1"/>
    <col min="12051" max="12289" width="9.140625" style="43"/>
    <col min="12290" max="12290" width="4.140625" style="43" customWidth="1"/>
    <col min="12291" max="12291" width="25.5703125" style="43" customWidth="1"/>
    <col min="12292" max="12292" width="0" style="43" hidden="1" customWidth="1"/>
    <col min="12293" max="12293" width="9.140625" style="43" bestFit="1" customWidth="1"/>
    <col min="12294" max="12294" width="9.140625" style="43" customWidth="1"/>
    <col min="12295" max="12295" width="8.85546875" style="43" customWidth="1"/>
    <col min="12296" max="12297" width="10.7109375" style="43" customWidth="1"/>
    <col min="12298" max="12298" width="10" style="43" customWidth="1"/>
    <col min="12299" max="12299" width="10.42578125" style="43" customWidth="1"/>
    <col min="12300" max="12300" width="8.7109375" style="43" customWidth="1"/>
    <col min="12301" max="12301" width="0" style="43" hidden="1" customWidth="1"/>
    <col min="12302" max="12302" width="10.140625" style="43" bestFit="1" customWidth="1"/>
    <col min="12303" max="12303" width="10.140625" style="43" customWidth="1"/>
    <col min="12304" max="12304" width="0" style="43" hidden="1" customWidth="1"/>
    <col min="12305" max="12305" width="10" style="43" customWidth="1"/>
    <col min="12306" max="12306" width="12.85546875" style="43" customWidth="1"/>
    <col min="12307" max="12545" width="9.140625" style="43"/>
    <col min="12546" max="12546" width="4.140625" style="43" customWidth="1"/>
    <col min="12547" max="12547" width="25.5703125" style="43" customWidth="1"/>
    <col min="12548" max="12548" width="0" style="43" hidden="1" customWidth="1"/>
    <col min="12549" max="12549" width="9.140625" style="43" bestFit="1" customWidth="1"/>
    <col min="12550" max="12550" width="9.140625" style="43" customWidth="1"/>
    <col min="12551" max="12551" width="8.85546875" style="43" customWidth="1"/>
    <col min="12552" max="12553" width="10.7109375" style="43" customWidth="1"/>
    <col min="12554" max="12554" width="10" style="43" customWidth="1"/>
    <col min="12555" max="12555" width="10.42578125" style="43" customWidth="1"/>
    <col min="12556" max="12556" width="8.7109375" style="43" customWidth="1"/>
    <col min="12557" max="12557" width="0" style="43" hidden="1" customWidth="1"/>
    <col min="12558" max="12558" width="10.140625" style="43" bestFit="1" customWidth="1"/>
    <col min="12559" max="12559" width="10.140625" style="43" customWidth="1"/>
    <col min="12560" max="12560" width="0" style="43" hidden="1" customWidth="1"/>
    <col min="12561" max="12561" width="10" style="43" customWidth="1"/>
    <col min="12562" max="12562" width="12.85546875" style="43" customWidth="1"/>
    <col min="12563" max="12801" width="9.140625" style="43"/>
    <col min="12802" max="12802" width="4.140625" style="43" customWidth="1"/>
    <col min="12803" max="12803" width="25.5703125" style="43" customWidth="1"/>
    <col min="12804" max="12804" width="0" style="43" hidden="1" customWidth="1"/>
    <col min="12805" max="12805" width="9.140625" style="43" bestFit="1" customWidth="1"/>
    <col min="12806" max="12806" width="9.140625" style="43" customWidth="1"/>
    <col min="12807" max="12807" width="8.85546875" style="43" customWidth="1"/>
    <col min="12808" max="12809" width="10.7109375" style="43" customWidth="1"/>
    <col min="12810" max="12810" width="10" style="43" customWidth="1"/>
    <col min="12811" max="12811" width="10.42578125" style="43" customWidth="1"/>
    <col min="12812" max="12812" width="8.7109375" style="43" customWidth="1"/>
    <col min="12813" max="12813" width="0" style="43" hidden="1" customWidth="1"/>
    <col min="12814" max="12814" width="10.140625" style="43" bestFit="1" customWidth="1"/>
    <col min="12815" max="12815" width="10.140625" style="43" customWidth="1"/>
    <col min="12816" max="12816" width="0" style="43" hidden="1" customWidth="1"/>
    <col min="12817" max="12817" width="10" style="43" customWidth="1"/>
    <col min="12818" max="12818" width="12.85546875" style="43" customWidth="1"/>
    <col min="12819" max="13057" width="9.140625" style="43"/>
    <col min="13058" max="13058" width="4.140625" style="43" customWidth="1"/>
    <col min="13059" max="13059" width="25.5703125" style="43" customWidth="1"/>
    <col min="13060" max="13060" width="0" style="43" hidden="1" customWidth="1"/>
    <col min="13061" max="13061" width="9.140625" style="43" bestFit="1" customWidth="1"/>
    <col min="13062" max="13062" width="9.140625" style="43" customWidth="1"/>
    <col min="13063" max="13063" width="8.85546875" style="43" customWidth="1"/>
    <col min="13064" max="13065" width="10.7109375" style="43" customWidth="1"/>
    <col min="13066" max="13066" width="10" style="43" customWidth="1"/>
    <col min="13067" max="13067" width="10.42578125" style="43" customWidth="1"/>
    <col min="13068" max="13068" width="8.7109375" style="43" customWidth="1"/>
    <col min="13069" max="13069" width="0" style="43" hidden="1" customWidth="1"/>
    <col min="13070" max="13070" width="10.140625" style="43" bestFit="1" customWidth="1"/>
    <col min="13071" max="13071" width="10.140625" style="43" customWidth="1"/>
    <col min="13072" max="13072" width="0" style="43" hidden="1" customWidth="1"/>
    <col min="13073" max="13073" width="10" style="43" customWidth="1"/>
    <col min="13074" max="13074" width="12.85546875" style="43" customWidth="1"/>
    <col min="13075" max="13313" width="9.140625" style="43"/>
    <col min="13314" max="13314" width="4.140625" style="43" customWidth="1"/>
    <col min="13315" max="13315" width="25.5703125" style="43" customWidth="1"/>
    <col min="13316" max="13316" width="0" style="43" hidden="1" customWidth="1"/>
    <col min="13317" max="13317" width="9.140625" style="43" bestFit="1" customWidth="1"/>
    <col min="13318" max="13318" width="9.140625" style="43" customWidth="1"/>
    <col min="13319" max="13319" width="8.85546875" style="43" customWidth="1"/>
    <col min="13320" max="13321" width="10.7109375" style="43" customWidth="1"/>
    <col min="13322" max="13322" width="10" style="43" customWidth="1"/>
    <col min="13323" max="13323" width="10.42578125" style="43" customWidth="1"/>
    <col min="13324" max="13324" width="8.7109375" style="43" customWidth="1"/>
    <col min="13325" max="13325" width="0" style="43" hidden="1" customWidth="1"/>
    <col min="13326" max="13326" width="10.140625" style="43" bestFit="1" customWidth="1"/>
    <col min="13327" max="13327" width="10.140625" style="43" customWidth="1"/>
    <col min="13328" max="13328" width="0" style="43" hidden="1" customWidth="1"/>
    <col min="13329" max="13329" width="10" style="43" customWidth="1"/>
    <col min="13330" max="13330" width="12.85546875" style="43" customWidth="1"/>
    <col min="13331" max="13569" width="9.140625" style="43"/>
    <col min="13570" max="13570" width="4.140625" style="43" customWidth="1"/>
    <col min="13571" max="13571" width="25.5703125" style="43" customWidth="1"/>
    <col min="13572" max="13572" width="0" style="43" hidden="1" customWidth="1"/>
    <col min="13573" max="13573" width="9.140625" style="43" bestFit="1" customWidth="1"/>
    <col min="13574" max="13574" width="9.140625" style="43" customWidth="1"/>
    <col min="13575" max="13575" width="8.85546875" style="43" customWidth="1"/>
    <col min="13576" max="13577" width="10.7109375" style="43" customWidth="1"/>
    <col min="13578" max="13578" width="10" style="43" customWidth="1"/>
    <col min="13579" max="13579" width="10.42578125" style="43" customWidth="1"/>
    <col min="13580" max="13580" width="8.7109375" style="43" customWidth="1"/>
    <col min="13581" max="13581" width="0" style="43" hidden="1" customWidth="1"/>
    <col min="13582" max="13582" width="10.140625" style="43" bestFit="1" customWidth="1"/>
    <col min="13583" max="13583" width="10.140625" style="43" customWidth="1"/>
    <col min="13584" max="13584" width="0" style="43" hidden="1" customWidth="1"/>
    <col min="13585" max="13585" width="10" style="43" customWidth="1"/>
    <col min="13586" max="13586" width="12.85546875" style="43" customWidth="1"/>
    <col min="13587" max="13825" width="9.140625" style="43"/>
    <col min="13826" max="13826" width="4.140625" style="43" customWidth="1"/>
    <col min="13827" max="13827" width="25.5703125" style="43" customWidth="1"/>
    <col min="13828" max="13828" width="0" style="43" hidden="1" customWidth="1"/>
    <col min="13829" max="13829" width="9.140625" style="43" bestFit="1" customWidth="1"/>
    <col min="13830" max="13830" width="9.140625" style="43" customWidth="1"/>
    <col min="13831" max="13831" width="8.85546875" style="43" customWidth="1"/>
    <col min="13832" max="13833" width="10.7109375" style="43" customWidth="1"/>
    <col min="13834" max="13834" width="10" style="43" customWidth="1"/>
    <col min="13835" max="13835" width="10.42578125" style="43" customWidth="1"/>
    <col min="13836" max="13836" width="8.7109375" style="43" customWidth="1"/>
    <col min="13837" max="13837" width="0" style="43" hidden="1" customWidth="1"/>
    <col min="13838" max="13838" width="10.140625" style="43" bestFit="1" customWidth="1"/>
    <col min="13839" max="13839" width="10.140625" style="43" customWidth="1"/>
    <col min="13840" max="13840" width="0" style="43" hidden="1" customWidth="1"/>
    <col min="13841" max="13841" width="10" style="43" customWidth="1"/>
    <col min="13842" max="13842" width="12.85546875" style="43" customWidth="1"/>
    <col min="13843" max="14081" width="9.140625" style="43"/>
    <col min="14082" max="14082" width="4.140625" style="43" customWidth="1"/>
    <col min="14083" max="14083" width="25.5703125" style="43" customWidth="1"/>
    <col min="14084" max="14084" width="0" style="43" hidden="1" customWidth="1"/>
    <col min="14085" max="14085" width="9.140625" style="43" bestFit="1" customWidth="1"/>
    <col min="14086" max="14086" width="9.140625" style="43" customWidth="1"/>
    <col min="14087" max="14087" width="8.85546875" style="43" customWidth="1"/>
    <col min="14088" max="14089" width="10.7109375" style="43" customWidth="1"/>
    <col min="14090" max="14090" width="10" style="43" customWidth="1"/>
    <col min="14091" max="14091" width="10.42578125" style="43" customWidth="1"/>
    <col min="14092" max="14092" width="8.7109375" style="43" customWidth="1"/>
    <col min="14093" max="14093" width="0" style="43" hidden="1" customWidth="1"/>
    <col min="14094" max="14094" width="10.140625" style="43" bestFit="1" customWidth="1"/>
    <col min="14095" max="14095" width="10.140625" style="43" customWidth="1"/>
    <col min="14096" max="14096" width="0" style="43" hidden="1" customWidth="1"/>
    <col min="14097" max="14097" width="10" style="43" customWidth="1"/>
    <col min="14098" max="14098" width="12.85546875" style="43" customWidth="1"/>
    <col min="14099" max="14337" width="9.140625" style="43"/>
    <col min="14338" max="14338" width="4.140625" style="43" customWidth="1"/>
    <col min="14339" max="14339" width="25.5703125" style="43" customWidth="1"/>
    <col min="14340" max="14340" width="0" style="43" hidden="1" customWidth="1"/>
    <col min="14341" max="14341" width="9.140625" style="43" bestFit="1" customWidth="1"/>
    <col min="14342" max="14342" width="9.140625" style="43" customWidth="1"/>
    <col min="14343" max="14343" width="8.85546875" style="43" customWidth="1"/>
    <col min="14344" max="14345" width="10.7109375" style="43" customWidth="1"/>
    <col min="14346" max="14346" width="10" style="43" customWidth="1"/>
    <col min="14347" max="14347" width="10.42578125" style="43" customWidth="1"/>
    <col min="14348" max="14348" width="8.7109375" style="43" customWidth="1"/>
    <col min="14349" max="14349" width="0" style="43" hidden="1" customWidth="1"/>
    <col min="14350" max="14350" width="10.140625" style="43" bestFit="1" customWidth="1"/>
    <col min="14351" max="14351" width="10.140625" style="43" customWidth="1"/>
    <col min="14352" max="14352" width="0" style="43" hidden="1" customWidth="1"/>
    <col min="14353" max="14353" width="10" style="43" customWidth="1"/>
    <col min="14354" max="14354" width="12.85546875" style="43" customWidth="1"/>
    <col min="14355" max="14593" width="9.140625" style="43"/>
    <col min="14594" max="14594" width="4.140625" style="43" customWidth="1"/>
    <col min="14595" max="14595" width="25.5703125" style="43" customWidth="1"/>
    <col min="14596" max="14596" width="0" style="43" hidden="1" customWidth="1"/>
    <col min="14597" max="14597" width="9.140625" style="43" bestFit="1" customWidth="1"/>
    <col min="14598" max="14598" width="9.140625" style="43" customWidth="1"/>
    <col min="14599" max="14599" width="8.85546875" style="43" customWidth="1"/>
    <col min="14600" max="14601" width="10.7109375" style="43" customWidth="1"/>
    <col min="14602" max="14602" width="10" style="43" customWidth="1"/>
    <col min="14603" max="14603" width="10.42578125" style="43" customWidth="1"/>
    <col min="14604" max="14604" width="8.7109375" style="43" customWidth="1"/>
    <col min="14605" max="14605" width="0" style="43" hidden="1" customWidth="1"/>
    <col min="14606" max="14606" width="10.140625" style="43" bestFit="1" customWidth="1"/>
    <col min="14607" max="14607" width="10.140625" style="43" customWidth="1"/>
    <col min="14608" max="14608" width="0" style="43" hidden="1" customWidth="1"/>
    <col min="14609" max="14609" width="10" style="43" customWidth="1"/>
    <col min="14610" max="14610" width="12.85546875" style="43" customWidth="1"/>
    <col min="14611" max="14849" width="9.140625" style="43"/>
    <col min="14850" max="14850" width="4.140625" style="43" customWidth="1"/>
    <col min="14851" max="14851" width="25.5703125" style="43" customWidth="1"/>
    <col min="14852" max="14852" width="0" style="43" hidden="1" customWidth="1"/>
    <col min="14853" max="14853" width="9.140625" style="43" bestFit="1" customWidth="1"/>
    <col min="14854" max="14854" width="9.140625" style="43" customWidth="1"/>
    <col min="14855" max="14855" width="8.85546875" style="43" customWidth="1"/>
    <col min="14856" max="14857" width="10.7109375" style="43" customWidth="1"/>
    <col min="14858" max="14858" width="10" style="43" customWidth="1"/>
    <col min="14859" max="14859" width="10.42578125" style="43" customWidth="1"/>
    <col min="14860" max="14860" width="8.7109375" style="43" customWidth="1"/>
    <col min="14861" max="14861" width="0" style="43" hidden="1" customWidth="1"/>
    <col min="14862" max="14862" width="10.140625" style="43" bestFit="1" customWidth="1"/>
    <col min="14863" max="14863" width="10.140625" style="43" customWidth="1"/>
    <col min="14864" max="14864" width="0" style="43" hidden="1" customWidth="1"/>
    <col min="14865" max="14865" width="10" style="43" customWidth="1"/>
    <col min="14866" max="14866" width="12.85546875" style="43" customWidth="1"/>
    <col min="14867" max="15105" width="9.140625" style="43"/>
    <col min="15106" max="15106" width="4.140625" style="43" customWidth="1"/>
    <col min="15107" max="15107" width="25.5703125" style="43" customWidth="1"/>
    <col min="15108" max="15108" width="0" style="43" hidden="1" customWidth="1"/>
    <col min="15109" max="15109" width="9.140625" style="43" bestFit="1" customWidth="1"/>
    <col min="15110" max="15110" width="9.140625" style="43" customWidth="1"/>
    <col min="15111" max="15111" width="8.85546875" style="43" customWidth="1"/>
    <col min="15112" max="15113" width="10.7109375" style="43" customWidth="1"/>
    <col min="15114" max="15114" width="10" style="43" customWidth="1"/>
    <col min="15115" max="15115" width="10.42578125" style="43" customWidth="1"/>
    <col min="15116" max="15116" width="8.7109375" style="43" customWidth="1"/>
    <col min="15117" max="15117" width="0" style="43" hidden="1" customWidth="1"/>
    <col min="15118" max="15118" width="10.140625" style="43" bestFit="1" customWidth="1"/>
    <col min="15119" max="15119" width="10.140625" style="43" customWidth="1"/>
    <col min="15120" max="15120" width="0" style="43" hidden="1" customWidth="1"/>
    <col min="15121" max="15121" width="10" style="43" customWidth="1"/>
    <col min="15122" max="15122" width="12.85546875" style="43" customWidth="1"/>
    <col min="15123" max="15361" width="9.140625" style="43"/>
    <col min="15362" max="15362" width="4.140625" style="43" customWidth="1"/>
    <col min="15363" max="15363" width="25.5703125" style="43" customWidth="1"/>
    <col min="15364" max="15364" width="0" style="43" hidden="1" customWidth="1"/>
    <col min="15365" max="15365" width="9.140625" style="43" bestFit="1" customWidth="1"/>
    <col min="15366" max="15366" width="9.140625" style="43" customWidth="1"/>
    <col min="15367" max="15367" width="8.85546875" style="43" customWidth="1"/>
    <col min="15368" max="15369" width="10.7109375" style="43" customWidth="1"/>
    <col min="15370" max="15370" width="10" style="43" customWidth="1"/>
    <col min="15371" max="15371" width="10.42578125" style="43" customWidth="1"/>
    <col min="15372" max="15372" width="8.7109375" style="43" customWidth="1"/>
    <col min="15373" max="15373" width="0" style="43" hidden="1" customWidth="1"/>
    <col min="15374" max="15374" width="10.140625" style="43" bestFit="1" customWidth="1"/>
    <col min="15375" max="15375" width="10.140625" style="43" customWidth="1"/>
    <col min="15376" max="15376" width="0" style="43" hidden="1" customWidth="1"/>
    <col min="15377" max="15377" width="10" style="43" customWidth="1"/>
    <col min="15378" max="15378" width="12.85546875" style="43" customWidth="1"/>
    <col min="15379" max="15617" width="9.140625" style="43"/>
    <col min="15618" max="15618" width="4.140625" style="43" customWidth="1"/>
    <col min="15619" max="15619" width="25.5703125" style="43" customWidth="1"/>
    <col min="15620" max="15620" width="0" style="43" hidden="1" customWidth="1"/>
    <col min="15621" max="15621" width="9.140625" style="43" bestFit="1" customWidth="1"/>
    <col min="15622" max="15622" width="9.140625" style="43" customWidth="1"/>
    <col min="15623" max="15623" width="8.85546875" style="43" customWidth="1"/>
    <col min="15624" max="15625" width="10.7109375" style="43" customWidth="1"/>
    <col min="15626" max="15626" width="10" style="43" customWidth="1"/>
    <col min="15627" max="15627" width="10.42578125" style="43" customWidth="1"/>
    <col min="15628" max="15628" width="8.7109375" style="43" customWidth="1"/>
    <col min="15629" max="15629" width="0" style="43" hidden="1" customWidth="1"/>
    <col min="15630" max="15630" width="10.140625" style="43" bestFit="1" customWidth="1"/>
    <col min="15631" max="15631" width="10.140625" style="43" customWidth="1"/>
    <col min="15632" max="15632" width="0" style="43" hidden="1" customWidth="1"/>
    <col min="15633" max="15633" width="10" style="43" customWidth="1"/>
    <col min="15634" max="15634" width="12.85546875" style="43" customWidth="1"/>
    <col min="15635" max="15873" width="9.140625" style="43"/>
    <col min="15874" max="15874" width="4.140625" style="43" customWidth="1"/>
    <col min="15875" max="15875" width="25.5703125" style="43" customWidth="1"/>
    <col min="15876" max="15876" width="0" style="43" hidden="1" customWidth="1"/>
    <col min="15877" max="15877" width="9.140625" style="43" bestFit="1" customWidth="1"/>
    <col min="15878" max="15878" width="9.140625" style="43" customWidth="1"/>
    <col min="15879" max="15879" width="8.85546875" style="43" customWidth="1"/>
    <col min="15880" max="15881" width="10.7109375" style="43" customWidth="1"/>
    <col min="15882" max="15882" width="10" style="43" customWidth="1"/>
    <col min="15883" max="15883" width="10.42578125" style="43" customWidth="1"/>
    <col min="15884" max="15884" width="8.7109375" style="43" customWidth="1"/>
    <col min="15885" max="15885" width="0" style="43" hidden="1" customWidth="1"/>
    <col min="15886" max="15886" width="10.140625" style="43" bestFit="1" customWidth="1"/>
    <col min="15887" max="15887" width="10.140625" style="43" customWidth="1"/>
    <col min="15888" max="15888" width="0" style="43" hidden="1" customWidth="1"/>
    <col min="15889" max="15889" width="10" style="43" customWidth="1"/>
    <col min="15890" max="15890" width="12.85546875" style="43" customWidth="1"/>
    <col min="15891" max="16129" width="9.140625" style="43"/>
    <col min="16130" max="16130" width="4.140625" style="43" customWidth="1"/>
    <col min="16131" max="16131" width="25.5703125" style="43" customWidth="1"/>
    <col min="16132" max="16132" width="0" style="43" hidden="1" customWidth="1"/>
    <col min="16133" max="16133" width="9.140625" style="43" bestFit="1" customWidth="1"/>
    <col min="16134" max="16134" width="9.140625" style="43" customWidth="1"/>
    <col min="16135" max="16135" width="8.85546875" style="43" customWidth="1"/>
    <col min="16136" max="16137" width="10.7109375" style="43" customWidth="1"/>
    <col min="16138" max="16138" width="10" style="43" customWidth="1"/>
    <col min="16139" max="16139" width="10.42578125" style="43" customWidth="1"/>
    <col min="16140" max="16140" width="8.7109375" style="43" customWidth="1"/>
    <col min="16141" max="16141" width="0" style="43" hidden="1" customWidth="1"/>
    <col min="16142" max="16142" width="10.140625" style="43" bestFit="1" customWidth="1"/>
    <col min="16143" max="16143" width="10.140625" style="43" customWidth="1"/>
    <col min="16144" max="16144" width="0" style="43" hidden="1" customWidth="1"/>
    <col min="16145" max="16145" width="10" style="43" customWidth="1"/>
    <col min="16146" max="16146" width="12.85546875" style="43" customWidth="1"/>
    <col min="16147" max="16383" width="9.140625" style="43"/>
    <col min="16384" max="16384" width="9.140625" style="43" customWidth="1"/>
  </cols>
  <sheetData>
    <row r="1" spans="1:22" ht="20.25">
      <c r="A1" s="145" t="s">
        <v>163</v>
      </c>
      <c r="B1" s="196"/>
      <c r="C1" s="196"/>
      <c r="D1" s="196"/>
      <c r="E1" s="196"/>
      <c r="F1" s="196"/>
      <c r="G1" s="196"/>
      <c r="H1" s="196"/>
      <c r="J1" s="196"/>
      <c r="K1" s="196"/>
      <c r="L1" s="196"/>
      <c r="M1" s="196"/>
      <c r="N1" s="196"/>
      <c r="O1" s="196"/>
    </row>
    <row r="2" spans="1:22" ht="16.5" thickBot="1"/>
    <row r="3" spans="1:22" s="110" customFormat="1" ht="47.25">
      <c r="A3" s="279" t="s">
        <v>164</v>
      </c>
      <c r="B3" s="280" t="s">
        <v>168</v>
      </c>
      <c r="C3" s="280" t="s">
        <v>165</v>
      </c>
      <c r="D3" s="280" t="s">
        <v>152</v>
      </c>
      <c r="E3" s="280" t="s">
        <v>404</v>
      </c>
      <c r="F3" s="280" t="s">
        <v>647</v>
      </c>
      <c r="G3" s="280" t="s">
        <v>384</v>
      </c>
      <c r="H3" s="280" t="s">
        <v>155</v>
      </c>
      <c r="I3" s="280" t="s">
        <v>504</v>
      </c>
      <c r="J3" s="280" t="s">
        <v>153</v>
      </c>
      <c r="K3" s="280" t="s">
        <v>67</v>
      </c>
      <c r="L3" s="280" t="s">
        <v>505</v>
      </c>
      <c r="M3" s="280" t="s">
        <v>151</v>
      </c>
      <c r="N3" s="280" t="s">
        <v>166</v>
      </c>
      <c r="O3" s="281" t="s">
        <v>75</v>
      </c>
    </row>
    <row r="4" spans="1:22" s="114" customFormat="1" ht="32.1" customHeight="1">
      <c r="A4" s="277" t="s">
        <v>260</v>
      </c>
      <c r="B4" s="111"/>
      <c r="C4" s="111"/>
      <c r="D4" s="111"/>
      <c r="E4" s="111"/>
      <c r="F4" s="111"/>
      <c r="G4" s="111"/>
      <c r="H4" s="111">
        <f>'תקציב הנדסה 2025 '!AA7</f>
        <v>15000000</v>
      </c>
      <c r="I4" s="111"/>
      <c r="J4" s="111"/>
      <c r="K4" s="111"/>
      <c r="L4" s="111"/>
      <c r="M4" s="111"/>
      <c r="N4" s="111"/>
      <c r="O4" s="278">
        <f t="shared" ref="O4:O13" si="0">SUM(B4:N4)</f>
        <v>15000000</v>
      </c>
      <c r="Q4" s="259"/>
      <c r="R4" s="259"/>
      <c r="S4" s="196"/>
      <c r="T4" s="110"/>
      <c r="U4" s="110"/>
    </row>
    <row r="5" spans="1:22" s="114" customFormat="1" ht="32.1" customHeight="1">
      <c r="A5" s="277" t="s">
        <v>167</v>
      </c>
      <c r="B5" s="111">
        <f>'תקציב החברה לפיתוח 2025'!AA9+'תקציב החברה לפיתוח 2025'!AA10+'תקציב החברה לפיתוח 2025'!AA41+'תקציב החברה לפיתוח 2025'!AA44+'תקציב החברה לפיתוח 2025'!AA116</f>
        <v>3411909</v>
      </c>
      <c r="C5" s="111"/>
      <c r="D5" s="111">
        <f>'תקציב החברה לפיתוח 2025'!AA30+'תקציב החברה לפיתוח 2025'!AA34+'תקציב החברה לפיתוח 2025'!AA37+'תקציב החברה לפיתוח 2025'!AA46+'תקציב החברה לפיתוח 2025'!AA50+'תקציב החברה לפיתוח 2025'!AA75</f>
        <v>9932258</v>
      </c>
      <c r="E5" s="111"/>
      <c r="F5" s="111"/>
      <c r="G5" s="111"/>
      <c r="H5" s="111">
        <f>'תקציב החברה לפיתוח 2025'!AA91-I5</f>
        <v>10000000</v>
      </c>
      <c r="I5" s="111">
        <f>1350000</f>
        <v>1350000</v>
      </c>
      <c r="J5" s="111"/>
      <c r="K5" s="111">
        <f>'תקציב החברה לפיתוח 2025'!AA84+'תקציב החברה לפיתוח 2025'!AA112</f>
        <v>8104990</v>
      </c>
      <c r="L5" s="111"/>
      <c r="M5" s="111"/>
      <c r="N5" s="111"/>
      <c r="O5" s="278">
        <f t="shared" si="0"/>
        <v>32799157</v>
      </c>
      <c r="Q5" s="259"/>
      <c r="R5" s="259"/>
      <c r="S5" s="259"/>
      <c r="T5" s="110"/>
      <c r="U5" s="110"/>
      <c r="V5" s="115"/>
    </row>
    <row r="6" spans="1:22" s="114" customFormat="1" ht="32.1" customHeight="1">
      <c r="A6" s="277" t="s">
        <v>426</v>
      </c>
      <c r="B6" s="111"/>
      <c r="C6" s="111"/>
      <c r="D6" s="111"/>
      <c r="E6" s="111"/>
      <c r="F6" s="111"/>
      <c r="G6" s="111">
        <f>'  תקציב מינהל תפעול 2025 '!AA99</f>
        <v>147362</v>
      </c>
      <c r="H6" s="111"/>
      <c r="I6" s="111">
        <f>'  תקציב מינהל תפעול 2025 '!AA100</f>
        <v>750000</v>
      </c>
      <c r="J6" s="111"/>
      <c r="K6" s="111"/>
      <c r="L6" s="111"/>
      <c r="M6" s="111"/>
      <c r="N6" s="111">
        <f>'  תקציב מינהל תפעול 2025 '!AA5</f>
        <v>15000000</v>
      </c>
      <c r="O6" s="278">
        <f t="shared" si="0"/>
        <v>15897362</v>
      </c>
      <c r="Q6" s="259"/>
      <c r="R6" s="259"/>
      <c r="S6" s="259"/>
      <c r="T6" s="110"/>
      <c r="U6" s="110"/>
      <c r="V6" s="115"/>
    </row>
    <row r="7" spans="1:22" s="114" customFormat="1" ht="32.1" customHeight="1">
      <c r="A7" s="277" t="s">
        <v>545</v>
      </c>
      <c r="B7" s="111"/>
      <c r="C7" s="111"/>
      <c r="D7" s="111"/>
      <c r="E7" s="111"/>
      <c r="F7" s="111"/>
      <c r="G7" s="111"/>
      <c r="H7" s="111">
        <f>'תקציב מינהל חינוך 2025'!AA13+'תקציב מינהל חינוך 2025'!AA12+'תקציב מינהל חינוך 2025'!AA14</f>
        <v>1174000</v>
      </c>
      <c r="I7" s="111"/>
      <c r="J7" s="111"/>
      <c r="K7" s="111"/>
      <c r="L7" s="111"/>
      <c r="M7" s="111"/>
      <c r="N7" s="111"/>
      <c r="O7" s="278">
        <f t="shared" si="0"/>
        <v>1174000</v>
      </c>
      <c r="Q7" s="259"/>
      <c r="R7" s="259"/>
      <c r="S7" s="110"/>
      <c r="T7" s="110"/>
      <c r="U7" s="110"/>
      <c r="V7" s="115"/>
    </row>
    <row r="8" spans="1:22" s="114" customFormat="1" ht="32.1" customHeight="1">
      <c r="A8" s="277" t="s">
        <v>625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278">
        <f>SUM(B8:N8)</f>
        <v>0</v>
      </c>
      <c r="Q8" s="259"/>
      <c r="R8" s="259"/>
      <c r="S8" s="110"/>
      <c r="T8" s="110"/>
      <c r="U8" s="110"/>
    </row>
    <row r="9" spans="1:22" s="114" customFormat="1" ht="32.1" customHeight="1">
      <c r="A9" s="277" t="s">
        <v>637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278">
        <f t="shared" si="0"/>
        <v>0</v>
      </c>
      <c r="Q9" s="259"/>
      <c r="R9" s="259"/>
      <c r="S9" s="110"/>
      <c r="T9" s="110"/>
      <c r="U9" s="110"/>
    </row>
    <row r="10" spans="1:22" s="114" customFormat="1" ht="32.1" customHeight="1">
      <c r="A10" s="277" t="s">
        <v>563</v>
      </c>
      <c r="B10" s="111">
        <f>'תקציב החברה לתירות 2025 '!AA5</f>
        <v>345753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78">
        <f t="shared" si="0"/>
        <v>345753</v>
      </c>
      <c r="Q10" s="259"/>
      <c r="R10" s="259"/>
      <c r="S10" s="110"/>
      <c r="T10" s="110"/>
      <c r="U10" s="110"/>
    </row>
    <row r="11" spans="1:22" s="114" customFormat="1" ht="32.1" customHeight="1">
      <c r="A11" s="277" t="s">
        <v>246</v>
      </c>
      <c r="B11" s="111"/>
      <c r="C11" s="111"/>
      <c r="D11" s="111"/>
      <c r="E11" s="111"/>
      <c r="F11" s="111"/>
      <c r="G11" s="111"/>
      <c r="H11" s="111">
        <f>'תקציב אגף המיחשוב 2025 '!AA13</f>
        <v>1000000</v>
      </c>
      <c r="I11" s="111"/>
      <c r="J11" s="111"/>
      <c r="K11" s="111"/>
      <c r="L11" s="111"/>
      <c r="M11" s="111"/>
      <c r="N11" s="111"/>
      <c r="O11" s="278">
        <f t="shared" si="0"/>
        <v>1000000</v>
      </c>
      <c r="Q11" s="259"/>
      <c r="R11" s="259"/>
      <c r="S11" s="110"/>
      <c r="T11" s="110"/>
      <c r="U11" s="110"/>
    </row>
    <row r="12" spans="1:22" s="114" customFormat="1" ht="32.1" customHeight="1">
      <c r="A12" s="277" t="s">
        <v>248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278">
        <f t="shared" si="0"/>
        <v>0</v>
      </c>
      <c r="Q12" s="259"/>
      <c r="R12" s="259"/>
      <c r="S12" s="110"/>
      <c r="T12" s="110"/>
      <c r="U12" s="110"/>
    </row>
    <row r="13" spans="1:22" s="114" customFormat="1" ht="32.1" customHeight="1">
      <c r="A13" s="277" t="s">
        <v>175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>
        <f>'תקציב איכות הסביבה 2025  '!AA7</f>
        <v>50000</v>
      </c>
      <c r="L13" s="111"/>
      <c r="M13" s="111"/>
      <c r="N13" s="111"/>
      <c r="O13" s="278">
        <f t="shared" si="0"/>
        <v>50000</v>
      </c>
      <c r="Q13" s="259"/>
      <c r="R13" s="259"/>
      <c r="S13" s="110"/>
      <c r="T13" s="110"/>
      <c r="U13" s="110"/>
    </row>
    <row r="14" spans="1:22" s="114" customFormat="1" ht="32.1" customHeight="1" thickBot="1">
      <c r="A14" s="282" t="s">
        <v>75</v>
      </c>
      <c r="B14" s="283">
        <f t="shared" ref="B14:O14" si="1">SUM(B4:B13)</f>
        <v>3757662</v>
      </c>
      <c r="C14" s="283">
        <f t="shared" si="1"/>
        <v>0</v>
      </c>
      <c r="D14" s="283">
        <f t="shared" si="1"/>
        <v>9932258</v>
      </c>
      <c r="E14" s="283">
        <f t="shared" si="1"/>
        <v>0</v>
      </c>
      <c r="F14" s="283">
        <f t="shared" si="1"/>
        <v>0</v>
      </c>
      <c r="G14" s="283">
        <f>SUM(G4:G13)</f>
        <v>147362</v>
      </c>
      <c r="H14" s="283">
        <f t="shared" si="1"/>
        <v>27174000</v>
      </c>
      <c r="I14" s="283">
        <f t="shared" si="1"/>
        <v>2100000</v>
      </c>
      <c r="J14" s="283">
        <f t="shared" si="1"/>
        <v>0</v>
      </c>
      <c r="K14" s="283">
        <f t="shared" si="1"/>
        <v>8154990</v>
      </c>
      <c r="L14" s="283">
        <f t="shared" si="1"/>
        <v>0</v>
      </c>
      <c r="M14" s="283">
        <f t="shared" si="1"/>
        <v>0</v>
      </c>
      <c r="N14" s="283">
        <f t="shared" si="1"/>
        <v>15000000</v>
      </c>
      <c r="O14" s="284">
        <f t="shared" si="1"/>
        <v>66266272</v>
      </c>
      <c r="Q14" s="259"/>
      <c r="R14" s="110"/>
      <c r="S14" s="110"/>
      <c r="T14" s="110"/>
      <c r="U14" s="11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rightToLeft="1" zoomScaleNormal="100" workbookViewId="0">
      <selection activeCell="U4" sqref="U4"/>
    </sheetView>
  </sheetViews>
  <sheetFormatPr defaultColWidth="9.140625" defaultRowHeight="12.75"/>
  <cols>
    <col min="1" max="16384" width="9.140625" style="148"/>
  </cols>
  <sheetData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Q34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24.140625" style="167" customWidth="1"/>
    <col min="5" max="5" width="34.5703125" style="167" customWidth="1"/>
    <col min="6" max="6" width="5.71093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3" spans="1:17" ht="20.25">
      <c r="A3" s="166"/>
      <c r="C3" s="168" t="s">
        <v>260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1" thickBot="1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16.5" thickBot="1">
      <c r="A5" s="166"/>
      <c r="B5" s="169" t="s">
        <v>105</v>
      </c>
      <c r="C5" s="166" t="s">
        <v>888</v>
      </c>
      <c r="D5" s="166"/>
      <c r="E5" s="166"/>
      <c r="F5" s="166"/>
      <c r="H5" s="170">
        <f>'תקציב הנדסה 2025 '!U52</f>
        <v>29570000</v>
      </c>
      <c r="I5" s="166"/>
      <c r="J5" s="166"/>
      <c r="K5" s="166"/>
      <c r="L5" s="166"/>
    </row>
    <row r="6" spans="1:17" ht="21" thickBot="1">
      <c r="A6" s="166"/>
      <c r="C6" s="168"/>
      <c r="D6" s="166"/>
      <c r="E6" s="166"/>
      <c r="F6" s="166"/>
      <c r="H6" s="166"/>
      <c r="I6" s="166"/>
      <c r="J6" s="166"/>
      <c r="K6" s="166"/>
      <c r="L6" s="166"/>
    </row>
    <row r="7" spans="1:17" ht="16.5" thickBot="1">
      <c r="B7" s="169" t="s">
        <v>105</v>
      </c>
      <c r="C7" s="166" t="s">
        <v>776</v>
      </c>
      <c r="D7" s="166"/>
      <c r="F7" s="166"/>
      <c r="H7" s="170">
        <f>'תקציב הנדסה 2025 '!A52</f>
        <v>47</v>
      </c>
      <c r="I7" s="166"/>
      <c r="J7" s="166"/>
      <c r="K7" s="166"/>
      <c r="L7" s="166"/>
      <c r="M7" s="166"/>
      <c r="N7" s="166"/>
      <c r="O7" s="166"/>
      <c r="P7" s="166"/>
      <c r="Q7" s="166"/>
    </row>
    <row r="8" spans="1:17" ht="15.75">
      <c r="B8" s="169"/>
      <c r="C8" s="166"/>
      <c r="D8" s="166"/>
      <c r="E8" s="166"/>
      <c r="F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B9" s="169" t="s">
        <v>105</v>
      </c>
      <c r="C9" s="166" t="s">
        <v>190</v>
      </c>
      <c r="D9" s="166"/>
      <c r="E9" s="166"/>
      <c r="F9" s="166"/>
      <c r="G9" s="166"/>
      <c r="H9" s="166"/>
      <c r="I9" s="166"/>
      <c r="J9" s="166"/>
      <c r="K9" s="166"/>
      <c r="L9" s="166"/>
    </row>
    <row r="10" spans="1:17" ht="16.5" thickBot="1"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C11" s="790" t="s">
        <v>191</v>
      </c>
      <c r="D11" s="791"/>
      <c r="E11" s="796" t="s">
        <v>192</v>
      </c>
      <c r="F11" s="797"/>
      <c r="G11" s="798"/>
      <c r="H11" s="199" t="s">
        <v>193</v>
      </c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>
      <c r="C12" s="792" t="s">
        <v>13</v>
      </c>
      <c r="D12" s="793"/>
      <c r="E12" s="784">
        <f>'תקציב הנדסה 2025 '!V52</f>
        <v>13170000</v>
      </c>
      <c r="F12" s="785"/>
      <c r="G12" s="786"/>
      <c r="H12" s="200">
        <f>E12/$E$16</f>
        <v>0.44538383496787287</v>
      </c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75" hidden="1">
      <c r="C13" s="410" t="s">
        <v>14</v>
      </c>
      <c r="D13" s="411"/>
      <c r="E13" s="784">
        <f>'תקציב הנדסה 2025 '!W52</f>
        <v>0</v>
      </c>
      <c r="F13" s="785"/>
      <c r="G13" s="786"/>
      <c r="H13" s="200">
        <f>E13/$E$16</f>
        <v>0</v>
      </c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5.75">
      <c r="C14" s="774" t="s">
        <v>185</v>
      </c>
      <c r="D14" s="775"/>
      <c r="E14" s="784">
        <f>'תקציב הנדסה 2025 '!Y52</f>
        <v>1400000</v>
      </c>
      <c r="F14" s="785"/>
      <c r="G14" s="786"/>
      <c r="H14" s="200">
        <f>E14/$E$16</f>
        <v>4.7345282380791345E-2</v>
      </c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C15" s="792" t="s">
        <v>67</v>
      </c>
      <c r="D15" s="793"/>
      <c r="E15" s="784">
        <f>'תקציב הנדסה 2025 '!AA52</f>
        <v>15000000</v>
      </c>
      <c r="F15" s="785"/>
      <c r="G15" s="786"/>
      <c r="H15" s="200">
        <f>E15/$E$16</f>
        <v>0.5072708826513358</v>
      </c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6.5" thickBot="1">
      <c r="C16" s="794" t="s">
        <v>75</v>
      </c>
      <c r="D16" s="795"/>
      <c r="E16" s="787">
        <f>SUM(E12:E15)</f>
        <v>29570000</v>
      </c>
      <c r="F16" s="788"/>
      <c r="G16" s="789"/>
      <c r="H16" s="248">
        <f>E16/$E$16</f>
        <v>1</v>
      </c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15.75">
      <c r="C17" s="613"/>
      <c r="D17" s="613"/>
      <c r="E17" s="614"/>
      <c r="F17" s="614"/>
      <c r="G17" s="614"/>
      <c r="H17" s="615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s="227" customFormat="1" ht="15.75">
      <c r="C18" s="229" t="s">
        <v>105</v>
      </c>
      <c r="D18" s="417" t="s">
        <v>395</v>
      </c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</row>
    <row r="19" spans="1:17" s="617" customFormat="1" ht="15.75">
      <c r="A19" s="226"/>
      <c r="B19" s="226"/>
      <c r="C19" s="226"/>
      <c r="D19" s="616" t="s">
        <v>1441</v>
      </c>
      <c r="E19" s="264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</row>
    <row r="20" spans="1:17" s="617" customFormat="1" ht="15.75">
      <c r="A20" s="226"/>
      <c r="B20" s="226"/>
      <c r="C20" s="226"/>
      <c r="D20" s="616"/>
      <c r="E20" s="264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</row>
    <row r="21" spans="1:17" ht="15.75">
      <c r="C21" s="246" t="s">
        <v>105</v>
      </c>
      <c r="D21" s="247" t="s">
        <v>1427</v>
      </c>
    </row>
    <row r="22" spans="1:17" ht="15.75">
      <c r="C22" s="246"/>
      <c r="D22" s="247"/>
    </row>
    <row r="23" spans="1:17" s="617" customFormat="1" ht="15.75">
      <c r="A23" s="226"/>
      <c r="B23" s="226"/>
      <c r="C23" s="226"/>
      <c r="D23" s="240" t="s">
        <v>1300</v>
      </c>
      <c r="E23" s="264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1:17" s="617" customFormat="1" ht="15.75">
      <c r="A24" s="226"/>
      <c r="B24" s="226"/>
      <c r="C24" s="226"/>
      <c r="D24"/>
      <c r="E24" s="264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</row>
    <row r="25" spans="1:17" s="617" customFormat="1" ht="15.75">
      <c r="A25" s="226"/>
      <c r="B25" s="226"/>
      <c r="C25" s="226"/>
      <c r="D25" s="616"/>
      <c r="E25" s="264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</row>
    <row r="26" spans="1:17" s="617" customFormat="1" ht="15.75">
      <c r="A26" s="226"/>
      <c r="B26" s="226"/>
      <c r="C26" s="226"/>
      <c r="D26" s="616"/>
      <c r="E26" s="264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17" s="617" customFormat="1" ht="15.75">
      <c r="A27" s="226"/>
      <c r="B27" s="226"/>
      <c r="C27" s="226"/>
      <c r="D27" s="616"/>
      <c r="E27" s="264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</row>
    <row r="28" spans="1:17" s="617" customFormat="1" ht="15.75">
      <c r="A28" s="226"/>
      <c r="B28" s="226"/>
      <c r="C28" s="226"/>
      <c r="D28" s="616"/>
      <c r="E28" s="264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</row>
    <row r="29" spans="1:17" s="617" customFormat="1" ht="15.75">
      <c r="A29" s="226"/>
      <c r="B29" s="226"/>
      <c r="C29" s="226"/>
      <c r="D29" s="616"/>
      <c r="E29" s="264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</row>
    <row r="30" spans="1:17" ht="15.75">
      <c r="B30" s="169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</row>
    <row r="34" spans="5:17" s="245" customFormat="1" ht="15.75"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</row>
  </sheetData>
  <mergeCells count="10">
    <mergeCell ref="E12:G12"/>
    <mergeCell ref="E15:G15"/>
    <mergeCell ref="E16:G16"/>
    <mergeCell ref="C11:D11"/>
    <mergeCell ref="C12:D12"/>
    <mergeCell ref="C15:D15"/>
    <mergeCell ref="C16:D16"/>
    <mergeCell ref="E11:G11"/>
    <mergeCell ref="E13:G13"/>
    <mergeCell ref="E14:G14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Q37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35.42578125" style="167" customWidth="1"/>
    <col min="5" max="5" width="39.5703125" style="167" customWidth="1"/>
    <col min="6" max="6" width="5.71093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3" spans="1:17" ht="20.25">
      <c r="A3" s="166"/>
      <c r="C3" s="416" t="s">
        <v>260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0.25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15.75">
      <c r="B5" s="169" t="s">
        <v>105</v>
      </c>
      <c r="C5" s="166" t="s">
        <v>890</v>
      </c>
      <c r="D5" s="166"/>
      <c r="E5" s="266"/>
      <c r="F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1:17" ht="15.75">
      <c r="C6" s="166"/>
      <c r="D6" s="166"/>
      <c r="E6" s="166"/>
      <c r="F6" s="166"/>
      <c r="H6" s="166"/>
      <c r="I6" s="166"/>
      <c r="J6" s="166"/>
      <c r="K6" s="166"/>
      <c r="L6" s="166"/>
    </row>
    <row r="7" spans="1:17" ht="15.75">
      <c r="D7" s="307" t="s">
        <v>194</v>
      </c>
      <c r="E7" s="308" t="s">
        <v>1434</v>
      </c>
      <c r="F7" s="172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</row>
    <row r="8" spans="1:17" ht="15.75">
      <c r="C8" s="169"/>
      <c r="D8" s="309" t="s">
        <v>331</v>
      </c>
      <c r="E8" s="180">
        <f>'תקציב הנדסה 2025 '!U7</f>
        <v>18000000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C9" s="169"/>
      <c r="D9" s="309" t="s">
        <v>1430</v>
      </c>
      <c r="E9" s="180">
        <f>'תקציב הנדסה 2025 '!U47</f>
        <v>2100000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</row>
    <row r="10" spans="1:17" ht="15.75">
      <c r="C10" s="169"/>
      <c r="D10" s="309" t="s">
        <v>1429</v>
      </c>
      <c r="E10" s="180">
        <f>'תקציב הנדסה 2025 '!U49</f>
        <v>1400000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C11" s="169"/>
      <c r="D11" s="309" t="s">
        <v>1428</v>
      </c>
      <c r="E11" s="180">
        <f>'תקציב הנדסה 2025 '!U15</f>
        <v>950000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>
      <c r="C12" s="169"/>
      <c r="D12" s="166"/>
      <c r="E12" s="194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75">
      <c r="C13" s="169"/>
      <c r="D13" s="166" t="s">
        <v>521</v>
      </c>
      <c r="E13" s="194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5.75">
      <c r="C14" s="169"/>
      <c r="D14" s="166" t="s">
        <v>547</v>
      </c>
      <c r="E14" s="194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6" spans="1:17" ht="15.75">
      <c r="D16" s="240" t="s">
        <v>1295</v>
      </c>
    </row>
    <row r="17" spans="4:4">
      <c r="D17"/>
    </row>
    <row r="37" spans="4:4" ht="15.75">
      <c r="D37" s="166"/>
    </row>
  </sheetData>
  <sortState xmlns:xlrd2="http://schemas.microsoft.com/office/spreadsheetml/2017/richdata2" ref="A8:Q11">
    <sortCondition descending="1" ref="E8:E11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A396-BC53-426B-8CCE-36DE5A9A7305}">
  <dimension ref="A1:BL104"/>
  <sheetViews>
    <sheetView showZeros="0" rightToLeft="1" zoomScaleNormal="100" workbookViewId="0">
      <pane xSplit="4" ySplit="4" topLeftCell="E8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85546875" defaultRowHeight="15"/>
  <cols>
    <col min="1" max="1" width="3.7109375" style="10" customWidth="1"/>
    <col min="2" max="2" width="5.7109375" style="10" customWidth="1"/>
    <col min="3" max="3" width="32.85546875" style="14" customWidth="1"/>
    <col min="4" max="5" width="11.140625" style="11" customWidth="1"/>
    <col min="6" max="6" width="11.140625" style="502" customWidth="1"/>
    <col min="7" max="8" width="11.140625" style="11" hidden="1" customWidth="1"/>
    <col min="9" max="10" width="10.42578125" style="11" hidden="1" customWidth="1"/>
    <col min="11" max="11" width="11.140625" style="11" hidden="1" customWidth="1"/>
    <col min="12" max="12" width="11.140625" style="11" customWidth="1"/>
    <col min="13" max="13" width="11.140625" style="502" customWidth="1"/>
    <col min="14" max="15" width="11.140625" style="11" customWidth="1"/>
    <col min="16" max="19" width="10.42578125" style="11" hidden="1" customWidth="1"/>
    <col min="20" max="20" width="11.140625" style="502" customWidth="1"/>
    <col min="21" max="22" width="11.140625" style="10" customWidth="1"/>
    <col min="23" max="23" width="9.28515625" style="10" hidden="1" customWidth="1"/>
    <col min="24" max="24" width="6.42578125" style="10" hidden="1" customWidth="1"/>
    <col min="25" max="25" width="9.140625" style="10" customWidth="1"/>
    <col min="26" max="26" width="9.5703125" style="10" hidden="1" customWidth="1"/>
    <col min="27" max="27" width="10.28515625" style="10" customWidth="1"/>
    <col min="28" max="28" width="31.28515625" style="14" hidden="1" customWidth="1"/>
    <col min="29" max="29" width="8.85546875" style="10" hidden="1" customWidth="1"/>
    <col min="30" max="30" width="11.140625" style="18" customWidth="1"/>
    <col min="31" max="31" width="18.85546875" style="18" customWidth="1"/>
    <col min="32" max="33" width="14" style="18" customWidth="1"/>
    <col min="34" max="34" width="18.85546875" style="18" customWidth="1"/>
    <col min="35" max="35" width="8.7109375" style="18" customWidth="1"/>
    <col min="36" max="36" width="33.140625" style="484" customWidth="1"/>
    <col min="37" max="37" width="39.5703125" style="484" customWidth="1"/>
    <col min="38" max="38" width="13.5703125" style="18" customWidth="1"/>
    <col min="39" max="39" width="11.28515625" style="18" customWidth="1"/>
    <col min="40" max="40" width="18.85546875" style="18" customWidth="1"/>
    <col min="41" max="41" width="11.28515625" style="18" customWidth="1"/>
    <col min="42" max="42" width="18.85546875" style="18" customWidth="1"/>
    <col min="43" max="43" width="14" style="18" customWidth="1"/>
    <col min="44" max="44" width="18.85546875" style="18" customWidth="1"/>
    <col min="45" max="45" width="14" style="18" customWidth="1"/>
    <col min="46" max="46" width="12.42578125" style="18" customWidth="1"/>
    <col min="47" max="55" width="10.7109375" style="18" customWidth="1"/>
    <col min="56" max="56" width="15" style="18" customWidth="1"/>
    <col min="57" max="16384" width="8.85546875" style="10"/>
  </cols>
  <sheetData>
    <row r="1" spans="1:64" s="481" customFormat="1" ht="18.75">
      <c r="C1" s="41"/>
      <c r="F1" s="313"/>
      <c r="J1" s="11"/>
      <c r="M1" s="482"/>
      <c r="T1" s="482"/>
      <c r="V1" s="481" t="s">
        <v>610</v>
      </c>
      <c r="W1" s="483"/>
      <c r="X1" s="483"/>
      <c r="Y1" s="483"/>
      <c r="Z1" s="483"/>
      <c r="AA1" s="483"/>
      <c r="AB1" s="483"/>
      <c r="AD1" s="18"/>
      <c r="AE1" s="18"/>
      <c r="AF1" s="18"/>
      <c r="AG1" s="18"/>
      <c r="AH1" s="18"/>
      <c r="AI1" s="18"/>
      <c r="AJ1" s="484"/>
      <c r="AK1" s="484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</row>
    <row r="2" spans="1:64" ht="18.75">
      <c r="A2" s="41" t="s">
        <v>260</v>
      </c>
      <c r="B2" s="481"/>
      <c r="C2" s="485"/>
      <c r="D2" s="481"/>
      <c r="E2" s="481"/>
      <c r="F2" s="313"/>
      <c r="K2" s="481"/>
      <c r="M2" s="486"/>
      <c r="N2" s="487"/>
      <c r="O2" s="487"/>
      <c r="P2" s="487"/>
      <c r="Q2" s="487"/>
      <c r="R2" s="487"/>
      <c r="S2" s="487"/>
      <c r="T2" s="486"/>
      <c r="U2" s="483"/>
      <c r="V2" s="483"/>
      <c r="W2" s="483"/>
      <c r="X2" s="483"/>
      <c r="Z2" s="483"/>
      <c r="AA2" s="483"/>
      <c r="AB2" s="10"/>
    </row>
    <row r="3" spans="1:64" ht="24.6" customHeight="1">
      <c r="D3" s="488"/>
      <c r="E3" s="489"/>
      <c r="F3" s="490"/>
      <c r="G3" s="491"/>
      <c r="H3" s="489"/>
      <c r="I3" s="489"/>
      <c r="J3" s="489"/>
      <c r="K3" s="489"/>
      <c r="L3" s="488"/>
      <c r="M3" s="492"/>
      <c r="N3" s="488"/>
      <c r="O3" s="488"/>
      <c r="P3" s="488"/>
      <c r="Q3" s="488"/>
      <c r="R3" s="488"/>
      <c r="S3" s="488"/>
      <c r="T3" s="493"/>
      <c r="U3" s="488"/>
    </row>
    <row r="4" spans="1:64" s="18" customFormat="1" ht="75">
      <c r="A4" s="2" t="s">
        <v>0</v>
      </c>
      <c r="B4" s="2" t="s">
        <v>1</v>
      </c>
      <c r="C4" s="2" t="s">
        <v>2</v>
      </c>
      <c r="D4" s="2" t="s">
        <v>72</v>
      </c>
      <c r="E4" s="2" t="s">
        <v>4</v>
      </c>
      <c r="F4" s="494" t="s">
        <v>5</v>
      </c>
      <c r="G4" s="2" t="s">
        <v>6</v>
      </c>
      <c r="H4" s="2" t="s">
        <v>7</v>
      </c>
      <c r="I4" s="2" t="s">
        <v>9</v>
      </c>
      <c r="J4" s="2" t="s">
        <v>101</v>
      </c>
      <c r="K4" s="2" t="s">
        <v>10</v>
      </c>
      <c r="L4" s="2" t="s">
        <v>11</v>
      </c>
      <c r="M4" s="494" t="s">
        <v>793</v>
      </c>
      <c r="N4" s="2" t="s">
        <v>794</v>
      </c>
      <c r="O4" s="2" t="s">
        <v>795</v>
      </c>
      <c r="P4" s="2" t="s">
        <v>12</v>
      </c>
      <c r="Q4" s="2" t="s">
        <v>796</v>
      </c>
      <c r="R4" s="2" t="s">
        <v>797</v>
      </c>
      <c r="S4" s="2" t="s">
        <v>798</v>
      </c>
      <c r="T4" s="494" t="s">
        <v>799</v>
      </c>
      <c r="U4" s="494" t="s">
        <v>800</v>
      </c>
      <c r="V4" s="2" t="s">
        <v>13</v>
      </c>
      <c r="W4" s="2" t="s">
        <v>14</v>
      </c>
      <c r="X4" s="2" t="s">
        <v>15</v>
      </c>
      <c r="Y4" s="2" t="s">
        <v>185</v>
      </c>
      <c r="Z4" s="2" t="s">
        <v>385</v>
      </c>
      <c r="AA4" s="2" t="s">
        <v>67</v>
      </c>
      <c r="AB4" s="13" t="s">
        <v>207</v>
      </c>
      <c r="AC4" s="2" t="s">
        <v>16</v>
      </c>
      <c r="AJ4" s="484"/>
      <c r="AK4" s="484"/>
    </row>
    <row r="5" spans="1:64" s="5" customFormat="1" ht="30" customHeight="1">
      <c r="A5" s="3">
        <v>1</v>
      </c>
      <c r="B5" s="3">
        <v>592</v>
      </c>
      <c r="C5" s="3" t="s">
        <v>22</v>
      </c>
      <c r="D5" s="4">
        <v>54893000</v>
      </c>
      <c r="E5" s="4">
        <v>54893000</v>
      </c>
      <c r="F5" s="495">
        <f t="shared" ref="F5:F46" si="0">D5-E5</f>
        <v>0</v>
      </c>
      <c r="G5" s="4">
        <v>21120000</v>
      </c>
      <c r="H5" s="4">
        <v>19882849</v>
      </c>
      <c r="I5" s="4">
        <v>0</v>
      </c>
      <c r="J5" s="4">
        <v>1069838</v>
      </c>
      <c r="K5" s="4">
        <f t="shared" ref="K5:K44" si="1">SUM(I5:J5)</f>
        <v>1069838</v>
      </c>
      <c r="L5" s="4">
        <f t="shared" ref="L5:L46" si="2">H5+K5</f>
        <v>20952687</v>
      </c>
      <c r="M5" s="495">
        <f>P5+S5</f>
        <v>167313</v>
      </c>
      <c r="N5" s="4">
        <f>5000000-500000-4500000</f>
        <v>0</v>
      </c>
      <c r="O5" s="4">
        <f t="shared" ref="O5:O48" si="3">D5-L5-M5-N5</f>
        <v>33773000</v>
      </c>
      <c r="P5" s="4">
        <f t="shared" ref="P5:P46" si="4">G5-L5</f>
        <v>167313</v>
      </c>
      <c r="Q5" s="310"/>
      <c r="R5" s="4"/>
      <c r="S5" s="4">
        <f t="shared" ref="S5:S49" si="5">SUM(Q5:R5)</f>
        <v>0</v>
      </c>
      <c r="T5" s="495">
        <f t="shared" ref="T5:T46" si="6">P5-M5+S5</f>
        <v>0</v>
      </c>
      <c r="U5" s="4">
        <f t="shared" ref="U5:U49" si="7">N5-T5</f>
        <v>0</v>
      </c>
      <c r="V5" s="4">
        <f>U5-AA5-W5-Z5-Y5-X5</f>
        <v>0</v>
      </c>
      <c r="W5" s="4"/>
      <c r="X5" s="4"/>
      <c r="Y5" s="4"/>
      <c r="Z5" s="4"/>
      <c r="AA5" s="3"/>
      <c r="AB5" s="3" t="s">
        <v>1243</v>
      </c>
      <c r="AC5" s="3">
        <v>742000</v>
      </c>
      <c r="AD5" s="18"/>
      <c r="AE5" s="18"/>
      <c r="AF5" s="18"/>
      <c r="AG5" s="18"/>
      <c r="AH5" s="18"/>
      <c r="AI5" s="18"/>
      <c r="AJ5" s="484"/>
      <c r="AK5" s="484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</row>
    <row r="6" spans="1:64" s="5" customFormat="1" ht="30" customHeight="1">
      <c r="A6" s="3">
        <f t="shared" ref="A6:A47" si="8">A5+1</f>
        <v>2</v>
      </c>
      <c r="B6" s="3">
        <v>608</v>
      </c>
      <c r="C6" s="3" t="s">
        <v>28</v>
      </c>
      <c r="D6" s="4">
        <f>8510000+290000</f>
        <v>8800000</v>
      </c>
      <c r="E6" s="4">
        <v>8510000</v>
      </c>
      <c r="F6" s="495">
        <f t="shared" si="0"/>
        <v>290000</v>
      </c>
      <c r="G6" s="4">
        <v>8000000</v>
      </c>
      <c r="H6" s="4">
        <v>7454075</v>
      </c>
      <c r="I6" s="4">
        <v>0</v>
      </c>
      <c r="J6" s="4">
        <v>120581</v>
      </c>
      <c r="K6" s="4">
        <f t="shared" si="1"/>
        <v>120581</v>
      </c>
      <c r="L6" s="4">
        <f t="shared" si="2"/>
        <v>7574656</v>
      </c>
      <c r="M6" s="495">
        <f>P6+S6</f>
        <v>425344</v>
      </c>
      <c r="N6" s="4">
        <f>800000-200000</f>
        <v>600000</v>
      </c>
      <c r="O6" s="4">
        <f t="shared" si="3"/>
        <v>200000</v>
      </c>
      <c r="P6" s="4">
        <f t="shared" si="4"/>
        <v>425344</v>
      </c>
      <c r="Q6" s="310"/>
      <c r="R6" s="4"/>
      <c r="S6" s="4">
        <f t="shared" si="5"/>
        <v>0</v>
      </c>
      <c r="T6" s="495">
        <f t="shared" si="6"/>
        <v>0</v>
      </c>
      <c r="U6" s="4">
        <f t="shared" si="7"/>
        <v>600000</v>
      </c>
      <c r="V6" s="4">
        <f t="shared" ref="V6:V51" si="9">U6-AA6-W6-Z6-Y6-X6</f>
        <v>600000</v>
      </c>
      <c r="W6" s="4"/>
      <c r="X6" s="4"/>
      <c r="Y6" s="4"/>
      <c r="Z6" s="4"/>
      <c r="AA6" s="3"/>
      <c r="AB6" s="3" t="s">
        <v>208</v>
      </c>
      <c r="AC6" s="3">
        <v>745000</v>
      </c>
      <c r="AD6" s="18"/>
      <c r="AE6" s="18"/>
      <c r="AF6" s="18"/>
      <c r="AG6" s="18"/>
      <c r="AH6" s="18"/>
      <c r="AI6" s="18"/>
      <c r="AJ6" s="484"/>
      <c r="AK6" s="484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</row>
    <row r="7" spans="1:64" s="5" customFormat="1" ht="30" customHeight="1">
      <c r="A7" s="3">
        <f t="shared" si="8"/>
        <v>3</v>
      </c>
      <c r="B7" s="3">
        <v>626</v>
      </c>
      <c r="C7" s="3" t="s">
        <v>331</v>
      </c>
      <c r="D7" s="4">
        <f>34775000+41458898</f>
        <v>76233898</v>
      </c>
      <c r="E7" s="4">
        <v>34775000</v>
      </c>
      <c r="F7" s="495">
        <f t="shared" si="0"/>
        <v>41458898</v>
      </c>
      <c r="G7" s="4">
        <v>20233898</v>
      </c>
      <c r="H7" s="4">
        <v>18190513</v>
      </c>
      <c r="I7" s="4">
        <v>148175</v>
      </c>
      <c r="J7" s="4">
        <f>329331+531299</f>
        <v>860630</v>
      </c>
      <c r="K7" s="4">
        <f t="shared" si="1"/>
        <v>1008805</v>
      </c>
      <c r="L7" s="4">
        <f t="shared" si="2"/>
        <v>19199318</v>
      </c>
      <c r="M7" s="495">
        <f>P7+S7</f>
        <v>1034580</v>
      </c>
      <c r="N7" s="4">
        <f>56000000-30000000-8000000</f>
        <v>18000000</v>
      </c>
      <c r="O7" s="4">
        <f t="shared" si="3"/>
        <v>38000000</v>
      </c>
      <c r="P7" s="4">
        <f t="shared" si="4"/>
        <v>1034580</v>
      </c>
      <c r="Q7" s="4"/>
      <c r="R7" s="4"/>
      <c r="S7" s="4">
        <f t="shared" si="5"/>
        <v>0</v>
      </c>
      <c r="T7" s="495">
        <f t="shared" si="6"/>
        <v>0</v>
      </c>
      <c r="U7" s="4">
        <f t="shared" si="7"/>
        <v>18000000</v>
      </c>
      <c r="V7" s="4">
        <f t="shared" si="9"/>
        <v>3000000</v>
      </c>
      <c r="W7" s="4"/>
      <c r="X7" s="4"/>
      <c r="Y7" s="4"/>
      <c r="Z7" s="4"/>
      <c r="AA7" s="4">
        <v>15000000</v>
      </c>
      <c r="AB7" s="19" t="s">
        <v>1246</v>
      </c>
      <c r="AC7" s="3">
        <v>732000</v>
      </c>
      <c r="AD7" s="18"/>
      <c r="AE7" s="18"/>
      <c r="AF7" s="18"/>
      <c r="AG7" s="18"/>
      <c r="AH7" s="18"/>
      <c r="AI7" s="18"/>
      <c r="AJ7" s="484"/>
      <c r="AK7" s="484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</row>
    <row r="8" spans="1:64" s="6" customFormat="1" ht="30" customHeight="1">
      <c r="A8" s="3">
        <f t="shared" si="8"/>
        <v>4</v>
      </c>
      <c r="B8" s="3">
        <v>1018</v>
      </c>
      <c r="C8" s="3" t="s">
        <v>23</v>
      </c>
      <c r="D8" s="4">
        <v>31900000</v>
      </c>
      <c r="E8" s="4">
        <v>31900000</v>
      </c>
      <c r="F8" s="495">
        <f t="shared" si="0"/>
        <v>0</v>
      </c>
      <c r="G8" s="4">
        <v>3150000</v>
      </c>
      <c r="H8" s="4">
        <v>3059847</v>
      </c>
      <c r="I8" s="4">
        <v>84894</v>
      </c>
      <c r="J8" s="4">
        <v>0</v>
      </c>
      <c r="K8" s="4">
        <f t="shared" si="1"/>
        <v>84894</v>
      </c>
      <c r="L8" s="4">
        <f t="shared" si="2"/>
        <v>3144741</v>
      </c>
      <c r="M8" s="495">
        <f>P8+S8-5000</f>
        <v>259</v>
      </c>
      <c r="N8" s="4">
        <v>5000</v>
      </c>
      <c r="O8" s="4">
        <f t="shared" si="3"/>
        <v>28750000</v>
      </c>
      <c r="P8" s="4">
        <f t="shared" si="4"/>
        <v>5259</v>
      </c>
      <c r="Q8" s="310"/>
      <c r="R8" s="4"/>
      <c r="S8" s="4">
        <f t="shared" si="5"/>
        <v>0</v>
      </c>
      <c r="T8" s="495">
        <f t="shared" si="6"/>
        <v>5000</v>
      </c>
      <c r="U8" s="4">
        <f t="shared" si="7"/>
        <v>0</v>
      </c>
      <c r="V8" s="4">
        <f t="shared" si="9"/>
        <v>0</v>
      </c>
      <c r="W8" s="4"/>
      <c r="X8" s="4"/>
      <c r="Y8" s="4"/>
      <c r="Z8" s="4"/>
      <c r="AA8" s="3"/>
      <c r="AB8" s="3" t="s">
        <v>1479</v>
      </c>
      <c r="AC8" s="3">
        <v>742000</v>
      </c>
      <c r="AD8" s="18"/>
      <c r="AE8" s="18"/>
      <c r="AF8" s="18"/>
      <c r="AG8" s="18"/>
      <c r="AH8" s="18"/>
      <c r="AI8" s="18"/>
      <c r="AJ8" s="484"/>
      <c r="AK8" s="484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5"/>
      <c r="BF8" s="5"/>
      <c r="BG8" s="5"/>
      <c r="BH8" s="5"/>
      <c r="BI8" s="5"/>
      <c r="BJ8" s="5"/>
      <c r="BK8" s="5"/>
      <c r="BL8" s="5"/>
    </row>
    <row r="9" spans="1:64" s="5" customFormat="1" ht="30" customHeight="1">
      <c r="A9" s="3">
        <f t="shared" si="8"/>
        <v>5</v>
      </c>
      <c r="B9" s="3">
        <v>1100</v>
      </c>
      <c r="C9" s="3" t="s">
        <v>17</v>
      </c>
      <c r="D9" s="4">
        <v>6637000</v>
      </c>
      <c r="E9" s="4">
        <v>6637000</v>
      </c>
      <c r="F9" s="495">
        <f t="shared" si="0"/>
        <v>0</v>
      </c>
      <c r="G9" s="4">
        <v>6650000</v>
      </c>
      <c r="H9" s="4">
        <v>6636801</v>
      </c>
      <c r="I9" s="4">
        <v>0</v>
      </c>
      <c r="J9" s="4">
        <v>0</v>
      </c>
      <c r="K9" s="4">
        <f t="shared" si="1"/>
        <v>0</v>
      </c>
      <c r="L9" s="4">
        <f t="shared" si="2"/>
        <v>6636801</v>
      </c>
      <c r="M9" s="495">
        <f>P9+S9</f>
        <v>199</v>
      </c>
      <c r="N9" s="497"/>
      <c r="O9" s="4">
        <f t="shared" si="3"/>
        <v>0</v>
      </c>
      <c r="P9" s="4">
        <f t="shared" si="4"/>
        <v>13199</v>
      </c>
      <c r="Q9" s="310"/>
      <c r="R9" s="4">
        <v>-13000</v>
      </c>
      <c r="S9" s="4">
        <f t="shared" si="5"/>
        <v>-13000</v>
      </c>
      <c r="T9" s="495">
        <f t="shared" si="6"/>
        <v>0</v>
      </c>
      <c r="U9" s="4">
        <f t="shared" si="7"/>
        <v>0</v>
      </c>
      <c r="V9" s="4">
        <f t="shared" si="9"/>
        <v>0</v>
      </c>
      <c r="W9" s="4"/>
      <c r="X9" s="4"/>
      <c r="Y9" s="4"/>
      <c r="Z9" s="4"/>
      <c r="AA9" s="3"/>
      <c r="AB9" s="3" t="s">
        <v>1249</v>
      </c>
      <c r="AC9" s="3">
        <v>732000</v>
      </c>
      <c r="AD9" s="18"/>
      <c r="AE9" s="18"/>
      <c r="AF9" s="18"/>
      <c r="AG9" s="18"/>
      <c r="AH9" s="18"/>
      <c r="AI9" s="18"/>
      <c r="AJ9" s="484"/>
      <c r="AK9" s="484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</row>
    <row r="10" spans="1:64" s="5" customFormat="1" ht="30" customHeight="1">
      <c r="A10" s="3">
        <f t="shared" si="8"/>
        <v>6</v>
      </c>
      <c r="B10" s="3">
        <v>1129</v>
      </c>
      <c r="C10" s="3" t="s">
        <v>29</v>
      </c>
      <c r="D10" s="4">
        <v>7500000</v>
      </c>
      <c r="E10" s="4">
        <v>7500000</v>
      </c>
      <c r="F10" s="495">
        <f t="shared" si="0"/>
        <v>0</v>
      </c>
      <c r="G10" s="4">
        <v>6681771</v>
      </c>
      <c r="H10" s="4">
        <v>6552365</v>
      </c>
      <c r="I10" s="4">
        <v>0</v>
      </c>
      <c r="J10" s="4">
        <v>84923</v>
      </c>
      <c r="K10" s="4">
        <f t="shared" si="1"/>
        <v>84923</v>
      </c>
      <c r="L10" s="4">
        <f t="shared" si="2"/>
        <v>6637288</v>
      </c>
      <c r="M10" s="495">
        <f>P10+S10</f>
        <v>94483</v>
      </c>
      <c r="N10" s="4">
        <f>600000-300000</f>
        <v>300000</v>
      </c>
      <c r="O10" s="4">
        <f t="shared" si="3"/>
        <v>468229</v>
      </c>
      <c r="P10" s="4">
        <f t="shared" si="4"/>
        <v>44483</v>
      </c>
      <c r="Q10" s="310"/>
      <c r="R10" s="4">
        <v>50000</v>
      </c>
      <c r="S10" s="4">
        <f t="shared" si="5"/>
        <v>50000</v>
      </c>
      <c r="T10" s="495">
        <f t="shared" si="6"/>
        <v>0</v>
      </c>
      <c r="U10" s="4">
        <f t="shared" si="7"/>
        <v>300000</v>
      </c>
      <c r="V10" s="4">
        <f t="shared" si="9"/>
        <v>300000</v>
      </c>
      <c r="W10" s="4"/>
      <c r="X10" s="4"/>
      <c r="Y10" s="4"/>
      <c r="Z10" s="4"/>
      <c r="AA10" s="3"/>
      <c r="AB10" s="3" t="s">
        <v>261</v>
      </c>
      <c r="AC10" s="3">
        <v>742000</v>
      </c>
      <c r="AD10" s="18"/>
      <c r="AE10" s="18"/>
      <c r="AF10" s="18"/>
      <c r="AG10" s="18"/>
      <c r="AH10" s="18"/>
      <c r="AI10" s="18"/>
      <c r="AJ10" s="484"/>
      <c r="AK10" s="484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</row>
    <row r="11" spans="1:64" s="6" customFormat="1" ht="30" customHeight="1">
      <c r="A11" s="3">
        <f t="shared" si="8"/>
        <v>7</v>
      </c>
      <c r="B11" s="3">
        <v>1220</v>
      </c>
      <c r="C11" s="3" t="s">
        <v>31</v>
      </c>
      <c r="D11" s="4">
        <f>7260000+1000000</f>
        <v>8260000</v>
      </c>
      <c r="E11" s="4">
        <v>7260000</v>
      </c>
      <c r="F11" s="495">
        <f t="shared" si="0"/>
        <v>1000000</v>
      </c>
      <c r="G11" s="4">
        <v>6671000</v>
      </c>
      <c r="H11" s="4">
        <v>6259382</v>
      </c>
      <c r="I11" s="4">
        <v>6436</v>
      </c>
      <c r="J11" s="4">
        <v>373994</v>
      </c>
      <c r="K11" s="4">
        <f t="shared" si="1"/>
        <v>380430</v>
      </c>
      <c r="L11" s="4">
        <f t="shared" si="2"/>
        <v>6639812</v>
      </c>
      <c r="M11" s="495">
        <f>P11+S11</f>
        <v>231188</v>
      </c>
      <c r="N11" s="4">
        <f>1000000-700000+200000</f>
        <v>500000</v>
      </c>
      <c r="O11" s="4">
        <f t="shared" si="3"/>
        <v>889000</v>
      </c>
      <c r="P11" s="4">
        <f t="shared" si="4"/>
        <v>31188</v>
      </c>
      <c r="Q11" s="310"/>
      <c r="R11" s="4">
        <v>200000</v>
      </c>
      <c r="S11" s="4">
        <f t="shared" si="5"/>
        <v>200000</v>
      </c>
      <c r="T11" s="495">
        <f t="shared" si="6"/>
        <v>0</v>
      </c>
      <c r="U11" s="4">
        <f t="shared" si="7"/>
        <v>500000</v>
      </c>
      <c r="V11" s="4">
        <f t="shared" si="9"/>
        <v>500000</v>
      </c>
      <c r="W11" s="4"/>
      <c r="X11" s="4"/>
      <c r="Y11" s="4"/>
      <c r="Z11" s="4"/>
      <c r="AA11" s="3"/>
      <c r="AB11" s="3" t="s">
        <v>479</v>
      </c>
      <c r="AC11" s="3">
        <v>732000</v>
      </c>
      <c r="AD11" s="18"/>
      <c r="AE11" s="18"/>
      <c r="AF11" s="18"/>
      <c r="AG11" s="18"/>
      <c r="AH11" s="18"/>
      <c r="AI11" s="18"/>
      <c r="AJ11" s="484"/>
      <c r="AK11" s="484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5"/>
      <c r="BF11" s="5"/>
      <c r="BG11" s="5"/>
      <c r="BH11" s="5"/>
      <c r="BI11" s="5"/>
      <c r="BJ11" s="5"/>
      <c r="BK11" s="5"/>
      <c r="BL11" s="5"/>
    </row>
    <row r="12" spans="1:64" s="5" customFormat="1" ht="30" customHeight="1">
      <c r="A12" s="3">
        <f t="shared" si="8"/>
        <v>8</v>
      </c>
      <c r="B12" s="3">
        <v>1366</v>
      </c>
      <c r="C12" s="3" t="s">
        <v>33</v>
      </c>
      <c r="D12" s="4">
        <v>1576000</v>
      </c>
      <c r="E12" s="4">
        <v>1576000</v>
      </c>
      <c r="F12" s="495">
        <f t="shared" si="0"/>
        <v>0</v>
      </c>
      <c r="G12" s="4">
        <v>1376000</v>
      </c>
      <c r="H12" s="4">
        <v>1073615</v>
      </c>
      <c r="I12" s="4">
        <v>0</v>
      </c>
      <c r="J12" s="4">
        <v>41533</v>
      </c>
      <c r="K12" s="4">
        <f t="shared" si="1"/>
        <v>41533</v>
      </c>
      <c r="L12" s="4">
        <f t="shared" si="2"/>
        <v>1115148</v>
      </c>
      <c r="M12" s="495">
        <f>P12+S12-260000</f>
        <v>852</v>
      </c>
      <c r="N12" s="4">
        <f>200000+260000-200000</f>
        <v>260000</v>
      </c>
      <c r="O12" s="4">
        <f t="shared" si="3"/>
        <v>200000</v>
      </c>
      <c r="P12" s="4">
        <f t="shared" si="4"/>
        <v>260852</v>
      </c>
      <c r="Q12" s="310"/>
      <c r="R12" s="4"/>
      <c r="S12" s="4">
        <f t="shared" si="5"/>
        <v>0</v>
      </c>
      <c r="T12" s="495">
        <f t="shared" si="6"/>
        <v>260000</v>
      </c>
      <c r="U12" s="4">
        <f t="shared" si="7"/>
        <v>0</v>
      </c>
      <c r="V12" s="4">
        <f>U12-AA12-W12-Z12-Y12-X12</f>
        <v>0</v>
      </c>
      <c r="W12" s="4"/>
      <c r="X12" s="4"/>
      <c r="Y12" s="4"/>
      <c r="Z12" s="4"/>
      <c r="AA12" s="3"/>
      <c r="AB12" s="3" t="s">
        <v>806</v>
      </c>
      <c r="AC12" s="3">
        <v>742000</v>
      </c>
      <c r="AD12" s="18"/>
      <c r="AE12" s="18"/>
      <c r="AF12" s="18"/>
      <c r="AG12" s="18"/>
      <c r="AH12" s="18"/>
      <c r="AI12" s="18"/>
      <c r="AJ12" s="484"/>
      <c r="AK12" s="484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</row>
    <row r="13" spans="1:64" s="6" customFormat="1" ht="30" customHeight="1">
      <c r="A13" s="3">
        <f t="shared" si="8"/>
        <v>9</v>
      </c>
      <c r="B13" s="3">
        <v>1406</v>
      </c>
      <c r="C13" s="3" t="s">
        <v>84</v>
      </c>
      <c r="D13" s="4">
        <v>1250000</v>
      </c>
      <c r="E13" s="4">
        <v>1250000</v>
      </c>
      <c r="F13" s="495">
        <f t="shared" si="0"/>
        <v>0</v>
      </c>
      <c r="G13" s="4">
        <v>1250000</v>
      </c>
      <c r="H13" s="4">
        <v>1225877</v>
      </c>
      <c r="I13" s="4">
        <v>0</v>
      </c>
      <c r="J13" s="4">
        <v>24123</v>
      </c>
      <c r="K13" s="4">
        <f t="shared" si="1"/>
        <v>24123</v>
      </c>
      <c r="L13" s="4">
        <f t="shared" si="2"/>
        <v>1250000</v>
      </c>
      <c r="M13" s="495">
        <f>P13+S13</f>
        <v>0</v>
      </c>
      <c r="N13" s="4"/>
      <c r="O13" s="4">
        <f t="shared" si="3"/>
        <v>0</v>
      </c>
      <c r="P13" s="4">
        <f t="shared" si="4"/>
        <v>0</v>
      </c>
      <c r="Q13" s="310"/>
      <c r="R13" s="4"/>
      <c r="S13" s="4">
        <f t="shared" si="5"/>
        <v>0</v>
      </c>
      <c r="T13" s="495">
        <f t="shared" si="6"/>
        <v>0</v>
      </c>
      <c r="U13" s="4">
        <f t="shared" si="7"/>
        <v>0</v>
      </c>
      <c r="V13" s="4">
        <f t="shared" si="9"/>
        <v>0</v>
      </c>
      <c r="W13" s="4"/>
      <c r="X13" s="4"/>
      <c r="Y13" s="4"/>
      <c r="Z13" s="4"/>
      <c r="AA13" s="3"/>
      <c r="AB13" s="3" t="s">
        <v>669</v>
      </c>
      <c r="AC13" s="3">
        <v>732000</v>
      </c>
      <c r="AD13" s="18"/>
      <c r="AE13" s="18"/>
      <c r="AF13" s="18"/>
      <c r="AG13" s="18"/>
      <c r="AH13" s="18"/>
      <c r="AI13" s="18"/>
      <c r="AJ13" s="484"/>
      <c r="AK13" s="484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23"/>
      <c r="AW13" s="123"/>
      <c r="AX13" s="123"/>
      <c r="AY13" s="123"/>
      <c r="AZ13" s="123"/>
      <c r="BA13" s="123"/>
      <c r="BB13" s="123"/>
      <c r="BC13" s="123"/>
      <c r="BD13" s="256"/>
      <c r="BE13" s="256"/>
      <c r="BF13" s="256"/>
      <c r="BG13" s="256"/>
      <c r="BH13" s="256"/>
      <c r="BI13" s="256"/>
      <c r="BJ13" s="256"/>
      <c r="BK13" s="256"/>
      <c r="BL13" s="256"/>
    </row>
    <row r="14" spans="1:64" s="6" customFormat="1" ht="30" customHeight="1">
      <c r="A14" s="3">
        <f t="shared" si="8"/>
        <v>10</v>
      </c>
      <c r="B14" s="3">
        <v>1407</v>
      </c>
      <c r="C14" s="3" t="s">
        <v>18</v>
      </c>
      <c r="D14" s="4">
        <v>5295000</v>
      </c>
      <c r="E14" s="4">
        <v>5295000</v>
      </c>
      <c r="F14" s="495">
        <f t="shared" si="0"/>
        <v>0</v>
      </c>
      <c r="G14" s="4">
        <v>3965000</v>
      </c>
      <c r="H14" s="4">
        <v>3185955</v>
      </c>
      <c r="I14" s="4">
        <v>81274</v>
      </c>
      <c r="J14" s="4">
        <v>685358</v>
      </c>
      <c r="K14" s="4">
        <f t="shared" si="1"/>
        <v>766632</v>
      </c>
      <c r="L14" s="4">
        <f t="shared" si="2"/>
        <v>3952587</v>
      </c>
      <c r="M14" s="495">
        <f>P14+S14</f>
        <v>76413</v>
      </c>
      <c r="N14" s="4">
        <f>1000000-500000-200000+200000</f>
        <v>500000</v>
      </c>
      <c r="O14" s="4">
        <f t="shared" si="3"/>
        <v>766000</v>
      </c>
      <c r="P14" s="4">
        <f t="shared" si="4"/>
        <v>12413</v>
      </c>
      <c r="Q14" s="310"/>
      <c r="R14" s="4">
        <v>64000</v>
      </c>
      <c r="S14" s="4">
        <f t="shared" si="5"/>
        <v>64000</v>
      </c>
      <c r="T14" s="495">
        <f t="shared" si="6"/>
        <v>0</v>
      </c>
      <c r="U14" s="4">
        <f t="shared" si="7"/>
        <v>500000</v>
      </c>
      <c r="V14" s="4">
        <f t="shared" si="9"/>
        <v>500000</v>
      </c>
      <c r="W14" s="4"/>
      <c r="X14" s="4"/>
      <c r="Y14" s="4"/>
      <c r="Z14" s="4"/>
      <c r="AA14" s="3"/>
      <c r="AB14" s="3" t="s">
        <v>386</v>
      </c>
      <c r="AC14" s="3">
        <v>732000</v>
      </c>
      <c r="AD14" s="18"/>
      <c r="AE14" s="18"/>
      <c r="AF14" s="18"/>
      <c r="AG14" s="18"/>
      <c r="AH14" s="18"/>
      <c r="AI14" s="18"/>
      <c r="AJ14" s="484"/>
      <c r="AK14" s="484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</row>
    <row r="15" spans="1:64" s="6" customFormat="1" ht="30" customHeight="1">
      <c r="A15" s="3">
        <f t="shared" si="8"/>
        <v>11</v>
      </c>
      <c r="B15" s="3">
        <v>1409</v>
      </c>
      <c r="C15" s="19" t="s">
        <v>524</v>
      </c>
      <c r="D15" s="4">
        <v>7680000</v>
      </c>
      <c r="E15" s="4">
        <v>7680000</v>
      </c>
      <c r="F15" s="495">
        <f t="shared" si="0"/>
        <v>0</v>
      </c>
      <c r="G15" s="4">
        <v>6515000</v>
      </c>
      <c r="H15" s="4">
        <v>5099564</v>
      </c>
      <c r="I15" s="4">
        <v>1314720</v>
      </c>
      <c r="J15" s="4">
        <v>0</v>
      </c>
      <c r="K15" s="4">
        <f t="shared" si="1"/>
        <v>1314720</v>
      </c>
      <c r="L15" s="4">
        <f t="shared" si="2"/>
        <v>6414284</v>
      </c>
      <c r="M15" s="605">
        <v>100716</v>
      </c>
      <c r="N15" s="4">
        <f>500000-200000+650000</f>
        <v>950000</v>
      </c>
      <c r="O15" s="4">
        <f t="shared" si="3"/>
        <v>215000</v>
      </c>
      <c r="P15" s="4">
        <f t="shared" si="4"/>
        <v>100716</v>
      </c>
      <c r="Q15" s="310"/>
      <c r="R15" s="4"/>
      <c r="S15" s="4">
        <f t="shared" si="5"/>
        <v>0</v>
      </c>
      <c r="T15" s="495">
        <f t="shared" si="6"/>
        <v>0</v>
      </c>
      <c r="U15" s="4">
        <f t="shared" si="7"/>
        <v>950000</v>
      </c>
      <c r="V15" s="4">
        <f t="shared" si="9"/>
        <v>950000</v>
      </c>
      <c r="W15" s="4"/>
      <c r="X15" s="4"/>
      <c r="Y15" s="4"/>
      <c r="Z15" s="4"/>
      <c r="AA15" s="3"/>
      <c r="AB15" s="3" t="s">
        <v>387</v>
      </c>
      <c r="AC15" s="3">
        <v>732000</v>
      </c>
      <c r="AD15" s="18"/>
      <c r="AE15" s="18"/>
      <c r="AF15" s="18"/>
      <c r="AG15" s="18"/>
      <c r="AH15" s="18"/>
      <c r="AI15" s="18"/>
      <c r="AJ15" s="484"/>
      <c r="AK15" s="484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5"/>
      <c r="BF15" s="5"/>
      <c r="BG15" s="5"/>
      <c r="BH15" s="5"/>
      <c r="BI15" s="5"/>
      <c r="BJ15" s="5"/>
      <c r="BK15" s="5"/>
      <c r="BL15" s="5"/>
    </row>
    <row r="16" spans="1:64" s="5" customFormat="1" ht="30" customHeight="1">
      <c r="A16" s="3">
        <f t="shared" si="8"/>
        <v>12</v>
      </c>
      <c r="B16" s="3">
        <v>1466</v>
      </c>
      <c r="C16" s="3" t="s">
        <v>19</v>
      </c>
      <c r="D16" s="4">
        <v>2200000</v>
      </c>
      <c r="E16" s="4">
        <v>2200000</v>
      </c>
      <c r="F16" s="495">
        <f t="shared" si="0"/>
        <v>0</v>
      </c>
      <c r="G16" s="4">
        <v>1600000</v>
      </c>
      <c r="H16" s="4">
        <v>1382248</v>
      </c>
      <c r="I16" s="4">
        <v>0</v>
      </c>
      <c r="J16" s="4">
        <v>196475</v>
      </c>
      <c r="K16" s="4">
        <f t="shared" si="1"/>
        <v>196475</v>
      </c>
      <c r="L16" s="4">
        <f t="shared" si="2"/>
        <v>1578723</v>
      </c>
      <c r="M16" s="495">
        <f>P16+S16-20000</f>
        <v>1277</v>
      </c>
      <c r="N16" s="4">
        <f>100000+20000-50000</f>
        <v>70000</v>
      </c>
      <c r="O16" s="4">
        <f t="shared" si="3"/>
        <v>550000</v>
      </c>
      <c r="P16" s="4">
        <f t="shared" si="4"/>
        <v>21277</v>
      </c>
      <c r="Q16" s="310"/>
      <c r="R16" s="4"/>
      <c r="S16" s="4">
        <f t="shared" si="5"/>
        <v>0</v>
      </c>
      <c r="T16" s="495">
        <f t="shared" si="6"/>
        <v>20000</v>
      </c>
      <c r="U16" s="4">
        <f t="shared" si="7"/>
        <v>50000</v>
      </c>
      <c r="V16" s="4">
        <f t="shared" si="9"/>
        <v>50000</v>
      </c>
      <c r="W16" s="4"/>
      <c r="X16" s="4"/>
      <c r="Y16" s="4"/>
      <c r="Z16" s="4"/>
      <c r="AA16" s="3"/>
      <c r="AB16" s="3" t="s">
        <v>480</v>
      </c>
      <c r="AC16" s="3">
        <v>732000</v>
      </c>
      <c r="AD16" s="18"/>
      <c r="AE16" s="18"/>
      <c r="AF16" s="18"/>
      <c r="AG16" s="18"/>
      <c r="AH16" s="18"/>
      <c r="AI16" s="18"/>
      <c r="AJ16" s="484"/>
      <c r="AK16" s="484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6"/>
      <c r="BF16" s="6"/>
      <c r="BG16" s="6"/>
      <c r="BH16" s="6"/>
      <c r="BI16" s="6"/>
      <c r="BJ16" s="6"/>
      <c r="BK16" s="6"/>
      <c r="BL16" s="6"/>
    </row>
    <row r="17" spans="1:64" s="5" customFormat="1" ht="30" customHeight="1">
      <c r="A17" s="3">
        <f t="shared" si="8"/>
        <v>13</v>
      </c>
      <c r="B17" s="3">
        <v>1529</v>
      </c>
      <c r="C17" s="3" t="s">
        <v>38</v>
      </c>
      <c r="D17" s="4">
        <v>700000</v>
      </c>
      <c r="E17" s="4">
        <v>700000</v>
      </c>
      <c r="F17" s="495">
        <f t="shared" si="0"/>
        <v>0</v>
      </c>
      <c r="G17" s="4">
        <v>460000</v>
      </c>
      <c r="H17" s="4">
        <v>417794</v>
      </c>
      <c r="I17" s="4">
        <v>0</v>
      </c>
      <c r="J17" s="4">
        <v>0</v>
      </c>
      <c r="K17" s="4">
        <f t="shared" si="1"/>
        <v>0</v>
      </c>
      <c r="L17" s="4">
        <f t="shared" si="2"/>
        <v>417794</v>
      </c>
      <c r="M17" s="495">
        <f>P17+S17-40000</f>
        <v>2206</v>
      </c>
      <c r="N17" s="497">
        <f>40000-20000</f>
        <v>20000</v>
      </c>
      <c r="O17" s="4">
        <f t="shared" si="3"/>
        <v>260000</v>
      </c>
      <c r="P17" s="4">
        <f t="shared" si="4"/>
        <v>42206</v>
      </c>
      <c r="Q17" s="310"/>
      <c r="R17" s="4"/>
      <c r="S17" s="4">
        <f t="shared" si="5"/>
        <v>0</v>
      </c>
      <c r="T17" s="495">
        <f t="shared" si="6"/>
        <v>40000</v>
      </c>
      <c r="U17" s="4">
        <f t="shared" si="7"/>
        <v>-20000</v>
      </c>
      <c r="V17" s="4">
        <f t="shared" si="9"/>
        <v>-20000</v>
      </c>
      <c r="W17" s="4"/>
      <c r="X17" s="4"/>
      <c r="Y17" s="4"/>
      <c r="Z17" s="4"/>
      <c r="AA17" s="3"/>
      <c r="AB17" s="3" t="s">
        <v>250</v>
      </c>
      <c r="AC17" s="3">
        <v>760000</v>
      </c>
      <c r="AD17" s="18"/>
      <c r="AE17" s="18"/>
      <c r="AF17" s="18"/>
      <c r="AG17" s="18"/>
      <c r="AH17" s="18"/>
      <c r="AI17" s="18"/>
      <c r="AJ17" s="484"/>
      <c r="AK17" s="484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</row>
    <row r="18" spans="1:64" s="5" customFormat="1" ht="30" customHeight="1">
      <c r="A18" s="3">
        <f t="shared" si="8"/>
        <v>14</v>
      </c>
      <c r="B18" s="3">
        <v>1551</v>
      </c>
      <c r="C18" s="3" t="s">
        <v>602</v>
      </c>
      <c r="D18" s="4">
        <v>525240</v>
      </c>
      <c r="E18" s="4">
        <v>525240</v>
      </c>
      <c r="F18" s="495">
        <f t="shared" si="0"/>
        <v>0</v>
      </c>
      <c r="G18" s="4">
        <v>275240</v>
      </c>
      <c r="H18" s="4">
        <v>237203</v>
      </c>
      <c r="I18" s="4">
        <v>7492</v>
      </c>
      <c r="J18" s="4">
        <v>0</v>
      </c>
      <c r="K18" s="4">
        <f t="shared" si="1"/>
        <v>7492</v>
      </c>
      <c r="L18" s="4">
        <f t="shared" si="2"/>
        <v>244695</v>
      </c>
      <c r="M18" s="495">
        <f t="shared" ref="M18:M27" si="10">P18+S18</f>
        <v>30545</v>
      </c>
      <c r="N18" s="4">
        <f>150000-50000</f>
        <v>100000</v>
      </c>
      <c r="O18" s="4">
        <f t="shared" si="3"/>
        <v>150000</v>
      </c>
      <c r="P18" s="4">
        <f t="shared" si="4"/>
        <v>30545</v>
      </c>
      <c r="Q18" s="310"/>
      <c r="R18" s="4"/>
      <c r="S18" s="4">
        <f t="shared" si="5"/>
        <v>0</v>
      </c>
      <c r="T18" s="495">
        <f t="shared" si="6"/>
        <v>0</v>
      </c>
      <c r="U18" s="4">
        <f t="shared" si="7"/>
        <v>100000</v>
      </c>
      <c r="V18" s="4">
        <f t="shared" si="9"/>
        <v>100000</v>
      </c>
      <c r="W18" s="4"/>
      <c r="X18" s="4"/>
      <c r="Y18" s="4"/>
      <c r="Z18" s="4"/>
      <c r="AA18" s="3"/>
      <c r="AB18" s="3" t="s">
        <v>370</v>
      </c>
      <c r="AC18" s="3">
        <v>732000</v>
      </c>
      <c r="AD18" s="18"/>
      <c r="AE18" s="18"/>
      <c r="AF18" s="18"/>
      <c r="AG18" s="18"/>
      <c r="AH18" s="18"/>
      <c r="AI18" s="18"/>
      <c r="AJ18" s="484"/>
      <c r="AK18" s="484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</row>
    <row r="19" spans="1:64" s="5" customFormat="1" ht="30" customHeight="1">
      <c r="A19" s="3">
        <f t="shared" si="8"/>
        <v>15</v>
      </c>
      <c r="B19" s="3">
        <v>1587</v>
      </c>
      <c r="C19" s="3" t="s">
        <v>77</v>
      </c>
      <c r="D19" s="4">
        <v>34200000</v>
      </c>
      <c r="E19" s="4">
        <v>34200000</v>
      </c>
      <c r="F19" s="495">
        <f t="shared" si="0"/>
        <v>0</v>
      </c>
      <c r="G19" s="4">
        <v>13910000</v>
      </c>
      <c r="H19" s="4">
        <v>12263788</v>
      </c>
      <c r="I19" s="4">
        <v>1016811</v>
      </c>
      <c r="J19" s="4">
        <f>56733+152538</f>
        <v>209271</v>
      </c>
      <c r="K19" s="4">
        <f t="shared" si="1"/>
        <v>1226082</v>
      </c>
      <c r="L19" s="4">
        <f t="shared" si="2"/>
        <v>13489870</v>
      </c>
      <c r="M19" s="495">
        <f t="shared" si="10"/>
        <v>20130</v>
      </c>
      <c r="N19" s="4">
        <f>10500000-9500000-800000</f>
        <v>200000</v>
      </c>
      <c r="O19" s="4">
        <f t="shared" si="3"/>
        <v>20490000</v>
      </c>
      <c r="P19" s="4">
        <f t="shared" si="4"/>
        <v>420130</v>
      </c>
      <c r="Q19" s="310"/>
      <c r="R19" s="4">
        <v>-400000</v>
      </c>
      <c r="S19" s="4">
        <f t="shared" si="5"/>
        <v>-400000</v>
      </c>
      <c r="T19" s="495">
        <f t="shared" si="6"/>
        <v>0</v>
      </c>
      <c r="U19" s="4">
        <f t="shared" si="7"/>
        <v>200000</v>
      </c>
      <c r="V19" s="4">
        <f>U19-AA19-W19-Z19-Y19-X19</f>
        <v>200000</v>
      </c>
      <c r="W19" s="4"/>
      <c r="X19" s="4"/>
      <c r="Y19" s="4"/>
      <c r="Z19" s="4"/>
      <c r="AA19" s="3"/>
      <c r="AB19" s="3" t="s">
        <v>1244</v>
      </c>
      <c r="AC19" s="3">
        <v>742000</v>
      </c>
      <c r="AD19" s="18"/>
      <c r="AE19" s="18"/>
      <c r="AF19" s="18"/>
      <c r="AG19" s="18"/>
      <c r="AH19" s="18"/>
      <c r="AI19" s="18"/>
      <c r="AJ19" s="484"/>
      <c r="AK19" s="484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</row>
    <row r="20" spans="1:64" s="5" customFormat="1" ht="30" customHeight="1">
      <c r="A20" s="3">
        <f t="shared" si="8"/>
        <v>16</v>
      </c>
      <c r="B20" s="3">
        <v>1601</v>
      </c>
      <c r="C20" s="3" t="s">
        <v>34</v>
      </c>
      <c r="D20" s="4">
        <v>700000</v>
      </c>
      <c r="E20" s="4">
        <v>700000</v>
      </c>
      <c r="F20" s="495">
        <f t="shared" si="0"/>
        <v>0</v>
      </c>
      <c r="G20" s="4">
        <v>594000</v>
      </c>
      <c r="H20" s="4">
        <v>563211</v>
      </c>
      <c r="I20" s="4">
        <v>0</v>
      </c>
      <c r="J20" s="4">
        <v>0</v>
      </c>
      <c r="K20" s="4">
        <f t="shared" si="1"/>
        <v>0</v>
      </c>
      <c r="L20" s="4">
        <f t="shared" si="2"/>
        <v>563211</v>
      </c>
      <c r="M20" s="495">
        <f t="shared" si="10"/>
        <v>10789</v>
      </c>
      <c r="N20" s="4">
        <f>40000-20000</f>
        <v>20000</v>
      </c>
      <c r="O20" s="4">
        <f t="shared" si="3"/>
        <v>106000</v>
      </c>
      <c r="P20" s="4">
        <f t="shared" si="4"/>
        <v>30789</v>
      </c>
      <c r="Q20" s="310"/>
      <c r="R20" s="4">
        <v>-20000</v>
      </c>
      <c r="S20" s="4">
        <f t="shared" si="5"/>
        <v>-20000</v>
      </c>
      <c r="T20" s="495">
        <f t="shared" si="6"/>
        <v>0</v>
      </c>
      <c r="U20" s="4">
        <f t="shared" si="7"/>
        <v>20000</v>
      </c>
      <c r="V20" s="4">
        <f t="shared" si="9"/>
        <v>20000</v>
      </c>
      <c r="W20" s="4"/>
      <c r="X20" s="4"/>
      <c r="Y20" s="4"/>
      <c r="Z20" s="4"/>
      <c r="AA20" s="3"/>
      <c r="AB20" s="3" t="s">
        <v>396</v>
      </c>
      <c r="AC20" s="3">
        <v>742000</v>
      </c>
      <c r="AD20" s="18"/>
      <c r="AE20" s="18"/>
      <c r="AF20" s="18"/>
      <c r="AG20" s="18"/>
      <c r="AH20" s="18"/>
      <c r="AI20" s="18"/>
      <c r="AJ20" s="484"/>
      <c r="AK20" s="484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6"/>
      <c r="BF20" s="6"/>
      <c r="BG20" s="6"/>
      <c r="BH20" s="6"/>
      <c r="BI20" s="6"/>
      <c r="BJ20" s="6"/>
      <c r="BK20" s="6"/>
      <c r="BL20" s="6"/>
    </row>
    <row r="21" spans="1:64" s="6" customFormat="1" ht="30" customHeight="1">
      <c r="A21" s="3">
        <f t="shared" si="8"/>
        <v>17</v>
      </c>
      <c r="B21" s="3">
        <v>1660</v>
      </c>
      <c r="C21" s="3" t="s">
        <v>20</v>
      </c>
      <c r="D21" s="4">
        <f>2000000+82000</f>
        <v>2082000</v>
      </c>
      <c r="E21" s="4">
        <v>2000000</v>
      </c>
      <c r="F21" s="495">
        <f t="shared" si="0"/>
        <v>82000</v>
      </c>
      <c r="G21" s="4">
        <v>1182000</v>
      </c>
      <c r="H21" s="4">
        <v>449003</v>
      </c>
      <c r="I21" s="4">
        <v>102960</v>
      </c>
      <c r="J21" s="4">
        <f>624257</f>
        <v>624257</v>
      </c>
      <c r="K21" s="4">
        <f t="shared" si="1"/>
        <v>727217</v>
      </c>
      <c r="L21" s="4">
        <f t="shared" si="2"/>
        <v>1176220</v>
      </c>
      <c r="M21" s="495">
        <f t="shared" si="10"/>
        <v>155780</v>
      </c>
      <c r="N21" s="4">
        <f>750000-400000+150000</f>
        <v>500000</v>
      </c>
      <c r="O21" s="4">
        <f t="shared" si="3"/>
        <v>250000</v>
      </c>
      <c r="P21" s="4">
        <f t="shared" si="4"/>
        <v>5780</v>
      </c>
      <c r="Q21" s="310"/>
      <c r="R21" s="4">
        <v>150000</v>
      </c>
      <c r="S21" s="4">
        <f t="shared" si="5"/>
        <v>150000</v>
      </c>
      <c r="T21" s="495">
        <f t="shared" si="6"/>
        <v>0</v>
      </c>
      <c r="U21" s="4">
        <f t="shared" si="7"/>
        <v>500000</v>
      </c>
      <c r="V21" s="4">
        <f t="shared" si="9"/>
        <v>500000</v>
      </c>
      <c r="W21" s="4"/>
      <c r="X21" s="4"/>
      <c r="Y21" s="4"/>
      <c r="Z21" s="4"/>
      <c r="AA21" s="3"/>
      <c r="AB21" s="3" t="s">
        <v>678</v>
      </c>
      <c r="AC21" s="3">
        <v>732000</v>
      </c>
      <c r="AD21" s="18"/>
      <c r="AE21" s="18"/>
      <c r="AF21" s="18"/>
      <c r="AG21" s="18"/>
      <c r="AH21" s="18"/>
      <c r="AI21" s="18"/>
      <c r="AJ21" s="484"/>
      <c r="AK21" s="484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5"/>
      <c r="BF21" s="5"/>
      <c r="BG21" s="5"/>
      <c r="BH21" s="5"/>
      <c r="BI21" s="5"/>
      <c r="BJ21" s="5"/>
      <c r="BK21" s="5"/>
      <c r="BL21" s="5"/>
    </row>
    <row r="22" spans="1:64" s="5" customFormat="1" ht="30" customHeight="1">
      <c r="A22" s="3">
        <f t="shared" si="8"/>
        <v>18</v>
      </c>
      <c r="B22" s="3">
        <v>1701</v>
      </c>
      <c r="C22" s="3" t="s">
        <v>807</v>
      </c>
      <c r="D22" s="4">
        <v>1250000</v>
      </c>
      <c r="E22" s="4">
        <v>1250000</v>
      </c>
      <c r="F22" s="495">
        <f t="shared" si="0"/>
        <v>0</v>
      </c>
      <c r="G22" s="4">
        <v>268000</v>
      </c>
      <c r="H22" s="4">
        <v>149316</v>
      </c>
      <c r="I22" s="4">
        <v>75117</v>
      </c>
      <c r="J22" s="4">
        <v>43110</v>
      </c>
      <c r="K22" s="4">
        <f t="shared" si="1"/>
        <v>118227</v>
      </c>
      <c r="L22" s="4">
        <f t="shared" si="2"/>
        <v>267543</v>
      </c>
      <c r="M22" s="495">
        <f t="shared" si="10"/>
        <v>457</v>
      </c>
      <c r="N22" s="4">
        <f>200000-100000</f>
        <v>100000</v>
      </c>
      <c r="O22" s="4">
        <f t="shared" si="3"/>
        <v>882000</v>
      </c>
      <c r="P22" s="4">
        <f t="shared" si="4"/>
        <v>457</v>
      </c>
      <c r="Q22" s="310"/>
      <c r="R22" s="4"/>
      <c r="S22" s="4">
        <f t="shared" si="5"/>
        <v>0</v>
      </c>
      <c r="T22" s="495">
        <f t="shared" si="6"/>
        <v>0</v>
      </c>
      <c r="U22" s="4">
        <f t="shared" si="7"/>
        <v>100000</v>
      </c>
      <c r="V22" s="4">
        <f t="shared" si="9"/>
        <v>100000</v>
      </c>
      <c r="W22" s="4"/>
      <c r="X22" s="4"/>
      <c r="Y22" s="4"/>
      <c r="Z22" s="4"/>
      <c r="AA22" s="3"/>
      <c r="AB22" s="3" t="s">
        <v>1288</v>
      </c>
      <c r="AC22" s="3">
        <v>732000</v>
      </c>
      <c r="AD22" s="18"/>
      <c r="AE22" s="18"/>
      <c r="AF22" s="18"/>
      <c r="AG22" s="18"/>
      <c r="AH22" s="18"/>
      <c r="AI22" s="18"/>
      <c r="AJ22" s="484"/>
      <c r="AK22" s="484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499"/>
      <c r="BF22" s="499"/>
      <c r="BG22" s="499"/>
      <c r="BH22" s="499"/>
      <c r="BI22" s="499"/>
      <c r="BJ22" s="499"/>
      <c r="BK22" s="499"/>
      <c r="BL22" s="499"/>
    </row>
    <row r="23" spans="1:64" s="6" customFormat="1" ht="30" customHeight="1">
      <c r="A23" s="3">
        <f t="shared" si="8"/>
        <v>19</v>
      </c>
      <c r="B23" s="3">
        <v>1744</v>
      </c>
      <c r="C23" s="3" t="s">
        <v>35</v>
      </c>
      <c r="D23" s="4">
        <v>13000000</v>
      </c>
      <c r="E23" s="4">
        <v>13000000</v>
      </c>
      <c r="F23" s="495">
        <f t="shared" si="0"/>
        <v>0</v>
      </c>
      <c r="G23" s="4">
        <v>6950000</v>
      </c>
      <c r="H23" s="4">
        <v>6385962</v>
      </c>
      <c r="I23" s="4">
        <v>0</v>
      </c>
      <c r="J23" s="4">
        <v>418061</v>
      </c>
      <c r="K23" s="4">
        <f t="shared" si="1"/>
        <v>418061</v>
      </c>
      <c r="L23" s="4">
        <f t="shared" si="2"/>
        <v>6804023</v>
      </c>
      <c r="M23" s="495">
        <f t="shared" si="10"/>
        <v>345977</v>
      </c>
      <c r="N23" s="4">
        <f>500000/10*6-50000</f>
        <v>250000</v>
      </c>
      <c r="O23" s="4">
        <f t="shared" si="3"/>
        <v>5600000</v>
      </c>
      <c r="P23" s="4">
        <f t="shared" si="4"/>
        <v>145977</v>
      </c>
      <c r="Q23" s="310"/>
      <c r="R23" s="4">
        <v>200000</v>
      </c>
      <c r="S23" s="4">
        <f t="shared" si="5"/>
        <v>200000</v>
      </c>
      <c r="T23" s="495">
        <f t="shared" si="6"/>
        <v>0</v>
      </c>
      <c r="U23" s="4">
        <f t="shared" si="7"/>
        <v>250000</v>
      </c>
      <c r="V23" s="4">
        <f t="shared" si="9"/>
        <v>250000</v>
      </c>
      <c r="W23" s="4"/>
      <c r="X23" s="4"/>
      <c r="Y23" s="4"/>
      <c r="Z23" s="4"/>
      <c r="AA23" s="3"/>
      <c r="AB23" s="3" t="s">
        <v>514</v>
      </c>
      <c r="AC23" s="3">
        <v>742000</v>
      </c>
      <c r="AD23" s="18"/>
      <c r="AE23" s="18"/>
      <c r="AF23" s="18"/>
      <c r="AG23" s="18"/>
      <c r="AH23" s="18"/>
      <c r="AI23" s="18"/>
      <c r="AJ23" s="484"/>
      <c r="AK23" s="484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64" s="5" customFormat="1" ht="30">
      <c r="A24" s="3">
        <f t="shared" si="8"/>
        <v>20</v>
      </c>
      <c r="B24" s="3">
        <v>1756</v>
      </c>
      <c r="C24" s="3" t="s">
        <v>345</v>
      </c>
      <c r="D24" s="4">
        <f>1700000-990000</f>
        <v>710000</v>
      </c>
      <c r="E24" s="4">
        <v>1700000</v>
      </c>
      <c r="F24" s="495">
        <f t="shared" si="0"/>
        <v>-990000</v>
      </c>
      <c r="G24" s="4">
        <v>710000</v>
      </c>
      <c r="H24" s="4">
        <v>511535</v>
      </c>
      <c r="I24" s="4">
        <v>0</v>
      </c>
      <c r="J24" s="4">
        <v>192863</v>
      </c>
      <c r="K24" s="4">
        <f t="shared" si="1"/>
        <v>192863</v>
      </c>
      <c r="L24" s="4">
        <f t="shared" si="2"/>
        <v>704398</v>
      </c>
      <c r="M24" s="495">
        <f t="shared" si="10"/>
        <v>5602</v>
      </c>
      <c r="N24" s="497"/>
      <c r="O24" s="4">
        <f t="shared" si="3"/>
        <v>0</v>
      </c>
      <c r="P24" s="4">
        <f t="shared" si="4"/>
        <v>5602</v>
      </c>
      <c r="Q24" s="310"/>
      <c r="R24" s="4"/>
      <c r="S24" s="4">
        <f t="shared" si="5"/>
        <v>0</v>
      </c>
      <c r="T24" s="495">
        <f t="shared" si="6"/>
        <v>0</v>
      </c>
      <c r="U24" s="4">
        <f t="shared" si="7"/>
        <v>0</v>
      </c>
      <c r="V24" s="4">
        <f t="shared" si="9"/>
        <v>0</v>
      </c>
      <c r="W24" s="4"/>
      <c r="X24" s="4"/>
      <c r="Y24" s="4"/>
      <c r="Z24" s="4"/>
      <c r="AA24" s="3"/>
      <c r="AB24" s="19" t="s">
        <v>808</v>
      </c>
      <c r="AC24" s="3">
        <v>732000</v>
      </c>
      <c r="AD24" s="18"/>
      <c r="AE24" s="18"/>
      <c r="AF24" s="18"/>
      <c r="AG24" s="18"/>
      <c r="AH24" s="18"/>
      <c r="AI24" s="18"/>
      <c r="AJ24" s="484"/>
      <c r="AK24" s="484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23"/>
      <c r="AW24" s="123"/>
      <c r="AX24" s="123"/>
      <c r="AY24" s="123"/>
      <c r="AZ24" s="123"/>
      <c r="BA24" s="123"/>
      <c r="BB24" s="123"/>
      <c r="BC24" s="123"/>
      <c r="BD24" s="256"/>
      <c r="BE24" s="256"/>
      <c r="BF24" s="256"/>
      <c r="BG24" s="256"/>
      <c r="BH24" s="256"/>
      <c r="BI24" s="256"/>
      <c r="BJ24" s="256"/>
      <c r="BK24" s="256"/>
      <c r="BL24" s="256"/>
    </row>
    <row r="25" spans="1:64" s="5" customFormat="1" ht="30" customHeight="1">
      <c r="A25" s="3">
        <f t="shared" si="8"/>
        <v>21</v>
      </c>
      <c r="B25" s="19">
        <v>2105</v>
      </c>
      <c r="C25" s="3" t="s">
        <v>262</v>
      </c>
      <c r="D25" s="4">
        <v>60000000</v>
      </c>
      <c r="E25" s="4">
        <v>60000000</v>
      </c>
      <c r="F25" s="495">
        <f t="shared" si="0"/>
        <v>0</v>
      </c>
      <c r="G25" s="4">
        <v>268000</v>
      </c>
      <c r="H25" s="4">
        <v>49428</v>
      </c>
      <c r="I25" s="4">
        <v>0</v>
      </c>
      <c r="J25" s="4">
        <v>217768</v>
      </c>
      <c r="K25" s="4">
        <f t="shared" si="1"/>
        <v>217768</v>
      </c>
      <c r="L25" s="4">
        <f t="shared" si="2"/>
        <v>267196</v>
      </c>
      <c r="M25" s="495">
        <f t="shared" si="10"/>
        <v>804</v>
      </c>
      <c r="N25" s="4">
        <f>3700000-2700000-500000</f>
        <v>500000</v>
      </c>
      <c r="O25" s="4">
        <f t="shared" si="3"/>
        <v>59232000</v>
      </c>
      <c r="P25" s="4">
        <f t="shared" si="4"/>
        <v>804</v>
      </c>
      <c r="Q25" s="310"/>
      <c r="R25" s="4"/>
      <c r="S25" s="4">
        <f t="shared" si="5"/>
        <v>0</v>
      </c>
      <c r="T25" s="495">
        <f t="shared" si="6"/>
        <v>0</v>
      </c>
      <c r="U25" s="4">
        <f t="shared" si="7"/>
        <v>500000</v>
      </c>
      <c r="V25" s="4">
        <f>U25-AA25-W25-Z25-Y25-X25</f>
        <v>500000</v>
      </c>
      <c r="W25" s="4"/>
      <c r="X25" s="4"/>
      <c r="Y25" s="4"/>
      <c r="Z25" s="4"/>
      <c r="AA25" s="3"/>
      <c r="AB25" s="19" t="s">
        <v>713</v>
      </c>
      <c r="AC25" s="3">
        <v>742000</v>
      </c>
      <c r="AD25" s="18"/>
      <c r="AE25" s="18"/>
      <c r="AF25" s="18"/>
      <c r="AG25" s="18"/>
      <c r="AH25" s="18"/>
      <c r="AI25" s="18"/>
      <c r="AJ25" s="484"/>
      <c r="AK25" s="484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6"/>
      <c r="BF25" s="6"/>
      <c r="BG25" s="6"/>
      <c r="BH25" s="6"/>
      <c r="BI25" s="6"/>
      <c r="BJ25" s="6"/>
      <c r="BK25" s="6"/>
      <c r="BL25" s="6"/>
    </row>
    <row r="26" spans="1:64" s="6" customFormat="1" ht="30" customHeight="1">
      <c r="A26" s="3">
        <f t="shared" si="8"/>
        <v>22</v>
      </c>
      <c r="B26" s="3">
        <v>2112</v>
      </c>
      <c r="C26" s="3" t="s">
        <v>294</v>
      </c>
      <c r="D26" s="4">
        <v>7650000</v>
      </c>
      <c r="E26" s="4">
        <v>7650000</v>
      </c>
      <c r="F26" s="495">
        <f t="shared" si="0"/>
        <v>0</v>
      </c>
      <c r="G26" s="4">
        <v>560000</v>
      </c>
      <c r="H26" s="4">
        <v>511352</v>
      </c>
      <c r="I26" s="4">
        <v>0</v>
      </c>
      <c r="J26" s="4">
        <v>11700</v>
      </c>
      <c r="K26" s="4">
        <f t="shared" si="1"/>
        <v>11700</v>
      </c>
      <c r="L26" s="4">
        <f t="shared" si="2"/>
        <v>523052</v>
      </c>
      <c r="M26" s="495">
        <f t="shared" si="10"/>
        <v>36948</v>
      </c>
      <c r="N26" s="4">
        <v>100000</v>
      </c>
      <c r="O26" s="4">
        <f t="shared" si="3"/>
        <v>6990000</v>
      </c>
      <c r="P26" s="4">
        <f t="shared" si="4"/>
        <v>36948</v>
      </c>
      <c r="Q26" s="310"/>
      <c r="R26" s="4"/>
      <c r="S26" s="4">
        <f t="shared" si="5"/>
        <v>0</v>
      </c>
      <c r="T26" s="495">
        <f t="shared" si="6"/>
        <v>0</v>
      </c>
      <c r="U26" s="4">
        <f t="shared" si="7"/>
        <v>100000</v>
      </c>
      <c r="V26" s="4">
        <f t="shared" si="9"/>
        <v>100000</v>
      </c>
      <c r="W26" s="4"/>
      <c r="X26" s="4"/>
      <c r="Y26" s="4"/>
      <c r="Z26" s="4"/>
      <c r="AA26" s="3"/>
      <c r="AB26" s="202" t="s">
        <v>809</v>
      </c>
      <c r="AC26" s="3">
        <v>732000</v>
      </c>
      <c r="AD26" s="18"/>
      <c r="AE26" s="18"/>
      <c r="AF26" s="18"/>
      <c r="AG26" s="18"/>
      <c r="AH26" s="18"/>
      <c r="AI26" s="18"/>
      <c r="AJ26" s="484"/>
      <c r="AK26" s="484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5"/>
      <c r="BF26" s="5"/>
      <c r="BG26" s="5"/>
      <c r="BH26" s="5"/>
      <c r="BI26" s="5"/>
      <c r="BJ26" s="5"/>
      <c r="BK26" s="5"/>
      <c r="BL26" s="5"/>
    </row>
    <row r="27" spans="1:64" s="5" customFormat="1" ht="30" customHeight="1">
      <c r="A27" s="3">
        <f t="shared" si="8"/>
        <v>23</v>
      </c>
      <c r="B27" s="3">
        <v>2113</v>
      </c>
      <c r="C27" s="3" t="s">
        <v>213</v>
      </c>
      <c r="D27" s="4">
        <v>2550000</v>
      </c>
      <c r="E27" s="4">
        <v>2550000</v>
      </c>
      <c r="F27" s="495">
        <f t="shared" si="0"/>
        <v>0</v>
      </c>
      <c r="G27" s="4">
        <v>220000</v>
      </c>
      <c r="H27" s="4">
        <v>116513</v>
      </c>
      <c r="I27" s="4">
        <v>0</v>
      </c>
      <c r="J27" s="4">
        <v>14625</v>
      </c>
      <c r="K27" s="4">
        <f t="shared" si="1"/>
        <v>14625</v>
      </c>
      <c r="L27" s="4">
        <f t="shared" si="2"/>
        <v>131138</v>
      </c>
      <c r="M27" s="495">
        <f t="shared" si="10"/>
        <v>88862</v>
      </c>
      <c r="N27" s="4">
        <f>200000-100000+100000</f>
        <v>200000</v>
      </c>
      <c r="O27" s="4">
        <f t="shared" si="3"/>
        <v>2130000</v>
      </c>
      <c r="P27" s="4">
        <f t="shared" si="4"/>
        <v>88862</v>
      </c>
      <c r="Q27" s="4"/>
      <c r="R27" s="4"/>
      <c r="S27" s="4">
        <f t="shared" si="5"/>
        <v>0</v>
      </c>
      <c r="T27" s="495">
        <f t="shared" si="6"/>
        <v>0</v>
      </c>
      <c r="U27" s="4">
        <f t="shared" si="7"/>
        <v>200000</v>
      </c>
      <c r="V27" s="4">
        <f t="shared" si="9"/>
        <v>200000</v>
      </c>
      <c r="W27" s="4"/>
      <c r="X27" s="4"/>
      <c r="Y27" s="4"/>
      <c r="Z27" s="4"/>
      <c r="AA27" s="3"/>
      <c r="AB27" s="202" t="s">
        <v>397</v>
      </c>
      <c r="AC27" s="3">
        <v>732000</v>
      </c>
      <c r="AD27" s="18"/>
      <c r="AE27" s="18"/>
      <c r="AF27" s="18"/>
      <c r="AG27" s="18"/>
      <c r="AH27" s="18"/>
      <c r="AI27" s="18"/>
      <c r="AJ27" s="484"/>
      <c r="AK27" s="484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6"/>
      <c r="BF27" s="6"/>
      <c r="BG27" s="6"/>
      <c r="BH27" s="6"/>
      <c r="BI27" s="6"/>
      <c r="BJ27" s="6"/>
      <c r="BK27" s="6"/>
      <c r="BL27" s="6"/>
    </row>
    <row r="28" spans="1:64" s="499" customFormat="1" ht="30" customHeight="1">
      <c r="A28" s="3">
        <f t="shared" si="8"/>
        <v>24</v>
      </c>
      <c r="B28" s="3">
        <v>2117</v>
      </c>
      <c r="C28" s="3" t="s">
        <v>372</v>
      </c>
      <c r="D28" s="4">
        <v>750000</v>
      </c>
      <c r="E28" s="4">
        <v>750000</v>
      </c>
      <c r="F28" s="495">
        <f t="shared" si="0"/>
        <v>0</v>
      </c>
      <c r="G28" s="4">
        <v>270000</v>
      </c>
      <c r="H28" s="4">
        <v>92721</v>
      </c>
      <c r="I28" s="4">
        <v>0</v>
      </c>
      <c r="J28" s="4">
        <v>119817</v>
      </c>
      <c r="K28" s="4">
        <f t="shared" si="1"/>
        <v>119817</v>
      </c>
      <c r="L28" s="4">
        <f t="shared" si="2"/>
        <v>212538</v>
      </c>
      <c r="M28" s="495">
        <f>P28+S28-50000</f>
        <v>7462</v>
      </c>
      <c r="N28" s="497">
        <v>50000</v>
      </c>
      <c r="O28" s="4">
        <f t="shared" si="3"/>
        <v>480000</v>
      </c>
      <c r="P28" s="4">
        <f t="shared" si="4"/>
        <v>57462</v>
      </c>
      <c r="Q28" s="310"/>
      <c r="R28" s="4"/>
      <c r="S28" s="4">
        <f t="shared" si="5"/>
        <v>0</v>
      </c>
      <c r="T28" s="495">
        <f t="shared" si="6"/>
        <v>50000</v>
      </c>
      <c r="U28" s="4">
        <f t="shared" si="7"/>
        <v>0</v>
      </c>
      <c r="V28" s="4">
        <f t="shared" si="9"/>
        <v>0</v>
      </c>
      <c r="W28" s="4"/>
      <c r="X28" s="4"/>
      <c r="Y28" s="4"/>
      <c r="Z28" s="4"/>
      <c r="AA28" s="3"/>
      <c r="AB28" s="3" t="s">
        <v>373</v>
      </c>
      <c r="AC28" s="3">
        <v>732000</v>
      </c>
      <c r="AD28" s="18"/>
      <c r="AE28" s="18"/>
      <c r="AF28" s="18"/>
      <c r="AG28" s="18"/>
      <c r="AH28" s="18"/>
      <c r="AI28" s="18"/>
      <c r="AJ28" s="484"/>
      <c r="AK28" s="484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6"/>
      <c r="BF28" s="6"/>
      <c r="BG28" s="6"/>
      <c r="BH28" s="6"/>
      <c r="BI28" s="6"/>
      <c r="BJ28" s="6"/>
      <c r="BK28" s="6"/>
      <c r="BL28" s="6"/>
    </row>
    <row r="29" spans="1:64" s="6" customFormat="1" ht="30" customHeight="1">
      <c r="A29" s="3">
        <f t="shared" si="8"/>
        <v>25</v>
      </c>
      <c r="B29" s="19">
        <v>2121</v>
      </c>
      <c r="C29" s="3" t="s">
        <v>263</v>
      </c>
      <c r="D29" s="4">
        <f>1290000+700000+110000</f>
        <v>2100000</v>
      </c>
      <c r="E29" s="4">
        <v>1290000</v>
      </c>
      <c r="F29" s="495">
        <f t="shared" si="0"/>
        <v>810000</v>
      </c>
      <c r="G29" s="4">
        <v>1100000</v>
      </c>
      <c r="H29" s="4">
        <v>209071</v>
      </c>
      <c r="I29" s="4">
        <v>0</v>
      </c>
      <c r="J29" s="4">
        <v>96923</v>
      </c>
      <c r="K29" s="4">
        <f t="shared" si="1"/>
        <v>96923</v>
      </c>
      <c r="L29" s="4">
        <f t="shared" si="2"/>
        <v>305994</v>
      </c>
      <c r="M29" s="495">
        <f>P29+S29</f>
        <v>794006</v>
      </c>
      <c r="N29" s="4">
        <f>1000000-800000</f>
        <v>200000</v>
      </c>
      <c r="O29" s="4">
        <f t="shared" si="3"/>
        <v>800000</v>
      </c>
      <c r="P29" s="4">
        <f t="shared" si="4"/>
        <v>794006</v>
      </c>
      <c r="Q29" s="310"/>
      <c r="R29" s="4"/>
      <c r="S29" s="4">
        <f t="shared" si="5"/>
        <v>0</v>
      </c>
      <c r="T29" s="495">
        <f t="shared" si="6"/>
        <v>0</v>
      </c>
      <c r="U29" s="4">
        <f t="shared" si="7"/>
        <v>200000</v>
      </c>
      <c r="V29" s="4">
        <f t="shared" si="9"/>
        <v>200000</v>
      </c>
      <c r="W29" s="4"/>
      <c r="X29" s="4"/>
      <c r="Y29" s="4"/>
      <c r="Z29" s="4"/>
      <c r="AA29" s="495"/>
      <c r="AB29" s="3" t="s">
        <v>720</v>
      </c>
      <c r="AC29" s="3">
        <v>742000</v>
      </c>
      <c r="AD29" s="18"/>
      <c r="AE29" s="18"/>
      <c r="AF29" s="18"/>
      <c r="AG29" s="18"/>
      <c r="AH29" s="18"/>
      <c r="AI29" s="18"/>
      <c r="AJ29" s="484"/>
      <c r="AK29" s="484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5"/>
      <c r="BF29" s="5"/>
      <c r="BG29" s="5"/>
      <c r="BH29" s="5"/>
      <c r="BI29" s="5"/>
      <c r="BJ29" s="5"/>
      <c r="BK29" s="5"/>
      <c r="BL29" s="5"/>
    </row>
    <row r="30" spans="1:64" s="5" customFormat="1" ht="30" customHeight="1">
      <c r="A30" s="3">
        <f t="shared" si="8"/>
        <v>26</v>
      </c>
      <c r="B30" s="19">
        <v>2143</v>
      </c>
      <c r="C30" s="3" t="s">
        <v>323</v>
      </c>
      <c r="D30" s="4">
        <v>850000</v>
      </c>
      <c r="E30" s="4">
        <v>850000</v>
      </c>
      <c r="F30" s="495">
        <f t="shared" si="0"/>
        <v>0</v>
      </c>
      <c r="G30" s="4">
        <v>850000</v>
      </c>
      <c r="H30" s="4">
        <v>690172</v>
      </c>
      <c r="I30" s="4">
        <v>0</v>
      </c>
      <c r="J30" s="4">
        <v>153069</v>
      </c>
      <c r="K30" s="4">
        <f t="shared" si="1"/>
        <v>153069</v>
      </c>
      <c r="L30" s="4">
        <f t="shared" si="2"/>
        <v>843241</v>
      </c>
      <c r="M30" s="495">
        <f>P30+S30</f>
        <v>6759</v>
      </c>
      <c r="N30" s="497"/>
      <c r="O30" s="4">
        <f t="shared" si="3"/>
        <v>0</v>
      </c>
      <c r="P30" s="4">
        <f t="shared" si="4"/>
        <v>6759</v>
      </c>
      <c r="Q30" s="310"/>
      <c r="R30" s="4"/>
      <c r="S30" s="4">
        <f t="shared" si="5"/>
        <v>0</v>
      </c>
      <c r="T30" s="495">
        <f t="shared" si="6"/>
        <v>0</v>
      </c>
      <c r="U30" s="4">
        <f t="shared" si="7"/>
        <v>0</v>
      </c>
      <c r="V30" s="4">
        <f t="shared" si="9"/>
        <v>0</v>
      </c>
      <c r="W30" s="4"/>
      <c r="X30" s="4"/>
      <c r="Y30" s="4"/>
      <c r="Z30" s="4"/>
      <c r="AA30" s="3"/>
      <c r="AB30" s="3" t="s">
        <v>1245</v>
      </c>
      <c r="AC30" s="3">
        <v>732000</v>
      </c>
      <c r="AD30" s="18"/>
      <c r="AE30" s="18"/>
      <c r="AF30" s="18"/>
      <c r="AG30" s="18"/>
      <c r="AH30" s="18"/>
      <c r="AI30" s="18"/>
      <c r="AJ30" s="484"/>
      <c r="AK30" s="484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</row>
    <row r="31" spans="1:64" s="6" customFormat="1" ht="30" customHeight="1">
      <c r="A31" s="3">
        <f t="shared" si="8"/>
        <v>27</v>
      </c>
      <c r="B31" s="19">
        <v>2190</v>
      </c>
      <c r="C31" s="3" t="s">
        <v>374</v>
      </c>
      <c r="D31" s="4">
        <v>42618</v>
      </c>
      <c r="E31" s="4">
        <v>42618</v>
      </c>
      <c r="F31" s="495">
        <f t="shared" si="0"/>
        <v>0</v>
      </c>
      <c r="G31" s="4">
        <v>42618</v>
      </c>
      <c r="H31" s="4">
        <v>42618</v>
      </c>
      <c r="I31" s="4">
        <v>0</v>
      </c>
      <c r="J31" s="4">
        <v>0</v>
      </c>
      <c r="K31" s="4">
        <f t="shared" si="1"/>
        <v>0</v>
      </c>
      <c r="L31" s="4">
        <f t="shared" si="2"/>
        <v>42618</v>
      </c>
      <c r="M31" s="495">
        <f>P31+S31</f>
        <v>0</v>
      </c>
      <c r="N31" s="497"/>
      <c r="O31" s="4">
        <f t="shared" si="3"/>
        <v>0</v>
      </c>
      <c r="P31" s="4">
        <f t="shared" si="4"/>
        <v>0</v>
      </c>
      <c r="Q31" s="310"/>
      <c r="R31" s="4"/>
      <c r="S31" s="4">
        <f t="shared" si="5"/>
        <v>0</v>
      </c>
      <c r="T31" s="495">
        <f t="shared" si="6"/>
        <v>0</v>
      </c>
      <c r="U31" s="4">
        <f t="shared" si="7"/>
        <v>0</v>
      </c>
      <c r="V31" s="4">
        <f t="shared" si="9"/>
        <v>0</v>
      </c>
      <c r="W31" s="4"/>
      <c r="X31" s="4"/>
      <c r="Y31" s="4"/>
      <c r="Z31" s="4"/>
      <c r="AA31" s="4"/>
      <c r="AB31" s="3" t="s">
        <v>1250</v>
      </c>
      <c r="AC31" s="3">
        <v>742000</v>
      </c>
      <c r="AD31" s="18"/>
      <c r="AE31" s="18"/>
      <c r="AF31" s="18"/>
      <c r="AG31" s="18"/>
      <c r="AH31" s="18"/>
      <c r="AI31" s="18"/>
      <c r="AJ31" s="484"/>
      <c r="AK31" s="484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23"/>
      <c r="AW31" s="123"/>
      <c r="AX31" s="123"/>
      <c r="AY31" s="123"/>
      <c r="AZ31" s="123"/>
      <c r="BA31" s="123"/>
      <c r="BB31" s="123"/>
      <c r="BC31" s="123"/>
      <c r="BD31" s="256"/>
      <c r="BE31" s="256"/>
      <c r="BF31" s="256"/>
      <c r="BG31" s="256"/>
      <c r="BH31" s="256"/>
      <c r="BI31" s="256"/>
      <c r="BJ31" s="256"/>
      <c r="BK31" s="256"/>
      <c r="BL31" s="256"/>
    </row>
    <row r="32" spans="1:64" s="6" customFormat="1" ht="30" customHeight="1">
      <c r="A32" s="3">
        <f t="shared" si="8"/>
        <v>28</v>
      </c>
      <c r="B32" s="19">
        <v>2193</v>
      </c>
      <c r="C32" s="3" t="s">
        <v>376</v>
      </c>
      <c r="D32" s="4">
        <f>500000+245000</f>
        <v>745000</v>
      </c>
      <c r="E32" s="4">
        <v>500000</v>
      </c>
      <c r="F32" s="495">
        <f t="shared" si="0"/>
        <v>245000</v>
      </c>
      <c r="G32" s="4">
        <v>250000</v>
      </c>
      <c r="H32" s="4">
        <v>34902</v>
      </c>
      <c r="I32" s="4">
        <v>0</v>
      </c>
      <c r="J32" s="4">
        <v>88478</v>
      </c>
      <c r="K32" s="4">
        <f t="shared" si="1"/>
        <v>88478</v>
      </c>
      <c r="L32" s="4">
        <f t="shared" si="2"/>
        <v>123380</v>
      </c>
      <c r="M32" s="495">
        <f>P32+S32</f>
        <v>126620</v>
      </c>
      <c r="N32" s="4">
        <f>495000-295000</f>
        <v>200000</v>
      </c>
      <c r="O32" s="4">
        <f t="shared" si="3"/>
        <v>295000</v>
      </c>
      <c r="P32" s="4">
        <f t="shared" si="4"/>
        <v>126620</v>
      </c>
      <c r="Q32" s="310"/>
      <c r="R32" s="4"/>
      <c r="S32" s="4">
        <f t="shared" si="5"/>
        <v>0</v>
      </c>
      <c r="T32" s="495">
        <f t="shared" si="6"/>
        <v>0</v>
      </c>
      <c r="U32" s="4">
        <f t="shared" si="7"/>
        <v>200000</v>
      </c>
      <c r="V32" s="4">
        <f t="shared" si="9"/>
        <v>200000</v>
      </c>
      <c r="W32" s="4"/>
      <c r="X32" s="4"/>
      <c r="Y32" s="4"/>
      <c r="Z32" s="4"/>
      <c r="AA32" s="3"/>
      <c r="AB32" s="3" t="s">
        <v>725</v>
      </c>
      <c r="AC32" s="3">
        <v>742000</v>
      </c>
      <c r="AD32" s="18"/>
      <c r="AE32" s="18"/>
      <c r="AF32" s="18"/>
      <c r="AG32" s="18"/>
      <c r="AH32" s="18"/>
      <c r="AI32" s="18"/>
      <c r="AJ32" s="484"/>
      <c r="AK32" s="484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5"/>
      <c r="BF32" s="5"/>
      <c r="BG32" s="5"/>
      <c r="BH32" s="5"/>
      <c r="BI32" s="5"/>
      <c r="BJ32" s="5"/>
      <c r="BK32" s="5"/>
      <c r="BL32" s="5"/>
    </row>
    <row r="33" spans="1:64" s="5" customFormat="1" ht="30" customHeight="1">
      <c r="A33" s="3">
        <f t="shared" si="8"/>
        <v>29</v>
      </c>
      <c r="B33" s="19">
        <v>2199</v>
      </c>
      <c r="C33" s="3" t="s">
        <v>382</v>
      </c>
      <c r="D33" s="4">
        <v>1000000</v>
      </c>
      <c r="E33" s="4">
        <v>1000000</v>
      </c>
      <c r="F33" s="495">
        <f t="shared" si="0"/>
        <v>0</v>
      </c>
      <c r="G33" s="4">
        <v>109000</v>
      </c>
      <c r="H33" s="4">
        <v>58970</v>
      </c>
      <c r="I33" s="4">
        <v>0</v>
      </c>
      <c r="J33" s="4">
        <v>0</v>
      </c>
      <c r="K33" s="4">
        <f t="shared" si="1"/>
        <v>0</v>
      </c>
      <c r="L33" s="4">
        <f t="shared" si="2"/>
        <v>58970</v>
      </c>
      <c r="M33" s="495">
        <f>P33+S33-50000</f>
        <v>30</v>
      </c>
      <c r="N33" s="497">
        <v>50000</v>
      </c>
      <c r="O33" s="4">
        <f t="shared" si="3"/>
        <v>891000</v>
      </c>
      <c r="P33" s="4">
        <f t="shared" si="4"/>
        <v>50030</v>
      </c>
      <c r="Q33" s="310"/>
      <c r="R33" s="4"/>
      <c r="S33" s="4">
        <f t="shared" si="5"/>
        <v>0</v>
      </c>
      <c r="T33" s="495">
        <f t="shared" si="6"/>
        <v>50000</v>
      </c>
      <c r="U33" s="4">
        <f t="shared" si="7"/>
        <v>0</v>
      </c>
      <c r="V33" s="4">
        <f t="shared" si="9"/>
        <v>0</v>
      </c>
      <c r="W33" s="4"/>
      <c r="X33" s="4"/>
      <c r="Y33" s="4"/>
      <c r="Z33" s="4"/>
      <c r="AA33" s="3"/>
      <c r="AB33" s="3" t="s">
        <v>462</v>
      </c>
      <c r="AC33" s="3">
        <v>732000</v>
      </c>
      <c r="AD33" s="18"/>
      <c r="AE33" s="18"/>
      <c r="AF33" s="18"/>
      <c r="AG33" s="18"/>
      <c r="AH33" s="18"/>
      <c r="AI33" s="18"/>
      <c r="AJ33" s="484"/>
      <c r="AK33" s="484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</row>
    <row r="34" spans="1:64" s="5" customFormat="1" ht="30" customHeight="1">
      <c r="A34" s="3">
        <f t="shared" si="8"/>
        <v>30</v>
      </c>
      <c r="B34" s="19">
        <v>2200</v>
      </c>
      <c r="C34" s="3" t="s">
        <v>383</v>
      </c>
      <c r="D34" s="4">
        <v>1700000</v>
      </c>
      <c r="E34" s="4">
        <v>1700000</v>
      </c>
      <c r="F34" s="495">
        <f t="shared" si="0"/>
        <v>0</v>
      </c>
      <c r="G34" s="4">
        <v>173000</v>
      </c>
      <c r="H34" s="4">
        <v>23158</v>
      </c>
      <c r="I34" s="4">
        <v>0</v>
      </c>
      <c r="J34" s="4">
        <v>49309</v>
      </c>
      <c r="K34" s="4">
        <f t="shared" si="1"/>
        <v>49309</v>
      </c>
      <c r="L34" s="4">
        <f t="shared" si="2"/>
        <v>72467</v>
      </c>
      <c r="M34" s="495">
        <f>P34+S34</f>
        <v>100533</v>
      </c>
      <c r="N34" s="4">
        <f>400000-100000-100000-100000+100000</f>
        <v>200000</v>
      </c>
      <c r="O34" s="4">
        <f t="shared" si="3"/>
        <v>1327000</v>
      </c>
      <c r="P34" s="4">
        <f t="shared" si="4"/>
        <v>100533</v>
      </c>
      <c r="Q34" s="310"/>
      <c r="R34" s="4"/>
      <c r="S34" s="4">
        <f t="shared" si="5"/>
        <v>0</v>
      </c>
      <c r="T34" s="495">
        <f t="shared" si="6"/>
        <v>0</v>
      </c>
      <c r="U34" s="4">
        <f t="shared" si="7"/>
        <v>200000</v>
      </c>
      <c r="V34" s="4">
        <f t="shared" si="9"/>
        <v>200000</v>
      </c>
      <c r="W34" s="4"/>
      <c r="X34" s="4"/>
      <c r="Y34" s="4"/>
      <c r="Z34" s="4"/>
      <c r="AA34" s="3"/>
      <c r="AB34" s="3" t="s">
        <v>1225</v>
      </c>
      <c r="AC34" s="3">
        <v>732000</v>
      </c>
      <c r="AD34" s="18"/>
      <c r="AE34" s="18"/>
      <c r="AF34" s="18"/>
      <c r="AG34" s="18"/>
      <c r="AH34" s="18"/>
      <c r="AI34" s="18"/>
      <c r="AJ34" s="484"/>
      <c r="AK34" s="484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</row>
    <row r="35" spans="1:64" s="5" customFormat="1" ht="30" customHeight="1">
      <c r="A35" s="3">
        <f t="shared" si="8"/>
        <v>31</v>
      </c>
      <c r="B35" s="19">
        <v>20000</v>
      </c>
      <c r="C35" s="3" t="s">
        <v>418</v>
      </c>
      <c r="D35" s="4">
        <f>2500000+2700000</f>
        <v>5200000</v>
      </c>
      <c r="E35" s="4">
        <v>2500000</v>
      </c>
      <c r="F35" s="495">
        <f t="shared" si="0"/>
        <v>2700000</v>
      </c>
      <c r="G35" s="4">
        <v>100000</v>
      </c>
      <c r="H35" s="4">
        <v>0</v>
      </c>
      <c r="I35" s="4">
        <v>0</v>
      </c>
      <c r="J35" s="4">
        <v>0</v>
      </c>
      <c r="K35" s="4">
        <f t="shared" si="1"/>
        <v>0</v>
      </c>
      <c r="L35" s="4">
        <f t="shared" si="2"/>
        <v>0</v>
      </c>
      <c r="M35" s="495">
        <f>P35+S35-100000</f>
        <v>0</v>
      </c>
      <c r="N35" s="4">
        <f>1600000+100000-1000000-200000</f>
        <v>500000</v>
      </c>
      <c r="O35" s="4">
        <f t="shared" si="3"/>
        <v>4700000</v>
      </c>
      <c r="P35" s="4">
        <f t="shared" si="4"/>
        <v>100000</v>
      </c>
      <c r="Q35" s="310"/>
      <c r="R35" s="4"/>
      <c r="S35" s="4">
        <f t="shared" si="5"/>
        <v>0</v>
      </c>
      <c r="T35" s="495">
        <f t="shared" si="6"/>
        <v>100000</v>
      </c>
      <c r="U35" s="4">
        <f t="shared" si="7"/>
        <v>400000</v>
      </c>
      <c r="V35" s="4">
        <f t="shared" si="9"/>
        <v>400000</v>
      </c>
      <c r="W35" s="4"/>
      <c r="X35" s="4"/>
      <c r="Y35" s="4"/>
      <c r="Z35" s="4"/>
      <c r="AA35" s="3"/>
      <c r="AB35" s="3" t="s">
        <v>689</v>
      </c>
      <c r="AC35" s="3">
        <v>732000</v>
      </c>
      <c r="AD35" s="18"/>
      <c r="AE35" s="18"/>
      <c r="AF35" s="18"/>
      <c r="AG35" s="18"/>
      <c r="AH35" s="18"/>
      <c r="AI35" s="18"/>
      <c r="AJ35" s="484"/>
      <c r="AK35" s="484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</row>
    <row r="36" spans="1:64" s="5" customFormat="1" ht="30" customHeight="1">
      <c r="A36" s="3">
        <f t="shared" si="8"/>
        <v>32</v>
      </c>
      <c r="B36" s="19">
        <v>20001</v>
      </c>
      <c r="C36" s="3" t="s">
        <v>453</v>
      </c>
      <c r="D36" s="4">
        <f>3200000+800000</f>
        <v>4000000</v>
      </c>
      <c r="E36" s="4">
        <v>3200000</v>
      </c>
      <c r="F36" s="495">
        <f t="shared" si="0"/>
        <v>800000</v>
      </c>
      <c r="G36" s="4">
        <v>150000</v>
      </c>
      <c r="H36" s="4">
        <v>7728</v>
      </c>
      <c r="I36" s="4">
        <v>0</v>
      </c>
      <c r="J36" s="4">
        <v>100929</v>
      </c>
      <c r="K36" s="4">
        <f t="shared" si="1"/>
        <v>100929</v>
      </c>
      <c r="L36" s="4">
        <f t="shared" si="2"/>
        <v>108657</v>
      </c>
      <c r="M36" s="495">
        <f t="shared" ref="M36:M49" si="11">P36+S36</f>
        <v>1343</v>
      </c>
      <c r="N36" s="4">
        <f>3850000-3850000</f>
        <v>0</v>
      </c>
      <c r="O36" s="4">
        <f t="shared" si="3"/>
        <v>3890000</v>
      </c>
      <c r="P36" s="4">
        <f t="shared" si="4"/>
        <v>41343</v>
      </c>
      <c r="Q36" s="310"/>
      <c r="R36" s="4">
        <v>-40000</v>
      </c>
      <c r="S36" s="4">
        <f t="shared" si="5"/>
        <v>-40000</v>
      </c>
      <c r="T36" s="495">
        <f t="shared" si="6"/>
        <v>0</v>
      </c>
      <c r="U36" s="4">
        <f t="shared" si="7"/>
        <v>0</v>
      </c>
      <c r="V36" s="4">
        <f t="shared" si="9"/>
        <v>0</v>
      </c>
      <c r="W36" s="4"/>
      <c r="X36" s="4"/>
      <c r="Y36" s="4"/>
      <c r="Z36" s="4"/>
      <c r="AA36" s="3"/>
      <c r="AB36" s="3" t="s">
        <v>612</v>
      </c>
      <c r="AC36" s="3">
        <v>742000</v>
      </c>
      <c r="AD36" s="18"/>
      <c r="AE36" s="18"/>
      <c r="AF36" s="18"/>
      <c r="AG36" s="18"/>
      <c r="AH36" s="18"/>
      <c r="AI36" s="18"/>
      <c r="AJ36" s="484"/>
      <c r="AK36" s="484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6"/>
      <c r="BF36" s="6"/>
      <c r="BG36" s="6"/>
      <c r="BH36" s="6"/>
      <c r="BI36" s="6"/>
      <c r="BJ36" s="6"/>
      <c r="BK36" s="6"/>
      <c r="BL36" s="6"/>
    </row>
    <row r="37" spans="1:64" s="5" customFormat="1" ht="30" customHeight="1">
      <c r="A37" s="3">
        <f t="shared" si="8"/>
        <v>33</v>
      </c>
      <c r="B37" s="19">
        <v>20002</v>
      </c>
      <c r="C37" s="3" t="s">
        <v>419</v>
      </c>
      <c r="D37" s="4">
        <v>7460000</v>
      </c>
      <c r="E37" s="4">
        <v>7460000</v>
      </c>
      <c r="F37" s="495">
        <f t="shared" si="0"/>
        <v>0</v>
      </c>
      <c r="G37" s="4">
        <v>4950000</v>
      </c>
      <c r="H37" s="4">
        <v>4946834</v>
      </c>
      <c r="I37" s="4">
        <v>0</v>
      </c>
      <c r="J37" s="4"/>
      <c r="K37" s="4">
        <f t="shared" si="1"/>
        <v>0</v>
      </c>
      <c r="L37" s="4">
        <f t="shared" si="2"/>
        <v>4946834</v>
      </c>
      <c r="M37" s="495">
        <f t="shared" si="11"/>
        <v>2513166</v>
      </c>
      <c r="N37" s="497"/>
      <c r="O37" s="4">
        <f t="shared" si="3"/>
        <v>0</v>
      </c>
      <c r="P37" s="4">
        <f t="shared" si="4"/>
        <v>3166</v>
      </c>
      <c r="Q37" s="310"/>
      <c r="R37" s="4">
        <v>2510000</v>
      </c>
      <c r="S37" s="4">
        <f t="shared" si="5"/>
        <v>2510000</v>
      </c>
      <c r="T37" s="495">
        <f t="shared" si="6"/>
        <v>0</v>
      </c>
      <c r="U37" s="4">
        <f t="shared" si="7"/>
        <v>0</v>
      </c>
      <c r="V37" s="4">
        <f t="shared" si="9"/>
        <v>0</v>
      </c>
      <c r="W37" s="4"/>
      <c r="X37" s="4"/>
      <c r="Y37" s="4"/>
      <c r="Z37" s="4"/>
      <c r="AA37" s="3"/>
      <c r="AB37" s="3" t="s">
        <v>454</v>
      </c>
      <c r="AC37" s="3">
        <v>742000</v>
      </c>
      <c r="AD37" s="18"/>
      <c r="AE37" s="18"/>
      <c r="AF37" s="18"/>
      <c r="AG37" s="18"/>
      <c r="AH37" s="18"/>
      <c r="AI37" s="18"/>
      <c r="AJ37" s="484"/>
      <c r="AK37" s="484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</row>
    <row r="38" spans="1:64" s="5" customFormat="1" ht="30" customHeight="1">
      <c r="A38" s="3">
        <f t="shared" si="8"/>
        <v>34</v>
      </c>
      <c r="B38" s="19">
        <v>20005</v>
      </c>
      <c r="C38" s="3" t="s">
        <v>421</v>
      </c>
      <c r="D38" s="4">
        <v>1685000</v>
      </c>
      <c r="E38" s="4">
        <v>1685000</v>
      </c>
      <c r="F38" s="495">
        <f t="shared" si="0"/>
        <v>0</v>
      </c>
      <c r="G38" s="4">
        <v>0</v>
      </c>
      <c r="H38" s="4">
        <v>0</v>
      </c>
      <c r="I38" s="4">
        <v>0</v>
      </c>
      <c r="J38" s="4">
        <v>0</v>
      </c>
      <c r="K38" s="4">
        <f t="shared" si="1"/>
        <v>0</v>
      </c>
      <c r="L38" s="4">
        <f t="shared" si="2"/>
        <v>0</v>
      </c>
      <c r="M38" s="495">
        <f t="shared" si="11"/>
        <v>0</v>
      </c>
      <c r="N38" s="4"/>
      <c r="O38" s="4">
        <f t="shared" si="3"/>
        <v>1685000</v>
      </c>
      <c r="P38" s="4">
        <f t="shared" si="4"/>
        <v>0</v>
      </c>
      <c r="Q38" s="310"/>
      <c r="R38" s="4"/>
      <c r="S38" s="4">
        <f t="shared" si="5"/>
        <v>0</v>
      </c>
      <c r="T38" s="495">
        <f t="shared" si="6"/>
        <v>0</v>
      </c>
      <c r="U38" s="4">
        <f t="shared" si="7"/>
        <v>0</v>
      </c>
      <c r="V38" s="4">
        <f t="shared" si="9"/>
        <v>0</v>
      </c>
      <c r="W38" s="4"/>
      <c r="X38" s="4"/>
      <c r="Y38" s="4"/>
      <c r="Z38" s="4"/>
      <c r="AA38" s="3"/>
      <c r="AB38" s="3" t="s">
        <v>422</v>
      </c>
      <c r="AC38" s="3">
        <v>746000</v>
      </c>
      <c r="AD38" s="18"/>
      <c r="AE38" s="18"/>
      <c r="AF38" s="18"/>
      <c r="AG38" s="18"/>
      <c r="AH38" s="18"/>
      <c r="AI38" s="18"/>
      <c r="AJ38" s="484"/>
      <c r="AK38" s="484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</row>
    <row r="39" spans="1:64" s="5" customFormat="1" ht="30" customHeight="1">
      <c r="A39" s="3">
        <f t="shared" si="8"/>
        <v>35</v>
      </c>
      <c r="B39" s="19">
        <v>20006</v>
      </c>
      <c r="C39" s="3" t="s">
        <v>423</v>
      </c>
      <c r="D39" s="4">
        <v>4000000</v>
      </c>
      <c r="E39" s="4">
        <v>4000000</v>
      </c>
      <c r="F39" s="495">
        <f t="shared" si="0"/>
        <v>0</v>
      </c>
      <c r="G39" s="4">
        <v>0</v>
      </c>
      <c r="H39" s="4">
        <v>0</v>
      </c>
      <c r="I39" s="4">
        <v>0</v>
      </c>
      <c r="J39" s="4">
        <v>0</v>
      </c>
      <c r="K39" s="4">
        <f t="shared" si="1"/>
        <v>0</v>
      </c>
      <c r="L39" s="4">
        <f t="shared" si="2"/>
        <v>0</v>
      </c>
      <c r="M39" s="495">
        <f t="shared" si="11"/>
        <v>0</v>
      </c>
      <c r="N39" s="4"/>
      <c r="O39" s="4">
        <f t="shared" si="3"/>
        <v>4000000</v>
      </c>
      <c r="P39" s="4">
        <f t="shared" si="4"/>
        <v>0</v>
      </c>
      <c r="Q39" s="310"/>
      <c r="R39" s="4"/>
      <c r="S39" s="4">
        <f t="shared" si="5"/>
        <v>0</v>
      </c>
      <c r="T39" s="495">
        <f t="shared" si="6"/>
        <v>0</v>
      </c>
      <c r="U39" s="4">
        <f t="shared" si="7"/>
        <v>0</v>
      </c>
      <c r="V39" s="4">
        <f t="shared" si="9"/>
        <v>0</v>
      </c>
      <c r="W39" s="4"/>
      <c r="X39" s="4"/>
      <c r="Y39" s="4"/>
      <c r="Z39" s="4"/>
      <c r="AA39" s="3"/>
      <c r="AB39" s="3" t="s">
        <v>1247</v>
      </c>
      <c r="AC39" s="3">
        <v>746000</v>
      </c>
      <c r="AD39" s="18"/>
      <c r="AE39" s="18"/>
      <c r="AF39" s="18"/>
      <c r="AG39" s="18"/>
      <c r="AH39" s="18"/>
      <c r="AI39" s="18"/>
      <c r="AJ39" s="484"/>
      <c r="AK39" s="484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</row>
    <row r="40" spans="1:64" s="5" customFormat="1" ht="30" customHeight="1">
      <c r="A40" s="3">
        <f t="shared" si="8"/>
        <v>36</v>
      </c>
      <c r="B40" s="19">
        <v>20058</v>
      </c>
      <c r="C40" s="3" t="s">
        <v>481</v>
      </c>
      <c r="D40" s="4">
        <v>800000</v>
      </c>
      <c r="E40" s="4">
        <v>800000</v>
      </c>
      <c r="F40" s="495">
        <f t="shared" si="0"/>
        <v>0</v>
      </c>
      <c r="G40" s="4">
        <v>165500</v>
      </c>
      <c r="H40" s="4">
        <v>40313</v>
      </c>
      <c r="I40" s="4">
        <v>0</v>
      </c>
      <c r="J40" s="4">
        <v>61069</v>
      </c>
      <c r="K40" s="4">
        <f t="shared" si="1"/>
        <v>61069</v>
      </c>
      <c r="L40" s="4">
        <f t="shared" si="2"/>
        <v>101382</v>
      </c>
      <c r="M40" s="495">
        <f t="shared" si="11"/>
        <v>64118</v>
      </c>
      <c r="N40" s="4">
        <f>200000-50000-50000+50000</f>
        <v>150000</v>
      </c>
      <c r="O40" s="4">
        <f t="shared" si="3"/>
        <v>484500</v>
      </c>
      <c r="P40" s="4">
        <f t="shared" si="4"/>
        <v>64118</v>
      </c>
      <c r="Q40" s="4"/>
      <c r="R40" s="4"/>
      <c r="S40" s="4">
        <f t="shared" si="5"/>
        <v>0</v>
      </c>
      <c r="T40" s="495">
        <f t="shared" si="6"/>
        <v>0</v>
      </c>
      <c r="U40" s="4">
        <f t="shared" si="7"/>
        <v>150000</v>
      </c>
      <c r="V40" s="4">
        <f t="shared" si="9"/>
        <v>150000</v>
      </c>
      <c r="W40" s="4"/>
      <c r="X40" s="4"/>
      <c r="Y40" s="4"/>
      <c r="Z40" s="4"/>
      <c r="AA40" s="3"/>
      <c r="AB40" s="3" t="s">
        <v>810</v>
      </c>
      <c r="AC40" s="3">
        <v>732000</v>
      </c>
      <c r="AD40" s="18"/>
      <c r="AE40" s="18"/>
      <c r="AF40" s="18"/>
      <c r="AG40" s="18"/>
      <c r="AH40" s="18"/>
      <c r="AI40" s="18"/>
      <c r="AJ40" s="484"/>
      <c r="AK40" s="484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</row>
    <row r="41" spans="1:64" s="5" customFormat="1" ht="30" customHeight="1">
      <c r="A41" s="3">
        <f t="shared" si="8"/>
        <v>37</v>
      </c>
      <c r="B41" s="19">
        <v>20060</v>
      </c>
      <c r="C41" s="3" t="s">
        <v>482</v>
      </c>
      <c r="D41" s="4">
        <f>640000+860000-100000</f>
        <v>1400000</v>
      </c>
      <c r="E41" s="4">
        <v>640000</v>
      </c>
      <c r="F41" s="495">
        <f t="shared" si="0"/>
        <v>760000</v>
      </c>
      <c r="G41" s="4">
        <v>100000</v>
      </c>
      <c r="H41" s="4">
        <v>0</v>
      </c>
      <c r="I41" s="4">
        <v>0</v>
      </c>
      <c r="J41" s="4">
        <v>0</v>
      </c>
      <c r="K41" s="4">
        <f t="shared" si="1"/>
        <v>0</v>
      </c>
      <c r="L41" s="4">
        <f t="shared" si="2"/>
        <v>0</v>
      </c>
      <c r="M41" s="495">
        <f t="shared" si="11"/>
        <v>100000</v>
      </c>
      <c r="N41" s="4">
        <f>750000-500000-150000+650000</f>
        <v>750000</v>
      </c>
      <c r="O41" s="4">
        <f t="shared" si="3"/>
        <v>550000</v>
      </c>
      <c r="P41" s="4">
        <f t="shared" si="4"/>
        <v>100000</v>
      </c>
      <c r="Q41" s="310"/>
      <c r="R41" s="4"/>
      <c r="S41" s="4">
        <f t="shared" si="5"/>
        <v>0</v>
      </c>
      <c r="T41" s="495">
        <f t="shared" si="6"/>
        <v>0</v>
      </c>
      <c r="U41" s="4">
        <f t="shared" si="7"/>
        <v>750000</v>
      </c>
      <c r="V41" s="4">
        <f t="shared" si="9"/>
        <v>750000</v>
      </c>
      <c r="W41" s="4"/>
      <c r="X41" s="4"/>
      <c r="Y41" s="4"/>
      <c r="Z41" s="4"/>
      <c r="AA41" s="4"/>
      <c r="AB41" s="3" t="s">
        <v>548</v>
      </c>
      <c r="AC41" s="3">
        <v>732000</v>
      </c>
      <c r="AD41" s="18"/>
      <c r="AE41" s="18"/>
      <c r="AF41" s="18"/>
      <c r="AG41" s="18"/>
      <c r="AH41" s="18"/>
      <c r="AI41" s="18"/>
      <c r="AJ41" s="484"/>
      <c r="AK41" s="484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</row>
    <row r="42" spans="1:64" s="5" customFormat="1" ht="30" customHeight="1">
      <c r="A42" s="3">
        <f t="shared" si="8"/>
        <v>38</v>
      </c>
      <c r="B42" s="19">
        <v>20061</v>
      </c>
      <c r="C42" s="3" t="s">
        <v>511</v>
      </c>
      <c r="D42" s="4">
        <v>700000</v>
      </c>
      <c r="E42" s="4">
        <v>700000</v>
      </c>
      <c r="F42" s="495">
        <f t="shared" si="0"/>
        <v>0</v>
      </c>
      <c r="G42" s="4">
        <v>0</v>
      </c>
      <c r="H42" s="4">
        <v>0</v>
      </c>
      <c r="I42" s="4">
        <v>0</v>
      </c>
      <c r="J42" s="4">
        <v>0</v>
      </c>
      <c r="K42" s="4">
        <f t="shared" si="1"/>
        <v>0</v>
      </c>
      <c r="L42" s="4">
        <f t="shared" si="2"/>
        <v>0</v>
      </c>
      <c r="M42" s="495">
        <f t="shared" si="11"/>
        <v>0</v>
      </c>
      <c r="N42" s="4">
        <f>100000-50000</f>
        <v>50000</v>
      </c>
      <c r="O42" s="4">
        <f t="shared" si="3"/>
        <v>650000</v>
      </c>
      <c r="P42" s="4">
        <f t="shared" si="4"/>
        <v>0</v>
      </c>
      <c r="Q42" s="310"/>
      <c r="R42" s="4"/>
      <c r="S42" s="4">
        <f t="shared" si="5"/>
        <v>0</v>
      </c>
      <c r="T42" s="495">
        <f t="shared" si="6"/>
        <v>0</v>
      </c>
      <c r="U42" s="4">
        <f t="shared" si="7"/>
        <v>50000</v>
      </c>
      <c r="V42" s="4">
        <f t="shared" si="9"/>
        <v>50000</v>
      </c>
      <c r="W42" s="4"/>
      <c r="X42" s="4"/>
      <c r="Y42" s="4"/>
      <c r="Z42" s="4"/>
      <c r="AA42" s="4"/>
      <c r="AB42" s="19" t="s">
        <v>549</v>
      </c>
      <c r="AC42" s="3">
        <v>732000</v>
      </c>
      <c r="AD42" s="18"/>
      <c r="AE42" s="18"/>
      <c r="AF42" s="18"/>
      <c r="AG42" s="18"/>
      <c r="AH42" s="18"/>
      <c r="AI42" s="18"/>
      <c r="AJ42" s="484"/>
      <c r="AK42" s="484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</row>
    <row r="43" spans="1:64" s="5" customFormat="1" ht="30" customHeight="1">
      <c r="A43" s="3">
        <f t="shared" si="8"/>
        <v>39</v>
      </c>
      <c r="B43" s="19">
        <v>20062</v>
      </c>
      <c r="C43" s="3" t="s">
        <v>27</v>
      </c>
      <c r="D43" s="4">
        <v>300000</v>
      </c>
      <c r="E43" s="4">
        <v>300000</v>
      </c>
      <c r="F43" s="495">
        <f t="shared" si="0"/>
        <v>0</v>
      </c>
      <c r="G43" s="4">
        <v>66000</v>
      </c>
      <c r="H43" s="4">
        <v>20227</v>
      </c>
      <c r="I43" s="4">
        <v>0</v>
      </c>
      <c r="J43" s="4">
        <v>45270</v>
      </c>
      <c r="K43" s="4">
        <f t="shared" si="1"/>
        <v>45270</v>
      </c>
      <c r="L43" s="4">
        <f t="shared" si="2"/>
        <v>65497</v>
      </c>
      <c r="M43" s="495">
        <f t="shared" si="11"/>
        <v>503</v>
      </c>
      <c r="N43" s="4">
        <v>120000</v>
      </c>
      <c r="O43" s="4">
        <f t="shared" si="3"/>
        <v>114000</v>
      </c>
      <c r="P43" s="4">
        <f t="shared" si="4"/>
        <v>503</v>
      </c>
      <c r="Q43" s="310"/>
      <c r="R43" s="4"/>
      <c r="S43" s="4">
        <f t="shared" si="5"/>
        <v>0</v>
      </c>
      <c r="T43" s="495">
        <f t="shared" si="6"/>
        <v>0</v>
      </c>
      <c r="U43" s="4">
        <f t="shared" si="7"/>
        <v>120000</v>
      </c>
      <c r="V43" s="4">
        <f t="shared" si="9"/>
        <v>120000</v>
      </c>
      <c r="W43" s="4"/>
      <c r="X43" s="4"/>
      <c r="Y43" s="4"/>
      <c r="Z43" s="4"/>
      <c r="AA43" s="4"/>
      <c r="AB43" s="3" t="s">
        <v>811</v>
      </c>
      <c r="AC43" s="3">
        <v>732000</v>
      </c>
      <c r="AD43" s="18"/>
      <c r="AE43" s="18"/>
      <c r="AF43" s="18"/>
      <c r="AG43" s="18"/>
      <c r="AH43" s="18"/>
      <c r="AI43" s="18"/>
      <c r="AJ43" s="484"/>
      <c r="AK43" s="484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</row>
    <row r="44" spans="1:64" s="5" customFormat="1" ht="30" customHeight="1">
      <c r="A44" s="3">
        <f t="shared" si="8"/>
        <v>40</v>
      </c>
      <c r="B44" s="19">
        <v>20102</v>
      </c>
      <c r="C44" s="3" t="s">
        <v>648</v>
      </c>
      <c r="D44" s="4">
        <v>1000000</v>
      </c>
      <c r="E44" s="4">
        <v>1000000</v>
      </c>
      <c r="F44" s="495">
        <f t="shared" si="0"/>
        <v>0</v>
      </c>
      <c r="G44" s="4">
        <v>750000</v>
      </c>
      <c r="H44" s="4">
        <v>245100</v>
      </c>
      <c r="I44" s="4">
        <v>0</v>
      </c>
      <c r="J44" s="4">
        <v>245100</v>
      </c>
      <c r="K44" s="4">
        <f t="shared" si="1"/>
        <v>245100</v>
      </c>
      <c r="L44" s="4">
        <f t="shared" si="2"/>
        <v>490200</v>
      </c>
      <c r="M44" s="495">
        <f t="shared" si="11"/>
        <v>509800</v>
      </c>
      <c r="N44" s="497"/>
      <c r="O44" s="4">
        <f t="shared" si="3"/>
        <v>0</v>
      </c>
      <c r="P44" s="4">
        <f t="shared" si="4"/>
        <v>259800</v>
      </c>
      <c r="Q44" s="4">
        <v>250000</v>
      </c>
      <c r="R44" s="4"/>
      <c r="S44" s="4">
        <f t="shared" si="5"/>
        <v>250000</v>
      </c>
      <c r="T44" s="495">
        <f t="shared" si="6"/>
        <v>0</v>
      </c>
      <c r="U44" s="4">
        <f t="shared" si="7"/>
        <v>0</v>
      </c>
      <c r="V44" s="4">
        <f t="shared" si="9"/>
        <v>0</v>
      </c>
      <c r="W44" s="4"/>
      <c r="X44" s="4"/>
      <c r="Y44" s="4"/>
      <c r="Z44" s="4"/>
      <c r="AA44" s="4"/>
      <c r="AB44" s="3" t="s">
        <v>649</v>
      </c>
      <c r="AC44" s="3">
        <v>870000</v>
      </c>
      <c r="AD44" s="18"/>
      <c r="AE44" s="18"/>
      <c r="AF44" s="18"/>
      <c r="AG44" s="18"/>
      <c r="AH44" s="18"/>
      <c r="AI44" s="18"/>
      <c r="AJ44" s="484"/>
      <c r="AK44" s="484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6"/>
      <c r="BF44" s="6"/>
      <c r="BG44" s="6"/>
      <c r="BH44" s="6"/>
      <c r="BI44" s="6"/>
      <c r="BJ44" s="6"/>
      <c r="BK44" s="6"/>
      <c r="BL44" s="6"/>
    </row>
    <row r="45" spans="1:64" s="5" customFormat="1" ht="30" customHeight="1">
      <c r="A45" s="3">
        <f t="shared" si="8"/>
        <v>41</v>
      </c>
      <c r="B45" s="19">
        <v>20105</v>
      </c>
      <c r="C45" s="127" t="s">
        <v>613</v>
      </c>
      <c r="D45" s="112">
        <v>3500000</v>
      </c>
      <c r="E45" s="112">
        <v>3500000</v>
      </c>
      <c r="F45" s="257">
        <f t="shared" si="0"/>
        <v>0</v>
      </c>
      <c r="G45" s="112">
        <v>0</v>
      </c>
      <c r="H45" s="112">
        <v>0</v>
      </c>
      <c r="I45" s="112">
        <v>0</v>
      </c>
      <c r="J45" s="112">
        <v>0</v>
      </c>
      <c r="K45" s="112">
        <f>I45+J45</f>
        <v>0</v>
      </c>
      <c r="L45" s="112">
        <f t="shared" si="2"/>
        <v>0</v>
      </c>
      <c r="M45" s="495">
        <f t="shared" si="11"/>
        <v>0</v>
      </c>
      <c r="N45" s="4">
        <f>400000-400000</f>
        <v>0</v>
      </c>
      <c r="O45" s="4">
        <f t="shared" si="3"/>
        <v>3500000</v>
      </c>
      <c r="P45" s="112">
        <f t="shared" si="4"/>
        <v>0</v>
      </c>
      <c r="Q45" s="112"/>
      <c r="R45" s="112"/>
      <c r="S45" s="112">
        <f t="shared" si="5"/>
        <v>0</v>
      </c>
      <c r="T45" s="257">
        <f t="shared" si="6"/>
        <v>0</v>
      </c>
      <c r="U45" s="112">
        <f t="shared" si="7"/>
        <v>0</v>
      </c>
      <c r="V45" s="4">
        <f t="shared" si="9"/>
        <v>0</v>
      </c>
      <c r="W45" s="112"/>
      <c r="X45" s="112"/>
      <c r="Y45" s="112"/>
      <c r="Z45" s="112"/>
      <c r="AA45" s="112"/>
      <c r="AB45" s="3" t="s">
        <v>1248</v>
      </c>
      <c r="AC45" s="3">
        <v>742000</v>
      </c>
      <c r="AD45" s="18"/>
      <c r="AE45" s="18"/>
      <c r="AF45" s="18"/>
      <c r="AG45" s="18"/>
      <c r="AH45" s="18"/>
      <c r="AI45" s="18"/>
      <c r="AJ45" s="484"/>
      <c r="AK45" s="484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</row>
    <row r="46" spans="1:64" s="5" customFormat="1" ht="30" customHeight="1">
      <c r="A46" s="3">
        <f t="shared" si="8"/>
        <v>42</v>
      </c>
      <c r="B46" s="19">
        <v>20107</v>
      </c>
      <c r="C46" s="127" t="s">
        <v>614</v>
      </c>
      <c r="D46" s="112">
        <f>4400000+6150000</f>
        <v>10550000</v>
      </c>
      <c r="E46" s="112">
        <v>4400000</v>
      </c>
      <c r="F46" s="257">
        <f t="shared" si="0"/>
        <v>6150000</v>
      </c>
      <c r="G46" s="112">
        <v>150000</v>
      </c>
      <c r="H46" s="112">
        <v>0</v>
      </c>
      <c r="I46" s="112">
        <v>0</v>
      </c>
      <c r="J46" s="112">
        <v>16263</v>
      </c>
      <c r="K46" s="112">
        <f>I46+J46</f>
        <v>16263</v>
      </c>
      <c r="L46" s="112">
        <f t="shared" si="2"/>
        <v>16263</v>
      </c>
      <c r="M46" s="495">
        <f t="shared" si="11"/>
        <v>133737</v>
      </c>
      <c r="N46" s="495">
        <f>10550000-150000-5400000+5400000-6400000-3300000</f>
        <v>700000</v>
      </c>
      <c r="O46" s="4">
        <f t="shared" si="3"/>
        <v>9700000</v>
      </c>
      <c r="P46" s="112">
        <f t="shared" si="4"/>
        <v>133737</v>
      </c>
      <c r="Q46" s="112"/>
      <c r="R46" s="112"/>
      <c r="S46" s="112">
        <f t="shared" si="5"/>
        <v>0</v>
      </c>
      <c r="T46" s="257">
        <f t="shared" si="6"/>
        <v>0</v>
      </c>
      <c r="U46" s="112">
        <f t="shared" si="7"/>
        <v>700000</v>
      </c>
      <c r="V46" s="4">
        <f t="shared" si="9"/>
        <v>700000</v>
      </c>
      <c r="W46" s="112"/>
      <c r="X46" s="112"/>
      <c r="Y46" s="112"/>
      <c r="Z46" s="112"/>
      <c r="AA46" s="112"/>
      <c r="AB46" s="3" t="s">
        <v>1222</v>
      </c>
      <c r="AC46" s="3">
        <v>742000</v>
      </c>
      <c r="AD46" s="18"/>
      <c r="AE46" s="18"/>
      <c r="AF46" s="18"/>
      <c r="AG46" s="18"/>
      <c r="AH46" s="18"/>
      <c r="AI46" s="18"/>
      <c r="AJ46" s="484"/>
      <c r="AK46" s="484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6"/>
      <c r="BF46" s="6"/>
      <c r="BG46" s="6"/>
      <c r="BH46" s="6"/>
      <c r="BI46" s="6"/>
      <c r="BJ46" s="6"/>
      <c r="BK46" s="6"/>
      <c r="BL46" s="6"/>
    </row>
    <row r="47" spans="1:64" s="5" customFormat="1" ht="30" customHeight="1">
      <c r="A47" s="3">
        <f t="shared" si="8"/>
        <v>43</v>
      </c>
      <c r="B47" s="19">
        <v>20142</v>
      </c>
      <c r="C47" s="127" t="s">
        <v>812</v>
      </c>
      <c r="D47" s="112">
        <v>18000000</v>
      </c>
      <c r="E47" s="112">
        <v>18000000</v>
      </c>
      <c r="F47" s="257"/>
      <c r="G47" s="112"/>
      <c r="H47" s="112"/>
      <c r="I47" s="112"/>
      <c r="J47" s="112"/>
      <c r="K47" s="112"/>
      <c r="L47" s="112"/>
      <c r="M47" s="495">
        <f t="shared" si="11"/>
        <v>700000</v>
      </c>
      <c r="N47" s="4">
        <f>3100000-1000000</f>
        <v>2100000</v>
      </c>
      <c r="O47" s="4">
        <f t="shared" si="3"/>
        <v>15200000</v>
      </c>
      <c r="P47" s="112"/>
      <c r="Q47" s="112"/>
      <c r="R47" s="112">
        <v>700000</v>
      </c>
      <c r="S47" s="112">
        <f t="shared" si="5"/>
        <v>700000</v>
      </c>
      <c r="T47" s="257"/>
      <c r="U47" s="112">
        <f t="shared" si="7"/>
        <v>2100000</v>
      </c>
      <c r="V47" s="4">
        <f t="shared" si="9"/>
        <v>2100000</v>
      </c>
      <c r="W47" s="112"/>
      <c r="X47" s="112"/>
      <c r="Y47" s="112"/>
      <c r="Z47" s="112"/>
      <c r="AA47" s="112"/>
      <c r="AB47" s="498" t="s">
        <v>813</v>
      </c>
      <c r="AC47" s="3">
        <v>742000</v>
      </c>
      <c r="AD47" s="18"/>
      <c r="AE47" s="18"/>
      <c r="AF47" s="18"/>
      <c r="AG47" s="18"/>
      <c r="AH47" s="18"/>
      <c r="AI47" s="18"/>
      <c r="AJ47" s="484"/>
      <c r="AK47" s="484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6"/>
      <c r="BF47" s="6"/>
      <c r="BG47" s="6"/>
      <c r="BH47" s="6"/>
      <c r="BI47" s="6"/>
      <c r="BJ47" s="6"/>
      <c r="BK47" s="6"/>
      <c r="BL47" s="6"/>
    </row>
    <row r="48" spans="1:64" s="5" customFormat="1" ht="30" customHeight="1">
      <c r="A48" s="3">
        <f t="shared" ref="A48:A51" si="12">A47+1</f>
        <v>44</v>
      </c>
      <c r="B48" s="19">
        <v>20144</v>
      </c>
      <c r="C48" s="127" t="s">
        <v>815</v>
      </c>
      <c r="D48" s="112">
        <v>1000000</v>
      </c>
      <c r="E48" s="112"/>
      <c r="F48" s="257">
        <f t="shared" ref="F48:F51" si="13">D48-E48</f>
        <v>1000000</v>
      </c>
      <c r="G48" s="112">
        <v>0</v>
      </c>
      <c r="H48" s="112"/>
      <c r="I48" s="112"/>
      <c r="J48" s="112"/>
      <c r="K48" s="112">
        <f>I48+J48</f>
        <v>0</v>
      </c>
      <c r="L48" s="112">
        <f>H48+K48</f>
        <v>0</v>
      </c>
      <c r="M48" s="257">
        <f t="shared" si="11"/>
        <v>0</v>
      </c>
      <c r="N48" s="112">
        <v>200000</v>
      </c>
      <c r="O48" s="112">
        <f t="shared" si="3"/>
        <v>800000</v>
      </c>
      <c r="P48" s="112">
        <f>G48-L48</f>
        <v>0</v>
      </c>
      <c r="Q48" s="112"/>
      <c r="R48" s="112"/>
      <c r="S48" s="112">
        <f t="shared" si="5"/>
        <v>0</v>
      </c>
      <c r="T48" s="112">
        <f>P48-M48+S48</f>
        <v>0</v>
      </c>
      <c r="U48" s="112">
        <f t="shared" si="7"/>
        <v>200000</v>
      </c>
      <c r="V48" s="4">
        <f t="shared" si="9"/>
        <v>200000</v>
      </c>
      <c r="W48" s="112"/>
      <c r="X48" s="112"/>
      <c r="Y48" s="112"/>
      <c r="Z48" s="112"/>
      <c r="AA48" s="112"/>
      <c r="AB48" s="3" t="s">
        <v>816</v>
      </c>
      <c r="AC48" s="3">
        <v>732000</v>
      </c>
      <c r="AD48" s="18"/>
      <c r="AE48" s="18"/>
      <c r="AF48" s="18"/>
      <c r="AG48" s="18"/>
      <c r="AH48" s="18"/>
      <c r="AI48" s="18"/>
      <c r="AJ48" s="484"/>
      <c r="AK48" s="484"/>
      <c r="AL48" s="18"/>
      <c r="AM48" s="18"/>
      <c r="AN48" s="18"/>
      <c r="AO48" s="18"/>
      <c r="AP48" s="18"/>
      <c r="AQ48" s="18"/>
      <c r="AR48" s="18"/>
      <c r="AS48" s="18"/>
      <c r="AT48" s="123"/>
      <c r="AU48" s="123"/>
      <c r="AV48" s="123"/>
      <c r="AW48" s="123"/>
      <c r="AX48" s="123"/>
      <c r="AY48" s="256"/>
      <c r="AZ48" s="256"/>
      <c r="BA48" s="256"/>
      <c r="BB48" s="256"/>
      <c r="BC48" s="256"/>
      <c r="BD48" s="256"/>
      <c r="BE48" s="256"/>
      <c r="BF48" s="256"/>
      <c r="BG48" s="256"/>
    </row>
    <row r="49" spans="1:64" s="5" customFormat="1" ht="30" customHeight="1">
      <c r="A49" s="3">
        <f t="shared" si="12"/>
        <v>45</v>
      </c>
      <c r="B49" s="19">
        <v>20145</v>
      </c>
      <c r="C49" s="127" t="s">
        <v>817</v>
      </c>
      <c r="D49" s="112">
        <v>1500000</v>
      </c>
      <c r="E49" s="112"/>
      <c r="F49" s="257">
        <f t="shared" si="13"/>
        <v>1500000</v>
      </c>
      <c r="G49" s="112">
        <v>0</v>
      </c>
      <c r="H49" s="112"/>
      <c r="I49" s="112"/>
      <c r="J49" s="112"/>
      <c r="K49" s="112">
        <f>I49+J49</f>
        <v>0</v>
      </c>
      <c r="L49" s="112">
        <f>H49+K49</f>
        <v>0</v>
      </c>
      <c r="M49" s="257">
        <f t="shared" si="11"/>
        <v>0</v>
      </c>
      <c r="N49" s="112">
        <v>1400000</v>
      </c>
      <c r="O49" s="112">
        <f t="shared" ref="O49:O51" si="14">D49-L49-M49-N49</f>
        <v>100000</v>
      </c>
      <c r="P49" s="112">
        <f>G49-L49</f>
        <v>0</v>
      </c>
      <c r="Q49" s="112"/>
      <c r="R49" s="112"/>
      <c r="S49" s="112">
        <f t="shared" si="5"/>
        <v>0</v>
      </c>
      <c r="T49" s="112">
        <f>P49-M49+S49</f>
        <v>0</v>
      </c>
      <c r="U49" s="112">
        <f t="shared" si="7"/>
        <v>1400000</v>
      </c>
      <c r="V49" s="4">
        <f t="shared" si="9"/>
        <v>0</v>
      </c>
      <c r="W49" s="112"/>
      <c r="X49" s="112"/>
      <c r="Y49" s="112">
        <v>1400000</v>
      </c>
      <c r="Z49" s="112"/>
      <c r="AA49" s="112"/>
      <c r="AB49" s="3" t="s">
        <v>1328</v>
      </c>
      <c r="AC49" s="3">
        <v>742000</v>
      </c>
      <c r="AD49" s="18"/>
      <c r="AE49" s="18"/>
      <c r="AF49" s="18"/>
      <c r="AG49" s="18"/>
      <c r="AH49" s="18"/>
      <c r="AI49" s="18"/>
      <c r="AJ49" s="484"/>
      <c r="AK49" s="484"/>
      <c r="AL49" s="18"/>
      <c r="AM49" s="18"/>
      <c r="AN49" s="18"/>
      <c r="AO49" s="18"/>
      <c r="AP49" s="18"/>
      <c r="AQ49" s="18"/>
      <c r="AR49" s="18"/>
      <c r="AS49" s="18"/>
      <c r="AT49" s="123"/>
      <c r="AU49" s="123"/>
      <c r="AV49" s="123"/>
      <c r="AW49" s="123"/>
      <c r="AX49" s="123"/>
      <c r="AY49" s="256"/>
      <c r="AZ49" s="256"/>
      <c r="BA49" s="256"/>
      <c r="BB49" s="256"/>
      <c r="BC49" s="256"/>
      <c r="BD49" s="256"/>
      <c r="BE49" s="256"/>
      <c r="BF49" s="256"/>
      <c r="BG49" s="256"/>
    </row>
    <row r="50" spans="1:64" s="5" customFormat="1" ht="30" customHeight="1">
      <c r="A50" s="3">
        <f t="shared" si="12"/>
        <v>46</v>
      </c>
      <c r="B50" s="19">
        <v>20146</v>
      </c>
      <c r="C50" s="19" t="s">
        <v>1226</v>
      </c>
      <c r="D50" s="112">
        <v>400000</v>
      </c>
      <c r="E50" s="434"/>
      <c r="F50" s="257">
        <f t="shared" si="13"/>
        <v>400000</v>
      </c>
      <c r="G50" s="112"/>
      <c r="H50" s="112"/>
      <c r="I50" s="112"/>
      <c r="J50" s="112"/>
      <c r="K50" s="112"/>
      <c r="L50" s="112"/>
      <c r="M50" s="257"/>
      <c r="N50" s="112">
        <f>400000-200000-100000</f>
        <v>100000</v>
      </c>
      <c r="O50" s="112">
        <f t="shared" si="14"/>
        <v>300000</v>
      </c>
      <c r="P50" s="112"/>
      <c r="Q50" s="112"/>
      <c r="R50" s="112"/>
      <c r="S50" s="112"/>
      <c r="T50" s="112"/>
      <c r="U50" s="112">
        <f t="shared" ref="U50:U51" si="15">N50-T50</f>
        <v>100000</v>
      </c>
      <c r="V50" s="4">
        <f t="shared" si="9"/>
        <v>100000</v>
      </c>
      <c r="W50" s="112"/>
      <c r="X50" s="112"/>
      <c r="Y50" s="112"/>
      <c r="Z50" s="112"/>
      <c r="AA50" s="112"/>
      <c r="AB50" s="3" t="s">
        <v>1227</v>
      </c>
      <c r="AC50" s="3">
        <v>732000</v>
      </c>
      <c r="AD50" s="18"/>
      <c r="AE50" s="18"/>
      <c r="AF50" s="18"/>
      <c r="AG50" s="18"/>
      <c r="AH50" s="18"/>
      <c r="AI50" s="18"/>
      <c r="AJ50" s="484"/>
      <c r="AK50" s="484"/>
      <c r="AL50" s="18"/>
      <c r="AM50" s="18"/>
      <c r="AN50" s="18"/>
      <c r="AO50" s="18"/>
      <c r="AP50" s="18"/>
      <c r="AQ50" s="18"/>
      <c r="AR50" s="18"/>
      <c r="AS50" s="18"/>
      <c r="AT50" s="205"/>
      <c r="AU50" s="205"/>
      <c r="AV50" s="205"/>
      <c r="AW50" s="205"/>
      <c r="AX50" s="205"/>
      <c r="AY50" s="374"/>
      <c r="AZ50" s="374"/>
      <c r="BA50" s="374"/>
      <c r="BB50" s="374"/>
      <c r="BC50" s="374"/>
      <c r="BD50" s="374"/>
      <c r="BE50" s="374"/>
      <c r="BF50" s="374"/>
      <c r="BG50" s="374"/>
    </row>
    <row r="51" spans="1:64" s="5" customFormat="1" ht="30" customHeight="1">
      <c r="A51" s="3">
        <f t="shared" si="12"/>
        <v>47</v>
      </c>
      <c r="B51" s="19">
        <v>20147</v>
      </c>
      <c r="C51" s="19" t="s">
        <v>1228</v>
      </c>
      <c r="D51" s="112">
        <v>600000</v>
      </c>
      <c r="E51" s="434"/>
      <c r="F51" s="257">
        <f t="shared" si="13"/>
        <v>600000</v>
      </c>
      <c r="G51" s="112"/>
      <c r="H51" s="112"/>
      <c r="I51" s="112"/>
      <c r="J51" s="112"/>
      <c r="K51" s="112"/>
      <c r="L51" s="112"/>
      <c r="M51" s="257"/>
      <c r="N51" s="112">
        <f>600000-300000-150000</f>
        <v>150000</v>
      </c>
      <c r="O51" s="112">
        <f t="shared" si="14"/>
        <v>450000</v>
      </c>
      <c r="P51" s="112"/>
      <c r="Q51" s="112"/>
      <c r="R51" s="112"/>
      <c r="S51" s="112"/>
      <c r="T51" s="112"/>
      <c r="U51" s="112">
        <f t="shared" si="15"/>
        <v>150000</v>
      </c>
      <c r="V51" s="4">
        <f t="shared" si="9"/>
        <v>150000</v>
      </c>
      <c r="W51" s="112"/>
      <c r="X51" s="112"/>
      <c r="Y51" s="112"/>
      <c r="Z51" s="112"/>
      <c r="AA51" s="112"/>
      <c r="AB51" s="3" t="s">
        <v>1235</v>
      </c>
      <c r="AC51" s="3">
        <v>870000</v>
      </c>
      <c r="AD51" s="18"/>
      <c r="AE51" s="18"/>
      <c r="AF51" s="18"/>
      <c r="AG51" s="18"/>
      <c r="AH51" s="18"/>
      <c r="AI51" s="18"/>
      <c r="AJ51" s="484"/>
      <c r="AK51" s="484"/>
      <c r="AL51" s="18"/>
      <c r="AM51" s="18"/>
      <c r="AN51" s="18"/>
      <c r="AO51" s="18"/>
      <c r="AP51" s="18"/>
      <c r="AQ51" s="18"/>
      <c r="AR51" s="18"/>
      <c r="AS51" s="18"/>
      <c r="AT51" s="205"/>
      <c r="AU51" s="205"/>
      <c r="AV51" s="205"/>
      <c r="AW51" s="205"/>
      <c r="AX51" s="205"/>
      <c r="AY51" s="374"/>
      <c r="AZ51" s="374"/>
      <c r="BA51" s="374"/>
      <c r="BB51" s="374"/>
      <c r="BC51" s="374"/>
      <c r="BD51" s="374"/>
      <c r="BE51" s="374"/>
      <c r="BF51" s="374"/>
      <c r="BG51" s="374"/>
    </row>
    <row r="52" spans="1:64" s="40" customFormat="1" ht="30" customHeight="1">
      <c r="A52" s="236">
        <f>COUNT(A5:A51)</f>
        <v>47</v>
      </c>
      <c r="B52" s="20"/>
      <c r="C52" s="208" t="s">
        <v>75</v>
      </c>
      <c r="D52" s="236">
        <f>SUM(D5:D51)</f>
        <v>404874756</v>
      </c>
      <c r="E52" s="236">
        <f t="shared" ref="E52:AA52" si="16">SUM(E5:E51)</f>
        <v>348068858</v>
      </c>
      <c r="F52" s="236">
        <f t="shared" si="16"/>
        <v>56805898</v>
      </c>
      <c r="G52" s="236">
        <f t="shared" si="16"/>
        <v>121836027</v>
      </c>
      <c r="H52" s="236">
        <f t="shared" si="16"/>
        <v>108070010</v>
      </c>
      <c r="I52" s="236">
        <f t="shared" si="16"/>
        <v>2837879</v>
      </c>
      <c r="J52" s="236">
        <f t="shared" si="16"/>
        <v>6165337</v>
      </c>
      <c r="K52" s="236">
        <f t="shared" si="16"/>
        <v>9003216</v>
      </c>
      <c r="L52" s="236">
        <f t="shared" si="16"/>
        <v>117073226</v>
      </c>
      <c r="M52" s="236">
        <f t="shared" si="16"/>
        <v>7888801</v>
      </c>
      <c r="N52" s="236">
        <f t="shared" si="16"/>
        <v>30095000</v>
      </c>
      <c r="O52" s="236">
        <f t="shared" si="16"/>
        <v>249817729</v>
      </c>
      <c r="P52" s="236">
        <f t="shared" si="16"/>
        <v>4762801</v>
      </c>
      <c r="Q52" s="236">
        <f t="shared" si="16"/>
        <v>250000</v>
      </c>
      <c r="R52" s="236">
        <f t="shared" si="16"/>
        <v>3401000</v>
      </c>
      <c r="S52" s="236">
        <f t="shared" si="16"/>
        <v>3651000</v>
      </c>
      <c r="T52" s="236">
        <f t="shared" si="16"/>
        <v>525000</v>
      </c>
      <c r="U52" s="236">
        <f t="shared" si="16"/>
        <v>29570000</v>
      </c>
      <c r="V52" s="236">
        <f t="shared" si="16"/>
        <v>13170000</v>
      </c>
      <c r="W52" s="236">
        <f t="shared" si="16"/>
        <v>0</v>
      </c>
      <c r="X52" s="236">
        <f t="shared" si="16"/>
        <v>0</v>
      </c>
      <c r="Y52" s="236">
        <f t="shared" si="16"/>
        <v>1400000</v>
      </c>
      <c r="Z52" s="236">
        <f t="shared" si="16"/>
        <v>0</v>
      </c>
      <c r="AA52" s="236">
        <f t="shared" si="16"/>
        <v>15000000</v>
      </c>
      <c r="AB52" s="20"/>
      <c r="AC52" s="20"/>
      <c r="AD52" s="18"/>
      <c r="AE52" s="18"/>
      <c r="AF52" s="18"/>
      <c r="AG52" s="18"/>
      <c r="AH52" s="18"/>
      <c r="AI52" s="18"/>
      <c r="AJ52" s="484"/>
      <c r="AK52" s="484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232"/>
      <c r="AW52" s="232"/>
      <c r="AX52" s="232"/>
      <c r="AY52" s="232"/>
      <c r="AZ52" s="232"/>
      <c r="BA52" s="232"/>
      <c r="BB52" s="232"/>
      <c r="BC52" s="232"/>
      <c r="BD52" s="312"/>
      <c r="BE52" s="312"/>
      <c r="BF52" s="312"/>
      <c r="BG52" s="312"/>
      <c r="BH52" s="312"/>
      <c r="BI52" s="312"/>
      <c r="BJ52" s="312"/>
      <c r="BK52" s="312"/>
      <c r="BL52" s="312"/>
    </row>
    <row r="53" spans="1:64" s="499" customFormat="1" ht="15" hidden="1" customHeight="1">
      <c r="A53" s="650"/>
      <c r="B53" s="388"/>
      <c r="C53" s="651"/>
      <c r="D53" s="650">
        <f>SUM(L52:O52)</f>
        <v>404874756</v>
      </c>
      <c r="E53" s="650"/>
      <c r="F53" s="650">
        <f>D52-E52</f>
        <v>56805898</v>
      </c>
      <c r="G53" s="650"/>
      <c r="H53" s="650"/>
      <c r="I53" s="650"/>
      <c r="J53" s="650"/>
      <c r="K53" s="650"/>
      <c r="L53" s="650">
        <f>H52+K52</f>
        <v>117073226</v>
      </c>
      <c r="M53" s="650">
        <f>P52+S52</f>
        <v>8413801</v>
      </c>
      <c r="N53" s="650"/>
      <c r="O53" s="650"/>
      <c r="P53" s="650">
        <f>G52-L53</f>
        <v>4762801</v>
      </c>
      <c r="Q53" s="11">
        <f>'ריכוז אגפים 2024'!AV7</f>
        <v>600000</v>
      </c>
      <c r="R53" s="11">
        <f>'עדכוני תקציב 2024'!AE35</f>
        <v>3401000</v>
      </c>
      <c r="S53" s="650"/>
      <c r="T53" s="650">
        <f>P53+S52-M52</f>
        <v>525000</v>
      </c>
      <c r="U53" s="650">
        <f>N52-T53</f>
        <v>29570000</v>
      </c>
      <c r="V53" s="650"/>
      <c r="W53" s="650"/>
      <c r="X53" s="650"/>
      <c r="Y53" s="650"/>
      <c r="Z53" s="650"/>
      <c r="AA53" s="650"/>
      <c r="AB53" s="388"/>
      <c r="AC53" s="388"/>
      <c r="AD53" s="18"/>
      <c r="AE53" s="522"/>
      <c r="AF53" s="522"/>
      <c r="AG53" s="522"/>
      <c r="AH53" s="522"/>
      <c r="AI53" s="522"/>
      <c r="AJ53" s="606"/>
      <c r="AK53" s="606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59"/>
      <c r="AW53" s="559"/>
      <c r="AX53" s="559"/>
      <c r="AY53" s="559"/>
      <c r="AZ53" s="559"/>
      <c r="BA53" s="559"/>
      <c r="BB53" s="559"/>
      <c r="BC53" s="559"/>
      <c r="BD53" s="652"/>
      <c r="BE53" s="652"/>
      <c r="BF53" s="652"/>
      <c r="BG53" s="652"/>
      <c r="BH53" s="652"/>
      <c r="BI53" s="652"/>
      <c r="BJ53" s="652"/>
      <c r="BK53" s="652"/>
      <c r="BL53" s="652"/>
    </row>
    <row r="54" spans="1:64" s="40" customFormat="1" ht="15" hidden="1" customHeight="1">
      <c r="A54" s="335"/>
      <c r="B54" s="333"/>
      <c r="C54" s="334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11">
        <f>Q52-Q53</f>
        <v>-350000</v>
      </c>
      <c r="R54" s="11">
        <f>R52-R53</f>
        <v>0</v>
      </c>
      <c r="S54" s="335"/>
      <c r="T54" s="335"/>
      <c r="U54" s="335"/>
      <c r="V54" s="335"/>
      <c r="W54" s="335"/>
      <c r="X54" s="335"/>
      <c r="Y54" s="335"/>
      <c r="Z54" s="335"/>
      <c r="AA54" s="335"/>
      <c r="AB54" s="333"/>
      <c r="AC54" s="333"/>
      <c r="AD54" s="18"/>
      <c r="AE54" s="18"/>
      <c r="AF54" s="18"/>
      <c r="AG54" s="18"/>
      <c r="AH54" s="18"/>
      <c r="AI54" s="18"/>
      <c r="AJ54" s="484"/>
      <c r="AK54" s="484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32"/>
      <c r="AW54" s="232"/>
      <c r="AX54" s="232"/>
      <c r="AY54" s="232"/>
      <c r="AZ54" s="232"/>
      <c r="BA54" s="232"/>
      <c r="BB54" s="232"/>
      <c r="BC54" s="232"/>
      <c r="BD54" s="312"/>
      <c r="BE54" s="312"/>
      <c r="BF54" s="312"/>
      <c r="BG54" s="312"/>
      <c r="BH54" s="312"/>
      <c r="BI54" s="312"/>
      <c r="BJ54" s="312"/>
      <c r="BK54" s="312"/>
      <c r="BL54" s="312"/>
    </row>
    <row r="55" spans="1:64" s="40" customFormat="1" ht="15" hidden="1" customHeight="1">
      <c r="A55" s="335"/>
      <c r="B55" s="333"/>
      <c r="C55" s="334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11" t="s">
        <v>1303</v>
      </c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3"/>
      <c r="AC55" s="333"/>
      <c r="AD55" s="18"/>
      <c r="AE55" s="18"/>
      <c r="AF55" s="18"/>
      <c r="AG55" s="18"/>
      <c r="AH55" s="18"/>
      <c r="AI55" s="18"/>
      <c r="AJ55" s="484"/>
      <c r="AK55" s="484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232"/>
      <c r="AW55" s="232"/>
      <c r="AX55" s="232"/>
      <c r="AY55" s="232"/>
      <c r="AZ55" s="232"/>
      <c r="BA55" s="232"/>
      <c r="BB55" s="232"/>
      <c r="BC55" s="232"/>
      <c r="BD55" s="312"/>
      <c r="BE55" s="312"/>
      <c r="BF55" s="312"/>
      <c r="BG55" s="312"/>
      <c r="BH55" s="312"/>
      <c r="BI55" s="312"/>
      <c r="BJ55" s="312"/>
      <c r="BK55" s="312"/>
      <c r="BL55" s="312"/>
    </row>
    <row r="94" spans="13:45" s="10" customFormat="1" ht="37.9" customHeight="1">
      <c r="M94" s="606"/>
      <c r="AD94" s="18"/>
      <c r="AE94" s="18"/>
      <c r="AF94" s="18"/>
      <c r="AG94" s="18"/>
      <c r="AH94" s="18"/>
      <c r="AI94" s="18"/>
      <c r="AJ94" s="484"/>
      <c r="AK94" s="484"/>
      <c r="AL94" s="18"/>
      <c r="AM94" s="18"/>
      <c r="AN94" s="18"/>
      <c r="AO94" s="18"/>
      <c r="AP94" s="18"/>
      <c r="AQ94" s="18"/>
      <c r="AR94" s="18"/>
      <c r="AS94" s="18"/>
    </row>
    <row r="97" spans="13:45" s="10" customFormat="1" ht="70.900000000000006" customHeight="1">
      <c r="M97" s="606"/>
      <c r="AD97" s="18"/>
      <c r="AE97" s="18"/>
      <c r="AF97" s="18"/>
      <c r="AG97" s="18"/>
      <c r="AH97" s="18"/>
      <c r="AI97" s="18"/>
      <c r="AJ97" s="484"/>
      <c r="AK97" s="484"/>
      <c r="AL97" s="18"/>
      <c r="AM97" s="18"/>
      <c r="AN97" s="18"/>
      <c r="AO97" s="18"/>
      <c r="AP97" s="18"/>
      <c r="AQ97" s="18"/>
      <c r="AR97" s="18"/>
      <c r="AS97" s="18"/>
    </row>
    <row r="100" spans="13:45" s="10" customFormat="1" ht="72" customHeight="1">
      <c r="M100" s="606"/>
      <c r="AD100" s="18"/>
      <c r="AE100" s="18"/>
      <c r="AF100" s="18"/>
      <c r="AG100" s="18"/>
      <c r="AH100" s="18"/>
      <c r="AI100" s="18"/>
      <c r="AJ100" s="484"/>
      <c r="AK100" s="484"/>
      <c r="AL100" s="18"/>
      <c r="AM100" s="18"/>
      <c r="AN100" s="18"/>
      <c r="AO100" s="18"/>
      <c r="AP100" s="18"/>
      <c r="AQ100" s="18"/>
      <c r="AR100" s="18"/>
      <c r="AS100" s="18"/>
    </row>
    <row r="102" spans="13:45" s="10" customFormat="1" ht="43.9" customHeight="1">
      <c r="M102" s="606"/>
      <c r="AD102" s="18"/>
      <c r="AE102" s="18"/>
      <c r="AF102" s="18"/>
      <c r="AG102" s="18"/>
      <c r="AH102" s="18"/>
      <c r="AI102" s="18"/>
      <c r="AJ102" s="484"/>
      <c r="AK102" s="484"/>
      <c r="AL102" s="18"/>
      <c r="AM102" s="18"/>
      <c r="AN102" s="18"/>
      <c r="AO102" s="18"/>
      <c r="AP102" s="18"/>
      <c r="AQ102" s="18"/>
      <c r="AR102" s="18"/>
      <c r="AS102" s="18"/>
    </row>
    <row r="104" spans="13:45" s="10" customFormat="1" ht="30" customHeight="1">
      <c r="M104" s="606"/>
      <c r="AD104" s="18"/>
      <c r="AE104" s="18"/>
      <c r="AF104" s="18"/>
      <c r="AG104" s="18"/>
      <c r="AH104" s="18"/>
      <c r="AI104" s="18"/>
      <c r="AJ104" s="484"/>
      <c r="AK104" s="484"/>
      <c r="AL104" s="18"/>
      <c r="AM104" s="18"/>
      <c r="AN104" s="18"/>
      <c r="AO104" s="18"/>
      <c r="AP104" s="18"/>
      <c r="AQ104" s="18"/>
      <c r="AR104" s="18"/>
      <c r="AS104" s="18"/>
    </row>
  </sheetData>
  <sortState xmlns:xlrd2="http://schemas.microsoft.com/office/spreadsheetml/2017/richdata2" ref="A5:BL47">
    <sortCondition ref="B5:B47"/>
  </sortState>
  <phoneticPr fontId="139" type="noConversion"/>
  <conditionalFormatting sqref="O1:O4 O56:O1048576">
    <cfRule type="cellIs" dxfId="430" priority="5" operator="lessThan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5"/>
  <sheetViews>
    <sheetView showZeros="0" rightToLeft="1" workbookViewId="0">
      <selection activeCell="U4" sqref="U4"/>
    </sheetView>
  </sheetViews>
  <sheetFormatPr defaultColWidth="9.140625" defaultRowHeight="14.25"/>
  <cols>
    <col min="1" max="1" width="9.140625" style="116"/>
    <col min="2" max="7" width="9.140625" style="63"/>
    <col min="8" max="8" width="14.28515625" style="63" customWidth="1"/>
    <col min="9" max="16384" width="9.140625" style="63"/>
  </cols>
  <sheetData>
    <row r="3" spans="1:10" ht="18.75">
      <c r="B3" s="117"/>
      <c r="C3" s="117"/>
      <c r="D3" s="117"/>
      <c r="E3" s="117"/>
      <c r="F3" s="117"/>
      <c r="G3" s="117"/>
      <c r="H3" s="117"/>
    </row>
    <row r="4" spans="1:10" ht="20.25">
      <c r="B4" s="72" t="s">
        <v>169</v>
      </c>
      <c r="H4" s="72" t="s">
        <v>170</v>
      </c>
      <c r="J4" s="244"/>
    </row>
    <row r="5" spans="1:10" ht="15.75">
      <c r="B5" s="65"/>
    </row>
    <row r="6" spans="1:10" ht="24.95" customHeight="1">
      <c r="A6" s="118"/>
      <c r="B6" s="65" t="s">
        <v>120</v>
      </c>
      <c r="H6" s="65">
        <v>3</v>
      </c>
    </row>
    <row r="7" spans="1:10" ht="24.95" customHeight="1">
      <c r="A7" s="118"/>
      <c r="B7" s="65" t="s">
        <v>884</v>
      </c>
      <c r="H7" s="65">
        <v>4</v>
      </c>
    </row>
    <row r="8" spans="1:10" ht="24.95" customHeight="1">
      <c r="A8" s="118"/>
      <c r="B8" s="65" t="s">
        <v>885</v>
      </c>
      <c r="F8" s="65"/>
    </row>
    <row r="9" spans="1:10" ht="24.95" customHeight="1">
      <c r="A9" s="118"/>
      <c r="B9" s="65" t="s">
        <v>171</v>
      </c>
      <c r="F9" s="119"/>
      <c r="G9" s="152"/>
      <c r="H9" s="70" t="s">
        <v>543</v>
      </c>
    </row>
    <row r="10" spans="1:10" ht="24.95" customHeight="1">
      <c r="A10" s="118"/>
      <c r="B10" s="65" t="s">
        <v>260</v>
      </c>
      <c r="F10" s="120"/>
      <c r="G10" s="152"/>
      <c r="H10" s="70" t="s">
        <v>1413</v>
      </c>
    </row>
    <row r="11" spans="1:10" ht="24.95" customHeight="1">
      <c r="A11" s="118"/>
      <c r="B11" s="65" t="s">
        <v>145</v>
      </c>
      <c r="F11" s="120"/>
      <c r="G11" s="152"/>
      <c r="H11" s="70" t="s">
        <v>1414</v>
      </c>
    </row>
    <row r="12" spans="1:10" ht="24.95" customHeight="1">
      <c r="A12" s="118"/>
      <c r="B12" s="65" t="s">
        <v>426</v>
      </c>
      <c r="F12" s="121"/>
      <c r="G12" s="152"/>
      <c r="H12" s="70" t="s">
        <v>1415</v>
      </c>
    </row>
    <row r="13" spans="1:10" ht="24.95" customHeight="1">
      <c r="A13" s="118"/>
      <c r="B13" s="65" t="s">
        <v>545</v>
      </c>
      <c r="F13" s="121"/>
      <c r="G13" s="152"/>
      <c r="H13" s="70" t="s">
        <v>1416</v>
      </c>
    </row>
    <row r="14" spans="1:10" ht="24.95" customHeight="1">
      <c r="A14" s="118"/>
      <c r="B14" s="65" t="s">
        <v>625</v>
      </c>
      <c r="F14" s="121"/>
      <c r="G14" s="152"/>
      <c r="H14" s="70" t="s">
        <v>1417</v>
      </c>
    </row>
    <row r="15" spans="1:10" ht="24.95" customHeight="1">
      <c r="A15" s="118"/>
      <c r="B15" s="65" t="s">
        <v>789</v>
      </c>
      <c r="F15" s="121"/>
      <c r="G15" s="152"/>
      <c r="H15" s="70" t="s">
        <v>1418</v>
      </c>
    </row>
    <row r="16" spans="1:10" ht="24.95" customHeight="1">
      <c r="A16" s="118"/>
      <c r="B16" s="65" t="s">
        <v>188</v>
      </c>
      <c r="F16" s="120"/>
      <c r="G16" s="152"/>
      <c r="H16" s="70" t="s">
        <v>1419</v>
      </c>
    </row>
    <row r="17" spans="1:8" ht="24.95" customHeight="1">
      <c r="A17" s="118"/>
      <c r="B17" s="65" t="s">
        <v>189</v>
      </c>
      <c r="F17" s="120"/>
      <c r="G17" s="152"/>
      <c r="H17" s="70" t="s">
        <v>1420</v>
      </c>
    </row>
    <row r="18" spans="1:8" ht="24.95" customHeight="1">
      <c r="A18" s="118"/>
      <c r="B18" s="65" t="s">
        <v>291</v>
      </c>
      <c r="F18" s="120"/>
      <c r="G18" s="152"/>
      <c r="H18" s="70" t="s">
        <v>1421</v>
      </c>
    </row>
    <row r="19" spans="1:8" ht="24.95" customHeight="1">
      <c r="A19" s="118"/>
      <c r="B19" s="65" t="s">
        <v>175</v>
      </c>
      <c r="F19" s="120"/>
      <c r="G19" s="152"/>
      <c r="H19" s="70" t="s">
        <v>1422</v>
      </c>
    </row>
    <row r="20" spans="1:8" ht="24.95" customHeight="1">
      <c r="A20" s="118"/>
      <c r="B20" s="65" t="s">
        <v>886</v>
      </c>
      <c r="H20" s="70" t="s">
        <v>1423</v>
      </c>
    </row>
    <row r="21" spans="1:8" ht="24.95" customHeight="1">
      <c r="A21" s="118"/>
      <c r="B21" s="65" t="s">
        <v>160</v>
      </c>
      <c r="H21" s="70" t="s">
        <v>1424</v>
      </c>
    </row>
    <row r="22" spans="1:8" ht="24.95" customHeight="1">
      <c r="A22" s="118"/>
      <c r="B22" s="65"/>
      <c r="H22" s="70"/>
    </row>
    <row r="23" spans="1:8" ht="15.75">
      <c r="A23" s="118"/>
    </row>
    <row r="25" spans="1:8">
      <c r="B25" s="287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714B-C3BA-49EF-8E72-F4CE93772232}">
  <dimension ref="A1:BL104"/>
  <sheetViews>
    <sheetView showZeros="0" rightToLeft="1" zoomScaleNormal="100" workbookViewId="0">
      <pane xSplit="4" ySplit="4" topLeftCell="L13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85546875" defaultRowHeight="15"/>
  <cols>
    <col min="1" max="1" width="3.7109375" style="10" customWidth="1"/>
    <col min="2" max="2" width="5.7109375" style="10" customWidth="1"/>
    <col min="3" max="3" width="21.140625" style="655" customWidth="1"/>
    <col min="4" max="4" width="11.140625" style="11" customWidth="1"/>
    <col min="5" max="5" width="11.140625" style="11" hidden="1" customWidth="1"/>
    <col min="6" max="6" width="12.42578125" style="502" hidden="1" customWidth="1"/>
    <col min="7" max="8" width="11.140625" style="11" hidden="1" customWidth="1"/>
    <col min="9" max="10" width="10.42578125" style="11" hidden="1" customWidth="1"/>
    <col min="11" max="11" width="11.140625" style="11" hidden="1" customWidth="1"/>
    <col min="12" max="12" width="11.140625" style="11" customWidth="1"/>
    <col min="13" max="13" width="11.140625" style="502" customWidth="1"/>
    <col min="14" max="15" width="11.140625" style="11" customWidth="1"/>
    <col min="16" max="19" width="10.42578125" style="11" hidden="1" customWidth="1"/>
    <col min="20" max="20" width="11.140625" style="502" customWidth="1"/>
    <col min="21" max="22" width="11.140625" style="10" customWidth="1"/>
    <col min="23" max="23" width="9.28515625" style="10" hidden="1" customWidth="1"/>
    <col min="24" max="24" width="6.42578125" style="10" hidden="1" customWidth="1"/>
    <col min="25" max="25" width="9.140625" style="10" customWidth="1"/>
    <col min="26" max="26" width="9.5703125" style="10" hidden="1" customWidth="1"/>
    <col min="27" max="27" width="10.28515625" style="10" customWidth="1"/>
    <col min="28" max="28" width="34.28515625" style="655" customWidth="1"/>
    <col min="29" max="29" width="8.85546875" style="10" hidden="1" customWidth="1"/>
    <col min="30" max="30" width="11.140625" style="18" customWidth="1"/>
    <col min="31" max="31" width="18.85546875" style="18" customWidth="1"/>
    <col min="32" max="33" width="14" style="18" customWidth="1"/>
    <col min="34" max="34" width="18.85546875" style="18" customWidth="1"/>
    <col min="35" max="35" width="8.7109375" style="18" customWidth="1"/>
    <col min="36" max="36" width="33.140625" style="484" customWidth="1"/>
    <col min="37" max="37" width="39.5703125" style="484" customWidth="1"/>
    <col min="38" max="38" width="13.5703125" style="18" customWidth="1"/>
    <col min="39" max="39" width="11.28515625" style="18" customWidth="1"/>
    <col min="40" max="40" width="18.85546875" style="18" customWidth="1"/>
    <col min="41" max="41" width="11.28515625" style="18" customWidth="1"/>
    <col min="42" max="42" width="18.85546875" style="18" customWidth="1"/>
    <col min="43" max="43" width="14" style="18" customWidth="1"/>
    <col min="44" max="44" width="18.85546875" style="18" customWidth="1"/>
    <col min="45" max="45" width="14" style="18" customWidth="1"/>
    <col min="46" max="46" width="12.42578125" style="18" customWidth="1"/>
    <col min="47" max="55" width="10.7109375" style="18" customWidth="1"/>
    <col min="56" max="56" width="15" style="18" customWidth="1"/>
    <col min="57" max="16384" width="8.85546875" style="10"/>
  </cols>
  <sheetData>
    <row r="1" spans="1:64" s="481" customFormat="1" ht="18.75">
      <c r="C1" s="653"/>
      <c r="F1" s="313"/>
      <c r="J1" s="11"/>
      <c r="M1" s="482"/>
      <c r="T1" s="482"/>
      <c r="V1" s="481" t="s">
        <v>610</v>
      </c>
      <c r="W1" s="483"/>
      <c r="X1" s="483"/>
      <c r="Y1" s="483"/>
      <c r="Z1" s="483"/>
      <c r="AA1" s="483"/>
      <c r="AB1" s="659"/>
      <c r="AD1" s="18"/>
      <c r="AE1" s="18"/>
      <c r="AF1" s="18"/>
      <c r="AG1" s="18"/>
      <c r="AH1" s="18"/>
      <c r="AI1" s="18"/>
      <c r="AJ1" s="484"/>
      <c r="AK1" s="484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</row>
    <row r="2" spans="1:64" ht="18.75">
      <c r="A2" s="41" t="s">
        <v>260</v>
      </c>
      <c r="B2" s="481"/>
      <c r="C2" s="654"/>
      <c r="D2" s="481"/>
      <c r="E2" s="481"/>
      <c r="F2" s="313"/>
      <c r="K2" s="481"/>
      <c r="M2" s="486"/>
      <c r="N2" s="487"/>
      <c r="O2" s="487"/>
      <c r="P2" s="487"/>
      <c r="Q2" s="487"/>
      <c r="R2" s="487"/>
      <c r="S2" s="487"/>
      <c r="T2" s="486"/>
      <c r="U2" s="483"/>
      <c r="V2" s="483"/>
      <c r="W2" s="483"/>
      <c r="X2" s="483"/>
      <c r="Z2" s="483"/>
      <c r="AA2" s="483"/>
      <c r="AB2" s="658"/>
    </row>
    <row r="3" spans="1:64" ht="24.6" customHeight="1">
      <c r="D3" s="488"/>
      <c r="E3" s="489"/>
      <c r="F3" s="490"/>
      <c r="G3" s="491"/>
      <c r="H3" s="489"/>
      <c r="I3" s="489"/>
      <c r="J3" s="489"/>
      <c r="K3" s="489"/>
      <c r="L3" s="488"/>
      <c r="M3" s="492"/>
      <c r="N3" s="488"/>
      <c r="O3" s="488"/>
      <c r="P3" s="488"/>
      <c r="Q3" s="488"/>
      <c r="R3" s="488"/>
      <c r="S3" s="488"/>
      <c r="T3" s="493"/>
      <c r="U3" s="488"/>
    </row>
    <row r="4" spans="1:64" s="18" customFormat="1" ht="75">
      <c r="A4" s="2" t="s">
        <v>0</v>
      </c>
      <c r="B4" s="2" t="s">
        <v>1</v>
      </c>
      <c r="C4" s="2" t="s">
        <v>2</v>
      </c>
      <c r="D4" s="2" t="s">
        <v>72</v>
      </c>
      <c r="E4" s="2" t="s">
        <v>4</v>
      </c>
      <c r="F4" s="494" t="s">
        <v>5</v>
      </c>
      <c r="G4" s="2" t="s">
        <v>6</v>
      </c>
      <c r="H4" s="2" t="s">
        <v>7</v>
      </c>
      <c r="I4" s="2" t="s">
        <v>9</v>
      </c>
      <c r="J4" s="2" t="s">
        <v>101</v>
      </c>
      <c r="K4" s="2" t="s">
        <v>10</v>
      </c>
      <c r="L4" s="2" t="s">
        <v>11</v>
      </c>
      <c r="M4" s="494" t="s">
        <v>793</v>
      </c>
      <c r="N4" s="2" t="s">
        <v>794</v>
      </c>
      <c r="O4" s="2" t="s">
        <v>795</v>
      </c>
      <c r="P4" s="2" t="s">
        <v>12</v>
      </c>
      <c r="Q4" s="2" t="s">
        <v>796</v>
      </c>
      <c r="R4" s="2" t="s">
        <v>797</v>
      </c>
      <c r="S4" s="2" t="s">
        <v>798</v>
      </c>
      <c r="T4" s="494" t="s">
        <v>799</v>
      </c>
      <c r="U4" s="494" t="s">
        <v>800</v>
      </c>
      <c r="V4" s="2" t="s">
        <v>13</v>
      </c>
      <c r="W4" s="2" t="s">
        <v>14</v>
      </c>
      <c r="X4" s="2" t="s">
        <v>15</v>
      </c>
      <c r="Y4" s="2" t="s">
        <v>185</v>
      </c>
      <c r="Z4" s="2" t="s">
        <v>385</v>
      </c>
      <c r="AA4" s="2" t="s">
        <v>67</v>
      </c>
      <c r="AB4" s="13" t="s">
        <v>207</v>
      </c>
      <c r="AC4" s="2" t="s">
        <v>16</v>
      </c>
      <c r="AJ4" s="484"/>
      <c r="AK4" s="484"/>
    </row>
    <row r="5" spans="1:64" s="5" customFormat="1" ht="30" customHeight="1">
      <c r="A5" s="3">
        <v>1</v>
      </c>
      <c r="B5" s="3">
        <f>'תקציב הנדסה 2025 '!B5</f>
        <v>592</v>
      </c>
      <c r="C5" s="202" t="str">
        <f>'תקציב הנדסה 2025 '!C5</f>
        <v>מתחם הבריגדה מתחם הר' 1960</v>
      </c>
      <c r="D5" s="4">
        <f>'תקציב הנדסה 2025 '!D5</f>
        <v>54893000</v>
      </c>
      <c r="E5" s="4">
        <f>'תקציב הנדסה 2025 '!E5</f>
        <v>54893000</v>
      </c>
      <c r="F5" s="495">
        <f>'תקציב הנדסה 2025 '!F5</f>
        <v>0</v>
      </c>
      <c r="G5" s="4">
        <f>'תקציב הנדסה 2025 '!G5</f>
        <v>21120000</v>
      </c>
      <c r="H5" s="4">
        <f>'תקציב הנדסה 2025 '!H5</f>
        <v>19882849</v>
      </c>
      <c r="I5" s="4">
        <f>'תקציב הנדסה 2025 '!I5</f>
        <v>0</v>
      </c>
      <c r="J5" s="4">
        <f>'תקציב הנדסה 2025 '!J5</f>
        <v>1069838</v>
      </c>
      <c r="K5" s="4">
        <f>'תקציב הנדסה 2025 '!K5</f>
        <v>1069838</v>
      </c>
      <c r="L5" s="4">
        <f>'תקציב הנדסה 2025 '!L5</f>
        <v>20952687</v>
      </c>
      <c r="M5" s="495">
        <f>'תקציב הנדסה 2025 '!M5</f>
        <v>167313</v>
      </c>
      <c r="N5" s="4">
        <f>'תקציב הנדסה 2025 '!N5</f>
        <v>0</v>
      </c>
      <c r="O5" s="4">
        <f>'תקציב הנדסה 2025 '!O5</f>
        <v>33773000</v>
      </c>
      <c r="P5" s="4">
        <f>'תקציב הנדסה 2025 '!P5</f>
        <v>167313</v>
      </c>
      <c r="Q5" s="310">
        <f>'תקציב הנדסה 2025 '!Q5</f>
        <v>0</v>
      </c>
      <c r="R5" s="4">
        <f>'תקציב הנדסה 2025 '!R5</f>
        <v>0</v>
      </c>
      <c r="S5" s="4">
        <f>'תקציב הנדסה 2025 '!S5</f>
        <v>0</v>
      </c>
      <c r="T5" s="495">
        <f>'תקציב הנדסה 2025 '!T5</f>
        <v>0</v>
      </c>
      <c r="U5" s="4">
        <f>'תקציב הנדסה 2025 '!U5</f>
        <v>0</v>
      </c>
      <c r="V5" s="4">
        <f>'תקציב הנדסה 2025 '!V5</f>
        <v>0</v>
      </c>
      <c r="W5" s="4">
        <f>'תקציב הנדסה 2025 '!W5</f>
        <v>0</v>
      </c>
      <c r="X5" s="4">
        <f>'תקציב הנדסה 2025 '!X5</f>
        <v>0</v>
      </c>
      <c r="Y5" s="4">
        <f>'תקציב הנדסה 2025 '!Y5</f>
        <v>0</v>
      </c>
      <c r="Z5" s="4">
        <f>'תקציב הנדסה 2025 '!Z5</f>
        <v>0</v>
      </c>
      <c r="AA5" s="3">
        <f>'תקציב הנדסה 2025 '!AA5</f>
        <v>0</v>
      </c>
      <c r="AB5" s="202" t="str">
        <f>'תקציב הנדסה 2025 '!AB5</f>
        <v xml:space="preserve">השלמת ביצוע  עבודות סלילה ופיתוח . </v>
      </c>
      <c r="AC5" s="3">
        <v>742000</v>
      </c>
      <c r="AD5" s="18"/>
      <c r="AE5" s="18"/>
      <c r="AF5" s="18"/>
      <c r="AG5" s="18"/>
      <c r="AH5" s="18"/>
      <c r="AI5" s="18"/>
      <c r="AJ5" s="484"/>
      <c r="AK5" s="484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</row>
    <row r="6" spans="1:64" s="5" customFormat="1" ht="30" customHeight="1">
      <c r="A6" s="3">
        <f t="shared" ref="A6:A47" si="0">A5+1</f>
        <v>2</v>
      </c>
      <c r="B6" s="3">
        <f>'תקציב הנדסה 2025 '!B6</f>
        <v>608</v>
      </c>
      <c r="C6" s="202" t="str">
        <f>'תקציב הנדסה 2025 '!C6</f>
        <v>עבודות ניקוז בעיר</v>
      </c>
      <c r="D6" s="4">
        <f>'תקציב הנדסה 2025 '!D6</f>
        <v>8800000</v>
      </c>
      <c r="E6" s="4">
        <f>'תקציב הנדסה 2025 '!E6</f>
        <v>8510000</v>
      </c>
      <c r="F6" s="495">
        <f>'תקציב הנדסה 2025 '!F6</f>
        <v>290000</v>
      </c>
      <c r="G6" s="4">
        <f>'תקציב הנדסה 2025 '!G6</f>
        <v>8000000</v>
      </c>
      <c r="H6" s="4">
        <f>'תקציב הנדסה 2025 '!H6</f>
        <v>7454075</v>
      </c>
      <c r="I6" s="4">
        <f>'תקציב הנדסה 2025 '!I6</f>
        <v>0</v>
      </c>
      <c r="J6" s="4">
        <f>'תקציב הנדסה 2025 '!J6</f>
        <v>120581</v>
      </c>
      <c r="K6" s="4">
        <f>'תקציב הנדסה 2025 '!K6</f>
        <v>120581</v>
      </c>
      <c r="L6" s="4">
        <f>'תקציב הנדסה 2025 '!L6</f>
        <v>7574656</v>
      </c>
      <c r="M6" s="495">
        <f>'תקציב הנדסה 2025 '!M6</f>
        <v>425344</v>
      </c>
      <c r="N6" s="4">
        <f>'תקציב הנדסה 2025 '!N6</f>
        <v>600000</v>
      </c>
      <c r="O6" s="4">
        <f>'תקציב הנדסה 2025 '!O6</f>
        <v>200000</v>
      </c>
      <c r="P6" s="4">
        <f>'תקציב הנדסה 2025 '!P6</f>
        <v>425344</v>
      </c>
      <c r="Q6" s="310">
        <f>'תקציב הנדסה 2025 '!Q6</f>
        <v>0</v>
      </c>
      <c r="R6" s="4">
        <f>'תקציב הנדסה 2025 '!R6</f>
        <v>0</v>
      </c>
      <c r="S6" s="4">
        <f>'תקציב הנדסה 2025 '!S6</f>
        <v>0</v>
      </c>
      <c r="T6" s="495">
        <f>'תקציב הנדסה 2025 '!T6</f>
        <v>0</v>
      </c>
      <c r="U6" s="4">
        <f>'תקציב הנדסה 2025 '!U6</f>
        <v>600000</v>
      </c>
      <c r="V6" s="4">
        <f>'תקציב הנדסה 2025 '!V6</f>
        <v>600000</v>
      </c>
      <c r="W6" s="4">
        <f>'תקציב הנדסה 2025 '!W6</f>
        <v>0</v>
      </c>
      <c r="X6" s="4">
        <f>'תקציב הנדסה 2025 '!X6</f>
        <v>0</v>
      </c>
      <c r="Y6" s="4">
        <f>'תקציב הנדסה 2025 '!Y6</f>
        <v>0</v>
      </c>
      <c r="Z6" s="4">
        <f>'תקציב הנדסה 2025 '!Z6</f>
        <v>0</v>
      </c>
      <c r="AA6" s="3">
        <f>'תקציב הנדסה 2025 '!AA6</f>
        <v>0</v>
      </c>
      <c r="AB6" s="202" t="str">
        <f>'תקציב הנדסה 2025 '!AB6</f>
        <v>סל עבודות ניקוז ברחבי העיר .</v>
      </c>
      <c r="AC6" s="3">
        <v>745000</v>
      </c>
      <c r="AD6" s="18"/>
      <c r="AE6" s="18"/>
      <c r="AF6" s="18"/>
      <c r="AG6" s="18"/>
      <c r="AH6" s="18"/>
      <c r="AI6" s="18"/>
      <c r="AJ6" s="484"/>
      <c r="AK6" s="484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</row>
    <row r="7" spans="1:64" s="5" customFormat="1" ht="30" customHeight="1">
      <c r="A7" s="3">
        <f t="shared" si="0"/>
        <v>3</v>
      </c>
      <c r="B7" s="3">
        <f>'תקציב הנדסה 2025 '!B7</f>
        <v>626</v>
      </c>
      <c r="C7" s="202" t="str">
        <f>'תקציב הנדסה 2025 '!C7</f>
        <v xml:space="preserve">תכנון וביצוע  תוכנית אב לשבילי אופניים </v>
      </c>
      <c r="D7" s="4">
        <f>'תקציב הנדסה 2025 '!D7</f>
        <v>76233898</v>
      </c>
      <c r="E7" s="4">
        <f>'תקציב הנדסה 2025 '!E7</f>
        <v>34775000</v>
      </c>
      <c r="F7" s="495">
        <f>'תקציב הנדסה 2025 '!F7</f>
        <v>41458898</v>
      </c>
      <c r="G7" s="4">
        <f>'תקציב הנדסה 2025 '!G7</f>
        <v>20233898</v>
      </c>
      <c r="H7" s="4">
        <f>'תקציב הנדסה 2025 '!H7</f>
        <v>18190513</v>
      </c>
      <c r="I7" s="4">
        <f>'תקציב הנדסה 2025 '!I7</f>
        <v>148175</v>
      </c>
      <c r="J7" s="4">
        <f>'תקציב הנדסה 2025 '!J7</f>
        <v>860630</v>
      </c>
      <c r="K7" s="4">
        <f>'תקציב הנדסה 2025 '!K7</f>
        <v>1008805</v>
      </c>
      <c r="L7" s="4">
        <f>'תקציב הנדסה 2025 '!L7</f>
        <v>19199318</v>
      </c>
      <c r="M7" s="495">
        <f>'תקציב הנדסה 2025 '!M7</f>
        <v>1034580</v>
      </c>
      <c r="N7" s="4">
        <f>'תקציב הנדסה 2025 '!N7</f>
        <v>18000000</v>
      </c>
      <c r="O7" s="4">
        <f>'תקציב הנדסה 2025 '!O7</f>
        <v>38000000</v>
      </c>
      <c r="P7" s="4">
        <f>'תקציב הנדסה 2025 '!P7</f>
        <v>1034580</v>
      </c>
      <c r="Q7" s="4">
        <f>'תקציב הנדסה 2025 '!Q7</f>
        <v>0</v>
      </c>
      <c r="R7" s="4">
        <f>'תקציב הנדסה 2025 '!R7</f>
        <v>0</v>
      </c>
      <c r="S7" s="4">
        <f>'תקציב הנדסה 2025 '!S7</f>
        <v>0</v>
      </c>
      <c r="T7" s="495">
        <f>'תקציב הנדסה 2025 '!T7</f>
        <v>0</v>
      </c>
      <c r="U7" s="4">
        <f>'תקציב הנדסה 2025 '!U7</f>
        <v>18000000</v>
      </c>
      <c r="V7" s="4">
        <f>'תקציב הנדסה 2025 '!V7</f>
        <v>3000000</v>
      </c>
      <c r="W7" s="4">
        <f>'תקציב הנדסה 2025 '!W7</f>
        <v>0</v>
      </c>
      <c r="X7" s="4">
        <f>'תקציב הנדסה 2025 '!X7</f>
        <v>0</v>
      </c>
      <c r="Y7" s="4">
        <f>'תקציב הנדסה 2025 '!Y7</f>
        <v>0</v>
      </c>
      <c r="Z7" s="4">
        <f>'תקציב הנדסה 2025 '!Z7</f>
        <v>0</v>
      </c>
      <c r="AA7" s="4">
        <f>'תקציב הנדסה 2025 '!AA7</f>
        <v>15000000</v>
      </c>
      <c r="AB7" s="496" t="str">
        <f>'תקציב הנדסה 2025 '!AB7</f>
        <v>תכנון וביצוע שבילי אופנים ברחבי העיר. מימון מפעל הפיס.</v>
      </c>
      <c r="AC7" s="3">
        <v>732000</v>
      </c>
      <c r="AD7" s="18"/>
      <c r="AE7" s="18"/>
      <c r="AF7" s="18"/>
      <c r="AG7" s="18"/>
      <c r="AH7" s="18"/>
      <c r="AI7" s="18"/>
      <c r="AJ7" s="484"/>
      <c r="AK7" s="484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</row>
    <row r="8" spans="1:64" s="6" customFormat="1" ht="45">
      <c r="A8" s="3">
        <f t="shared" si="0"/>
        <v>4</v>
      </c>
      <c r="B8" s="3">
        <f>'תקציב הנדסה 2025 '!B8</f>
        <v>1018</v>
      </c>
      <c r="C8" s="202" t="str">
        <f>'תקציב הנדסה 2025 '!C8</f>
        <v>מחלף הרב מכר</v>
      </c>
      <c r="D8" s="4">
        <f>'תקציב הנדסה 2025 '!D8</f>
        <v>31900000</v>
      </c>
      <c r="E8" s="4">
        <f>'תקציב הנדסה 2025 '!E8</f>
        <v>31900000</v>
      </c>
      <c r="F8" s="495">
        <f>'תקציב הנדסה 2025 '!F8</f>
        <v>0</v>
      </c>
      <c r="G8" s="4">
        <f>'תקציב הנדסה 2025 '!G8</f>
        <v>3150000</v>
      </c>
      <c r="H8" s="4">
        <f>'תקציב הנדסה 2025 '!H8</f>
        <v>3059847</v>
      </c>
      <c r="I8" s="4">
        <f>'תקציב הנדסה 2025 '!I8</f>
        <v>84894</v>
      </c>
      <c r="J8" s="4">
        <f>'תקציב הנדסה 2025 '!J8</f>
        <v>0</v>
      </c>
      <c r="K8" s="4">
        <f>'תקציב הנדסה 2025 '!K8</f>
        <v>84894</v>
      </c>
      <c r="L8" s="4">
        <f>'תקציב הנדסה 2025 '!L8</f>
        <v>3144741</v>
      </c>
      <c r="M8" s="495">
        <f>'תקציב הנדסה 2025 '!M8</f>
        <v>259</v>
      </c>
      <c r="N8" s="4">
        <f>'תקציב הנדסה 2025 '!N8</f>
        <v>5000</v>
      </c>
      <c r="O8" s="4">
        <f>'תקציב הנדסה 2025 '!O8</f>
        <v>28750000</v>
      </c>
      <c r="P8" s="4">
        <f>'תקציב הנדסה 2025 '!P8</f>
        <v>5259</v>
      </c>
      <c r="Q8" s="310">
        <f>'תקציב הנדסה 2025 '!Q8</f>
        <v>0</v>
      </c>
      <c r="R8" s="4">
        <f>'תקציב הנדסה 2025 '!R8</f>
        <v>0</v>
      </c>
      <c r="S8" s="4">
        <f>'תקציב הנדסה 2025 '!S8</f>
        <v>0</v>
      </c>
      <c r="T8" s="495">
        <f>'תקציב הנדסה 2025 '!T8</f>
        <v>5000</v>
      </c>
      <c r="U8" s="4">
        <f>'תקציב הנדסה 2025 '!U8</f>
        <v>0</v>
      </c>
      <c r="V8" s="4">
        <f>'תקציב הנדסה 2025 '!V8</f>
        <v>0</v>
      </c>
      <c r="W8" s="4">
        <f>'תקציב הנדסה 2025 '!W8</f>
        <v>0</v>
      </c>
      <c r="X8" s="4">
        <f>'תקציב הנדסה 2025 '!X8</f>
        <v>0</v>
      </c>
      <c r="Y8" s="4">
        <f>'תקציב הנדסה 2025 '!Y8</f>
        <v>0</v>
      </c>
      <c r="Z8" s="4">
        <f>'תקציב הנדסה 2025 '!Z8</f>
        <v>0</v>
      </c>
      <c r="AA8" s="3">
        <f>'תקציב הנדסה 2025 '!AA8</f>
        <v>0</v>
      </c>
      <c r="AB8" s="202" t="str">
        <f>'תקציב הנדסה 2025 '!AB8</f>
        <v>פרויקט ממשלתי המתוקצב ע"י המדינה במקביל לרשות. תכנון שבוצע ע"י העיריה. (הרשאה רמ"י לנת"א 28 מלשח).</v>
      </c>
      <c r="AC8" s="3">
        <v>742000</v>
      </c>
      <c r="AD8" s="18"/>
      <c r="AE8" s="18"/>
      <c r="AF8" s="18"/>
      <c r="AG8" s="18"/>
      <c r="AH8" s="18"/>
      <c r="AI8" s="18"/>
      <c r="AJ8" s="484"/>
      <c r="AK8" s="484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5"/>
      <c r="BF8" s="5"/>
      <c r="BG8" s="5"/>
      <c r="BH8" s="5"/>
      <c r="BI8" s="5"/>
      <c r="BJ8" s="5"/>
      <c r="BK8" s="5"/>
      <c r="BL8" s="5"/>
    </row>
    <row r="9" spans="1:64" s="5" customFormat="1" ht="45">
      <c r="A9" s="3">
        <f t="shared" si="0"/>
        <v>5</v>
      </c>
      <c r="B9" s="3">
        <f>'תקציב הנדסה 2025 '!B9</f>
        <v>1100</v>
      </c>
      <c r="C9" s="202" t="str">
        <f>'תקציב הנדסה 2025 '!C9</f>
        <v>תכנון מתחם הר' 2200</v>
      </c>
      <c r="D9" s="4">
        <f>'תקציב הנדסה 2025 '!D9</f>
        <v>6637000</v>
      </c>
      <c r="E9" s="4">
        <f>'תקציב הנדסה 2025 '!E9</f>
        <v>6637000</v>
      </c>
      <c r="F9" s="495">
        <f>'תקציב הנדסה 2025 '!F9</f>
        <v>0</v>
      </c>
      <c r="G9" s="4">
        <f>'תקציב הנדסה 2025 '!G9</f>
        <v>6650000</v>
      </c>
      <c r="H9" s="4">
        <f>'תקציב הנדסה 2025 '!H9</f>
        <v>6636801</v>
      </c>
      <c r="I9" s="4">
        <f>'תקציב הנדסה 2025 '!I9</f>
        <v>0</v>
      </c>
      <c r="J9" s="4">
        <f>'תקציב הנדסה 2025 '!J9</f>
        <v>0</v>
      </c>
      <c r="K9" s="4">
        <f>'תקציב הנדסה 2025 '!K9</f>
        <v>0</v>
      </c>
      <c r="L9" s="4">
        <f>'תקציב הנדסה 2025 '!L9</f>
        <v>6636801</v>
      </c>
      <c r="M9" s="495">
        <f>'תקציב הנדסה 2025 '!M9</f>
        <v>199</v>
      </c>
      <c r="N9" s="497">
        <f>'תקציב הנדסה 2025 '!N9</f>
        <v>0</v>
      </c>
      <c r="O9" s="4">
        <f>'תקציב הנדסה 2025 '!O9</f>
        <v>0</v>
      </c>
      <c r="P9" s="4">
        <f>'תקציב הנדסה 2025 '!P9</f>
        <v>13199</v>
      </c>
      <c r="Q9" s="310">
        <f>'תקציב הנדסה 2025 '!Q9</f>
        <v>0</v>
      </c>
      <c r="R9" s="4">
        <f>'תקציב הנדסה 2025 '!R9</f>
        <v>-13000</v>
      </c>
      <c r="S9" s="4">
        <f>'תקציב הנדסה 2025 '!S9</f>
        <v>-13000</v>
      </c>
      <c r="T9" s="495">
        <f>'תקציב הנדסה 2025 '!T9</f>
        <v>0</v>
      </c>
      <c r="U9" s="4">
        <f>'תקציב הנדסה 2025 '!U9</f>
        <v>0</v>
      </c>
      <c r="V9" s="4">
        <f>'תקציב הנדסה 2025 '!V9</f>
        <v>0</v>
      </c>
      <c r="W9" s="4">
        <f>'תקציב הנדסה 2025 '!W9</f>
        <v>0</v>
      </c>
      <c r="X9" s="4">
        <f>'תקציב הנדסה 2025 '!X9</f>
        <v>0</v>
      </c>
      <c r="Y9" s="4">
        <f>'תקציב הנדסה 2025 '!Y9</f>
        <v>0</v>
      </c>
      <c r="Z9" s="4">
        <f>'תקציב הנדסה 2025 '!Z9</f>
        <v>0</v>
      </c>
      <c r="AA9" s="3">
        <f>'תקציב הנדסה 2025 '!AA9</f>
        <v>0</v>
      </c>
      <c r="AB9" s="202" t="str">
        <f>'תקציב הנדסה 2025 '!AB9</f>
        <v xml:space="preserve"> תכנון מתחם חוף התכלת. מימון רמ"י.(ממתין  לתקבול רמ"י) .התב"ר לסגירה.</v>
      </c>
      <c r="AC9" s="3">
        <v>732000</v>
      </c>
      <c r="AD9" s="18"/>
      <c r="AE9" s="18"/>
      <c r="AF9" s="18"/>
      <c r="AG9" s="18"/>
      <c r="AH9" s="18"/>
      <c r="AI9" s="18"/>
      <c r="AJ9" s="484"/>
      <c r="AK9" s="484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</row>
    <row r="10" spans="1:64" s="5" customFormat="1" ht="30" customHeight="1">
      <c r="A10" s="3">
        <f t="shared" si="0"/>
        <v>6</v>
      </c>
      <c r="B10" s="3">
        <f>'תקציב הנדסה 2025 '!B10</f>
        <v>1129</v>
      </c>
      <c r="C10" s="202" t="str">
        <f>'תקציב הנדסה 2025 '!C10</f>
        <v>עבודות פיתוח ותשתיות קטנות</v>
      </c>
      <c r="D10" s="4">
        <f>'תקציב הנדסה 2025 '!D10</f>
        <v>7500000</v>
      </c>
      <c r="E10" s="4">
        <f>'תקציב הנדסה 2025 '!E10</f>
        <v>7500000</v>
      </c>
      <c r="F10" s="495">
        <f>'תקציב הנדסה 2025 '!F10</f>
        <v>0</v>
      </c>
      <c r="G10" s="4">
        <f>'תקציב הנדסה 2025 '!G10</f>
        <v>6681771</v>
      </c>
      <c r="H10" s="4">
        <f>'תקציב הנדסה 2025 '!H10</f>
        <v>6552365</v>
      </c>
      <c r="I10" s="4">
        <f>'תקציב הנדסה 2025 '!I10</f>
        <v>0</v>
      </c>
      <c r="J10" s="4">
        <f>'תקציב הנדסה 2025 '!J10</f>
        <v>84923</v>
      </c>
      <c r="K10" s="4">
        <f>'תקציב הנדסה 2025 '!K10</f>
        <v>84923</v>
      </c>
      <c r="L10" s="4">
        <f>'תקציב הנדסה 2025 '!L10</f>
        <v>6637288</v>
      </c>
      <c r="M10" s="495">
        <f>'תקציב הנדסה 2025 '!M10</f>
        <v>94483</v>
      </c>
      <c r="N10" s="4">
        <f>'תקציב הנדסה 2025 '!N10</f>
        <v>300000</v>
      </c>
      <c r="O10" s="4">
        <f>'תקציב הנדסה 2025 '!O10</f>
        <v>468229</v>
      </c>
      <c r="P10" s="4">
        <f>'תקציב הנדסה 2025 '!P10</f>
        <v>44483</v>
      </c>
      <c r="Q10" s="310">
        <f>'תקציב הנדסה 2025 '!Q10</f>
        <v>0</v>
      </c>
      <c r="R10" s="4">
        <f>'תקציב הנדסה 2025 '!R10</f>
        <v>50000</v>
      </c>
      <c r="S10" s="4">
        <f>'תקציב הנדסה 2025 '!S10</f>
        <v>50000</v>
      </c>
      <c r="T10" s="495">
        <f>'תקציב הנדסה 2025 '!T10</f>
        <v>0</v>
      </c>
      <c r="U10" s="4">
        <f>'תקציב הנדסה 2025 '!U10</f>
        <v>300000</v>
      </c>
      <c r="V10" s="4">
        <f>'תקציב הנדסה 2025 '!V10</f>
        <v>300000</v>
      </c>
      <c r="W10" s="4">
        <f>'תקציב הנדסה 2025 '!W10</f>
        <v>0</v>
      </c>
      <c r="X10" s="4">
        <f>'תקציב הנדסה 2025 '!X10</f>
        <v>0</v>
      </c>
      <c r="Y10" s="4">
        <f>'תקציב הנדסה 2025 '!Y10</f>
        <v>0</v>
      </c>
      <c r="Z10" s="4">
        <f>'תקציב הנדסה 2025 '!Z10</f>
        <v>0</v>
      </c>
      <c r="AA10" s="3">
        <f>'תקציב הנדסה 2025 '!AA10</f>
        <v>0</v>
      </c>
      <c r="AB10" s="202" t="str">
        <f>'תקציב הנדסה 2025 '!AB10</f>
        <v>סל עבודות פיתוח קטנות מזדמנות הנדרשות במהלך השנה.</v>
      </c>
      <c r="AC10" s="3">
        <v>742000</v>
      </c>
      <c r="AD10" s="18"/>
      <c r="AE10" s="18"/>
      <c r="AF10" s="18"/>
      <c r="AG10" s="18"/>
      <c r="AH10" s="18"/>
      <c r="AI10" s="18"/>
      <c r="AJ10" s="484"/>
      <c r="AK10" s="484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</row>
    <row r="11" spans="1:64" s="6" customFormat="1" ht="30" customHeight="1">
      <c r="A11" s="3">
        <f t="shared" si="0"/>
        <v>7</v>
      </c>
      <c r="B11" s="3">
        <f>'תקציב הנדסה 2025 '!B11</f>
        <v>1220</v>
      </c>
      <c r="C11" s="202" t="str">
        <f>'תקציב הנדסה 2025 '!C11</f>
        <v>תכנונים כלליים</v>
      </c>
      <c r="D11" s="4">
        <f>'תקציב הנדסה 2025 '!D11</f>
        <v>8260000</v>
      </c>
      <c r="E11" s="4">
        <f>'תקציב הנדסה 2025 '!E11</f>
        <v>7260000</v>
      </c>
      <c r="F11" s="495">
        <f>'תקציב הנדסה 2025 '!F11</f>
        <v>1000000</v>
      </c>
      <c r="G11" s="4">
        <f>'תקציב הנדסה 2025 '!G11</f>
        <v>6671000</v>
      </c>
      <c r="H11" s="4">
        <f>'תקציב הנדסה 2025 '!H11</f>
        <v>6259382</v>
      </c>
      <c r="I11" s="4">
        <f>'תקציב הנדסה 2025 '!I11</f>
        <v>6436</v>
      </c>
      <c r="J11" s="4">
        <f>'תקציב הנדסה 2025 '!J11</f>
        <v>373994</v>
      </c>
      <c r="K11" s="4">
        <f>'תקציב הנדסה 2025 '!K11</f>
        <v>380430</v>
      </c>
      <c r="L11" s="4">
        <f>'תקציב הנדסה 2025 '!L11</f>
        <v>6639812</v>
      </c>
      <c r="M11" s="495">
        <f>'תקציב הנדסה 2025 '!M11</f>
        <v>231188</v>
      </c>
      <c r="N11" s="4">
        <f>'תקציב הנדסה 2025 '!N11</f>
        <v>500000</v>
      </c>
      <c r="O11" s="4">
        <f>'תקציב הנדסה 2025 '!O11</f>
        <v>889000</v>
      </c>
      <c r="P11" s="4">
        <f>'תקציב הנדסה 2025 '!P11</f>
        <v>31188</v>
      </c>
      <c r="Q11" s="310">
        <f>'תקציב הנדסה 2025 '!Q11</f>
        <v>0</v>
      </c>
      <c r="R11" s="4">
        <f>'תקציב הנדסה 2025 '!R11</f>
        <v>200000</v>
      </c>
      <c r="S11" s="4">
        <f>'תקציב הנדסה 2025 '!S11</f>
        <v>200000</v>
      </c>
      <c r="T11" s="495">
        <f>'תקציב הנדסה 2025 '!T11</f>
        <v>0</v>
      </c>
      <c r="U11" s="4">
        <f>'תקציב הנדסה 2025 '!U11</f>
        <v>500000</v>
      </c>
      <c r="V11" s="4">
        <f>'תקציב הנדסה 2025 '!V11</f>
        <v>500000</v>
      </c>
      <c r="W11" s="4">
        <f>'תקציב הנדסה 2025 '!W11</f>
        <v>0</v>
      </c>
      <c r="X11" s="4">
        <f>'תקציב הנדסה 2025 '!X11</f>
        <v>0</v>
      </c>
      <c r="Y11" s="4">
        <f>'תקציב הנדסה 2025 '!Y11</f>
        <v>0</v>
      </c>
      <c r="Z11" s="4">
        <f>'תקציב הנדסה 2025 '!Z11</f>
        <v>0</v>
      </c>
      <c r="AA11" s="3">
        <f>'תקציב הנדסה 2025 '!AA11</f>
        <v>0</v>
      </c>
      <c r="AB11" s="202" t="str">
        <f>'תקציב הנדסה 2025 '!AB11</f>
        <v>סל תכנון של תוכניות ופרויקטים, מדידות ותכנון ראשוני.</v>
      </c>
      <c r="AC11" s="3">
        <v>732000</v>
      </c>
      <c r="AD11" s="18"/>
      <c r="AE11" s="18"/>
      <c r="AF11" s="18"/>
      <c r="AG11" s="18"/>
      <c r="AH11" s="18"/>
      <c r="AI11" s="18"/>
      <c r="AJ11" s="484"/>
      <c r="AK11" s="484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5"/>
      <c r="BF11" s="5"/>
      <c r="BG11" s="5"/>
      <c r="BH11" s="5"/>
      <c r="BI11" s="5"/>
      <c r="BJ11" s="5"/>
      <c r="BK11" s="5"/>
      <c r="BL11" s="5"/>
    </row>
    <row r="12" spans="1:64" s="5" customFormat="1" ht="60">
      <c r="A12" s="3">
        <f t="shared" si="0"/>
        <v>8</v>
      </c>
      <c r="B12" s="3">
        <f>'תקציב הנדסה 2025 '!B12</f>
        <v>1366</v>
      </c>
      <c r="C12" s="202" t="str">
        <f>'תקציב הנדסה 2025 '!C12</f>
        <v>ליווי תשתיות לאומיות</v>
      </c>
      <c r="D12" s="4">
        <f>'תקציב הנדסה 2025 '!D12</f>
        <v>1576000</v>
      </c>
      <c r="E12" s="4">
        <f>'תקציב הנדסה 2025 '!E12</f>
        <v>1576000</v>
      </c>
      <c r="F12" s="495">
        <f>'תקציב הנדסה 2025 '!F12</f>
        <v>0</v>
      </c>
      <c r="G12" s="4">
        <f>'תקציב הנדסה 2025 '!G12</f>
        <v>1376000</v>
      </c>
      <c r="H12" s="4">
        <f>'תקציב הנדסה 2025 '!H12</f>
        <v>1073615</v>
      </c>
      <c r="I12" s="4">
        <f>'תקציב הנדסה 2025 '!I12</f>
        <v>0</v>
      </c>
      <c r="J12" s="4">
        <f>'תקציב הנדסה 2025 '!J12</f>
        <v>41533</v>
      </c>
      <c r="K12" s="4">
        <f>'תקציב הנדסה 2025 '!K12</f>
        <v>41533</v>
      </c>
      <c r="L12" s="4">
        <f>'תקציב הנדסה 2025 '!L12</f>
        <v>1115148</v>
      </c>
      <c r="M12" s="495">
        <f>'תקציב הנדסה 2025 '!M12</f>
        <v>852</v>
      </c>
      <c r="N12" s="4">
        <f>'תקציב הנדסה 2025 '!N12</f>
        <v>260000</v>
      </c>
      <c r="O12" s="4">
        <f>'תקציב הנדסה 2025 '!O12</f>
        <v>200000</v>
      </c>
      <c r="P12" s="4">
        <f>'תקציב הנדסה 2025 '!P12</f>
        <v>260852</v>
      </c>
      <c r="Q12" s="310">
        <f>'תקציב הנדסה 2025 '!Q12</f>
        <v>0</v>
      </c>
      <c r="R12" s="4">
        <f>'תקציב הנדסה 2025 '!R12</f>
        <v>0</v>
      </c>
      <c r="S12" s="4">
        <f>'תקציב הנדסה 2025 '!S12</f>
        <v>0</v>
      </c>
      <c r="T12" s="495">
        <f>'תקציב הנדסה 2025 '!T12</f>
        <v>260000</v>
      </c>
      <c r="U12" s="4">
        <f>'תקציב הנדסה 2025 '!U12</f>
        <v>0</v>
      </c>
      <c r="V12" s="4">
        <f>'תקציב הנדסה 2025 '!V12</f>
        <v>0</v>
      </c>
      <c r="W12" s="4">
        <f>'תקציב הנדסה 2025 '!W12</f>
        <v>0</v>
      </c>
      <c r="X12" s="4">
        <f>'תקציב הנדסה 2025 '!X12</f>
        <v>0</v>
      </c>
      <c r="Y12" s="4">
        <f>'תקציב הנדסה 2025 '!Y12</f>
        <v>0</v>
      </c>
      <c r="Z12" s="4">
        <f>'תקציב הנדסה 2025 '!Z12</f>
        <v>0</v>
      </c>
      <c r="AA12" s="3">
        <f>'תקציב הנדסה 2025 '!AA12</f>
        <v>0</v>
      </c>
      <c r="AB12" s="202" t="str">
        <f>'תקציב הנדסה 2025 '!AB12</f>
        <v>ליווי תוכנית הקו הירוק , קו המטרו , מהיר לעיר ואחרים המבוצעים ע"י מ. התחבורה. יועצי תנועה, מפקחים, יועצי בטיחות. מסגרת.</v>
      </c>
      <c r="AC12" s="3">
        <v>742000</v>
      </c>
      <c r="AD12" s="18"/>
      <c r="AE12" s="18"/>
      <c r="AF12" s="18"/>
      <c r="AG12" s="18"/>
      <c r="AH12" s="18"/>
      <c r="AI12" s="18"/>
      <c r="AJ12" s="484"/>
      <c r="AK12" s="484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</row>
    <row r="13" spans="1:64" s="6" customFormat="1" ht="45">
      <c r="A13" s="3">
        <f t="shared" si="0"/>
        <v>9</v>
      </c>
      <c r="B13" s="3">
        <f>'תקציב הנדסה 2025 '!B13</f>
        <v>1406</v>
      </c>
      <c r="C13" s="202" t="str">
        <f>'תקציב הנדסה 2025 '!C13</f>
        <v>שימור אתרים</v>
      </c>
      <c r="D13" s="4">
        <f>'תקציב הנדסה 2025 '!D13</f>
        <v>1250000</v>
      </c>
      <c r="E13" s="4">
        <f>'תקציב הנדסה 2025 '!E13</f>
        <v>1250000</v>
      </c>
      <c r="F13" s="495">
        <f>'תקציב הנדסה 2025 '!F13</f>
        <v>0</v>
      </c>
      <c r="G13" s="4">
        <f>'תקציב הנדסה 2025 '!G13</f>
        <v>1250000</v>
      </c>
      <c r="H13" s="4">
        <f>'תקציב הנדסה 2025 '!H13</f>
        <v>1225877</v>
      </c>
      <c r="I13" s="4">
        <f>'תקציב הנדסה 2025 '!I13</f>
        <v>0</v>
      </c>
      <c r="J13" s="4">
        <f>'תקציב הנדסה 2025 '!J13</f>
        <v>24123</v>
      </c>
      <c r="K13" s="4">
        <f>'תקציב הנדסה 2025 '!K13</f>
        <v>24123</v>
      </c>
      <c r="L13" s="4">
        <f>'תקציב הנדסה 2025 '!L13</f>
        <v>1250000</v>
      </c>
      <c r="M13" s="495">
        <f>'תקציב הנדסה 2025 '!M13</f>
        <v>0</v>
      </c>
      <c r="N13" s="4">
        <f>'תקציב הנדסה 2025 '!N13</f>
        <v>0</v>
      </c>
      <c r="O13" s="4">
        <f>'תקציב הנדסה 2025 '!O13</f>
        <v>0</v>
      </c>
      <c r="P13" s="4">
        <f>'תקציב הנדסה 2025 '!P13</f>
        <v>0</v>
      </c>
      <c r="Q13" s="310">
        <f>'תקציב הנדסה 2025 '!Q13</f>
        <v>0</v>
      </c>
      <c r="R13" s="4">
        <f>'תקציב הנדסה 2025 '!R13</f>
        <v>0</v>
      </c>
      <c r="S13" s="4">
        <f>'תקציב הנדסה 2025 '!S13</f>
        <v>0</v>
      </c>
      <c r="T13" s="495">
        <f>'תקציב הנדסה 2025 '!T13</f>
        <v>0</v>
      </c>
      <c r="U13" s="4">
        <f>'תקציב הנדסה 2025 '!U13</f>
        <v>0</v>
      </c>
      <c r="V13" s="4">
        <f>'תקציב הנדסה 2025 '!V13</f>
        <v>0</v>
      </c>
      <c r="W13" s="4">
        <f>'תקציב הנדסה 2025 '!W13</f>
        <v>0</v>
      </c>
      <c r="X13" s="4">
        <f>'תקציב הנדסה 2025 '!X13</f>
        <v>0</v>
      </c>
      <c r="Y13" s="4">
        <f>'תקציב הנדסה 2025 '!Y13</f>
        <v>0</v>
      </c>
      <c r="Z13" s="4">
        <f>'תקציב הנדסה 2025 '!Z13</f>
        <v>0</v>
      </c>
      <c r="AA13" s="3">
        <f>'תקציב הנדסה 2025 '!AA13</f>
        <v>0</v>
      </c>
      <c r="AB13" s="202" t="str">
        <f>'תקציב הנדסה 2025 '!AB13</f>
        <v>סל תכנון הכנת תב"עות לשימור אתרים, תיקי תיעוד. השלמת תנאים למתן תוקף.  חן סופיים. התב"ר לסגירה.</v>
      </c>
      <c r="AC13" s="3">
        <v>732000</v>
      </c>
      <c r="AD13" s="18"/>
      <c r="AE13" s="18"/>
      <c r="AF13" s="18"/>
      <c r="AG13" s="18"/>
      <c r="AH13" s="18"/>
      <c r="AI13" s="18"/>
      <c r="AJ13" s="484"/>
      <c r="AK13" s="484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23"/>
      <c r="AW13" s="123"/>
      <c r="AX13" s="123"/>
      <c r="AY13" s="123"/>
      <c r="AZ13" s="123"/>
      <c r="BA13" s="123"/>
      <c r="BB13" s="123"/>
      <c r="BC13" s="123"/>
      <c r="BD13" s="256"/>
      <c r="BE13" s="256"/>
      <c r="BF13" s="256"/>
      <c r="BG13" s="256"/>
      <c r="BH13" s="256"/>
      <c r="BI13" s="256"/>
      <c r="BJ13" s="256"/>
      <c r="BK13" s="256"/>
      <c r="BL13" s="256"/>
    </row>
    <row r="14" spans="1:64" s="6" customFormat="1" ht="45">
      <c r="A14" s="3">
        <f t="shared" si="0"/>
        <v>10</v>
      </c>
      <c r="B14" s="3">
        <f>'תקציב הנדסה 2025 '!B14</f>
        <v>1407</v>
      </c>
      <c r="C14" s="202" t="str">
        <f>'תקציב הנדסה 2025 '!C14</f>
        <v>תב"עות קטנות</v>
      </c>
      <c r="D14" s="4">
        <f>'תקציב הנדסה 2025 '!D14</f>
        <v>5295000</v>
      </c>
      <c r="E14" s="4">
        <f>'תקציב הנדסה 2025 '!E14</f>
        <v>5295000</v>
      </c>
      <c r="F14" s="495">
        <f>'תקציב הנדסה 2025 '!F14</f>
        <v>0</v>
      </c>
      <c r="G14" s="4">
        <f>'תקציב הנדסה 2025 '!G14</f>
        <v>3965000</v>
      </c>
      <c r="H14" s="4">
        <f>'תקציב הנדסה 2025 '!H14</f>
        <v>3185955</v>
      </c>
      <c r="I14" s="4">
        <f>'תקציב הנדסה 2025 '!I14</f>
        <v>81274</v>
      </c>
      <c r="J14" s="4">
        <f>'תקציב הנדסה 2025 '!J14</f>
        <v>685358</v>
      </c>
      <c r="K14" s="4">
        <f>'תקציב הנדסה 2025 '!K14</f>
        <v>766632</v>
      </c>
      <c r="L14" s="4">
        <f>'תקציב הנדסה 2025 '!L14</f>
        <v>3952587</v>
      </c>
      <c r="M14" s="495">
        <f>'תקציב הנדסה 2025 '!M14</f>
        <v>76413</v>
      </c>
      <c r="N14" s="4">
        <f>'תקציב הנדסה 2025 '!N14</f>
        <v>500000</v>
      </c>
      <c r="O14" s="4">
        <f>'תקציב הנדסה 2025 '!O14</f>
        <v>766000</v>
      </c>
      <c r="P14" s="4">
        <f>'תקציב הנדסה 2025 '!P14</f>
        <v>12413</v>
      </c>
      <c r="Q14" s="310">
        <f>'תקציב הנדסה 2025 '!Q14</f>
        <v>0</v>
      </c>
      <c r="R14" s="4">
        <f>'תקציב הנדסה 2025 '!R14</f>
        <v>64000</v>
      </c>
      <c r="S14" s="4">
        <f>'תקציב הנדסה 2025 '!S14</f>
        <v>64000</v>
      </c>
      <c r="T14" s="495">
        <f>'תקציב הנדסה 2025 '!T14</f>
        <v>0</v>
      </c>
      <c r="U14" s="4">
        <f>'תקציב הנדסה 2025 '!U14</f>
        <v>500000</v>
      </c>
      <c r="V14" s="4">
        <f>'תקציב הנדסה 2025 '!V14</f>
        <v>500000</v>
      </c>
      <c r="W14" s="4">
        <f>'תקציב הנדסה 2025 '!W14</f>
        <v>0</v>
      </c>
      <c r="X14" s="4">
        <f>'תקציב הנדסה 2025 '!X14</f>
        <v>0</v>
      </c>
      <c r="Y14" s="4">
        <f>'תקציב הנדסה 2025 '!Y14</f>
        <v>0</v>
      </c>
      <c r="Z14" s="4">
        <f>'תקציב הנדסה 2025 '!Z14</f>
        <v>0</v>
      </c>
      <c r="AA14" s="3">
        <f>'תקציב הנדסה 2025 '!AA14</f>
        <v>0</v>
      </c>
      <c r="AB14" s="202" t="str">
        <f>'תקציב הנדסה 2025 '!AB14</f>
        <v>סל תכנון של תב"עות הנדרשות במהלך השנה כולל  תוכניות גגות מרתפים מבנים ציבוריים.</v>
      </c>
      <c r="AC14" s="3">
        <v>732000</v>
      </c>
      <c r="AD14" s="18"/>
      <c r="AE14" s="18"/>
      <c r="AF14" s="18"/>
      <c r="AG14" s="18"/>
      <c r="AH14" s="18"/>
      <c r="AI14" s="18"/>
      <c r="AJ14" s="484"/>
      <c r="AK14" s="484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</row>
    <row r="15" spans="1:64" s="6" customFormat="1" ht="45">
      <c r="A15" s="3">
        <f t="shared" si="0"/>
        <v>11</v>
      </c>
      <c r="B15" s="3">
        <f>'תקציב הנדסה 2025 '!B15</f>
        <v>1409</v>
      </c>
      <c r="C15" s="496" t="str">
        <f>'תקציב הנדסה 2025 '!C15</f>
        <v xml:space="preserve">תוכנית המתאר הכוללנית </v>
      </c>
      <c r="D15" s="4">
        <f>'תקציב הנדסה 2025 '!D15</f>
        <v>7680000</v>
      </c>
      <c r="E15" s="4">
        <f>'תקציב הנדסה 2025 '!E15</f>
        <v>7680000</v>
      </c>
      <c r="F15" s="495">
        <f>'תקציב הנדסה 2025 '!F15</f>
        <v>0</v>
      </c>
      <c r="G15" s="4">
        <f>'תקציב הנדסה 2025 '!G15</f>
        <v>6515000</v>
      </c>
      <c r="H15" s="4">
        <f>'תקציב הנדסה 2025 '!H15</f>
        <v>5099564</v>
      </c>
      <c r="I15" s="4">
        <f>'תקציב הנדסה 2025 '!I15</f>
        <v>1314720</v>
      </c>
      <c r="J15" s="4">
        <f>'תקציב הנדסה 2025 '!J15</f>
        <v>0</v>
      </c>
      <c r="K15" s="4">
        <f>'תקציב הנדסה 2025 '!K15</f>
        <v>1314720</v>
      </c>
      <c r="L15" s="4">
        <f>'תקציב הנדסה 2025 '!L15</f>
        <v>6414284</v>
      </c>
      <c r="M15" s="605">
        <f>'תקציב הנדסה 2025 '!M15</f>
        <v>100716</v>
      </c>
      <c r="N15" s="4">
        <f>'תקציב הנדסה 2025 '!N15</f>
        <v>950000</v>
      </c>
      <c r="O15" s="4">
        <f>'תקציב הנדסה 2025 '!O15</f>
        <v>215000</v>
      </c>
      <c r="P15" s="4">
        <f>'תקציב הנדסה 2025 '!P15</f>
        <v>100716</v>
      </c>
      <c r="Q15" s="310">
        <f>'תקציב הנדסה 2025 '!Q15</f>
        <v>0</v>
      </c>
      <c r="R15" s="4">
        <f>'תקציב הנדסה 2025 '!R15</f>
        <v>0</v>
      </c>
      <c r="S15" s="4">
        <f>'תקציב הנדסה 2025 '!S15</f>
        <v>0</v>
      </c>
      <c r="T15" s="495">
        <f>'תקציב הנדסה 2025 '!T15</f>
        <v>0</v>
      </c>
      <c r="U15" s="4">
        <f>'תקציב הנדסה 2025 '!U15</f>
        <v>950000</v>
      </c>
      <c r="V15" s="4">
        <f>'תקציב הנדסה 2025 '!V15</f>
        <v>950000</v>
      </c>
      <c r="W15" s="4">
        <f>'תקציב הנדסה 2025 '!W15</f>
        <v>0</v>
      </c>
      <c r="X15" s="4">
        <f>'תקציב הנדסה 2025 '!X15</f>
        <v>0</v>
      </c>
      <c r="Y15" s="4">
        <f>'תקציב הנדסה 2025 '!Y15</f>
        <v>0</v>
      </c>
      <c r="Z15" s="4">
        <f>'תקציב הנדסה 2025 '!Z15</f>
        <v>0</v>
      </c>
      <c r="AA15" s="3">
        <f>'תקציב הנדסה 2025 '!AA15</f>
        <v>0</v>
      </c>
      <c r="AB15" s="202" t="str">
        <f>'תקציב הנדסה 2025 '!AB15</f>
        <v xml:space="preserve">הכנת תוכנית מתאר כוללנית על מנת לאפשר לעיריה לתכנן תוכניות בסמכות וועדה מקומית. </v>
      </c>
      <c r="AC15" s="3">
        <v>732000</v>
      </c>
      <c r="AD15" s="18"/>
      <c r="AE15" s="18"/>
      <c r="AF15" s="18"/>
      <c r="AG15" s="18"/>
      <c r="AH15" s="18"/>
      <c r="AI15" s="18"/>
      <c r="AJ15" s="484"/>
      <c r="AK15" s="484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5"/>
      <c r="BF15" s="5"/>
      <c r="BG15" s="5"/>
      <c r="BH15" s="5"/>
      <c r="BI15" s="5"/>
      <c r="BJ15" s="5"/>
      <c r="BK15" s="5"/>
      <c r="BL15" s="5"/>
    </row>
    <row r="16" spans="1:64" s="5" customFormat="1" ht="45">
      <c r="A16" s="3">
        <f t="shared" si="0"/>
        <v>12</v>
      </c>
      <c r="B16" s="3">
        <f>'תקציב הנדסה 2025 '!B16</f>
        <v>1466</v>
      </c>
      <c r="C16" s="202" t="str">
        <f>'תקציב הנדסה 2025 '!C16</f>
        <v>תמ"א 38</v>
      </c>
      <c r="D16" s="4">
        <f>'תקציב הנדסה 2025 '!D16</f>
        <v>2200000</v>
      </c>
      <c r="E16" s="4">
        <f>'תקציב הנדסה 2025 '!E16</f>
        <v>2200000</v>
      </c>
      <c r="F16" s="495">
        <f>'תקציב הנדסה 2025 '!F16</f>
        <v>0</v>
      </c>
      <c r="G16" s="4">
        <f>'תקציב הנדסה 2025 '!G16</f>
        <v>1600000</v>
      </c>
      <c r="H16" s="4">
        <f>'תקציב הנדסה 2025 '!H16</f>
        <v>1382248</v>
      </c>
      <c r="I16" s="4">
        <f>'תקציב הנדסה 2025 '!I16</f>
        <v>0</v>
      </c>
      <c r="J16" s="4">
        <f>'תקציב הנדסה 2025 '!J16</f>
        <v>196475</v>
      </c>
      <c r="K16" s="4">
        <f>'תקציב הנדסה 2025 '!K16</f>
        <v>196475</v>
      </c>
      <c r="L16" s="4">
        <f>'תקציב הנדסה 2025 '!L16</f>
        <v>1578723</v>
      </c>
      <c r="M16" s="495">
        <f>'תקציב הנדסה 2025 '!M16</f>
        <v>1277</v>
      </c>
      <c r="N16" s="4">
        <f>'תקציב הנדסה 2025 '!N16</f>
        <v>70000</v>
      </c>
      <c r="O16" s="4">
        <f>'תקציב הנדסה 2025 '!O16</f>
        <v>550000</v>
      </c>
      <c r="P16" s="4">
        <f>'תקציב הנדסה 2025 '!P16</f>
        <v>21277</v>
      </c>
      <c r="Q16" s="310">
        <f>'תקציב הנדסה 2025 '!Q16</f>
        <v>0</v>
      </c>
      <c r="R16" s="4">
        <f>'תקציב הנדסה 2025 '!R16</f>
        <v>0</v>
      </c>
      <c r="S16" s="4">
        <f>'תקציב הנדסה 2025 '!S16</f>
        <v>0</v>
      </c>
      <c r="T16" s="495">
        <f>'תקציב הנדסה 2025 '!T16</f>
        <v>20000</v>
      </c>
      <c r="U16" s="4">
        <f>'תקציב הנדסה 2025 '!U16</f>
        <v>50000</v>
      </c>
      <c r="V16" s="4">
        <f>'תקציב הנדסה 2025 '!V16</f>
        <v>50000</v>
      </c>
      <c r="W16" s="4">
        <f>'תקציב הנדסה 2025 '!W16</f>
        <v>0</v>
      </c>
      <c r="X16" s="4">
        <f>'תקציב הנדסה 2025 '!X16</f>
        <v>0</v>
      </c>
      <c r="Y16" s="4">
        <f>'תקציב הנדסה 2025 '!Y16</f>
        <v>0</v>
      </c>
      <c r="Z16" s="4">
        <f>'תקציב הנדסה 2025 '!Z16</f>
        <v>0</v>
      </c>
      <c r="AA16" s="3">
        <f>'תקציב הנדסה 2025 '!AA16</f>
        <v>0</v>
      </c>
      <c r="AB16" s="202" t="str">
        <f>'תקציב הנדסה 2025 '!AB16</f>
        <v>העצמת הזכויות הנוספות לבנינים לצורך הגברת הכדאיות של ביצוע חיזוק מבנים. בדיקת מבנים קיימים להיתכנות תמ"א.</v>
      </c>
      <c r="AC16" s="3">
        <v>732000</v>
      </c>
      <c r="AD16" s="18"/>
      <c r="AE16" s="18"/>
      <c r="AF16" s="18"/>
      <c r="AG16" s="18"/>
      <c r="AH16" s="18"/>
      <c r="AI16" s="18"/>
      <c r="AJ16" s="484"/>
      <c r="AK16" s="484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6"/>
      <c r="BF16" s="6"/>
      <c r="BG16" s="6"/>
      <c r="BH16" s="6"/>
      <c r="BI16" s="6"/>
      <c r="BJ16" s="6"/>
      <c r="BK16" s="6"/>
      <c r="BL16" s="6"/>
    </row>
    <row r="17" spans="1:64" s="5" customFormat="1" ht="30" customHeight="1">
      <c r="A17" s="3">
        <f t="shared" si="0"/>
        <v>13</v>
      </c>
      <c r="B17" s="3">
        <f>'תקציב הנדסה 2025 '!B17</f>
        <v>1529</v>
      </c>
      <c r="C17" s="202" t="str">
        <f>'תקציב הנדסה 2025 '!C17</f>
        <v>הוצאות בקשר עם תביעות סעיף 197</v>
      </c>
      <c r="D17" s="4">
        <f>'תקציב הנדסה 2025 '!D17</f>
        <v>700000</v>
      </c>
      <c r="E17" s="4">
        <f>'תקציב הנדסה 2025 '!E17</f>
        <v>700000</v>
      </c>
      <c r="F17" s="495">
        <f>'תקציב הנדסה 2025 '!F17</f>
        <v>0</v>
      </c>
      <c r="G17" s="4">
        <f>'תקציב הנדסה 2025 '!G17</f>
        <v>460000</v>
      </c>
      <c r="H17" s="4">
        <f>'תקציב הנדסה 2025 '!H17</f>
        <v>417794</v>
      </c>
      <c r="I17" s="4">
        <f>'תקציב הנדסה 2025 '!I17</f>
        <v>0</v>
      </c>
      <c r="J17" s="4">
        <f>'תקציב הנדסה 2025 '!J17</f>
        <v>0</v>
      </c>
      <c r="K17" s="4">
        <f>'תקציב הנדסה 2025 '!K17</f>
        <v>0</v>
      </c>
      <c r="L17" s="4">
        <f>'תקציב הנדסה 2025 '!L17</f>
        <v>417794</v>
      </c>
      <c r="M17" s="495">
        <f>'תקציב הנדסה 2025 '!M17</f>
        <v>2206</v>
      </c>
      <c r="N17" s="497">
        <f>'תקציב הנדסה 2025 '!N17</f>
        <v>20000</v>
      </c>
      <c r="O17" s="4">
        <f>'תקציב הנדסה 2025 '!O17</f>
        <v>260000</v>
      </c>
      <c r="P17" s="4">
        <f>'תקציב הנדסה 2025 '!P17</f>
        <v>42206</v>
      </c>
      <c r="Q17" s="310">
        <f>'תקציב הנדסה 2025 '!Q17</f>
        <v>0</v>
      </c>
      <c r="R17" s="4">
        <f>'תקציב הנדסה 2025 '!R17</f>
        <v>0</v>
      </c>
      <c r="S17" s="4">
        <f>'תקציב הנדסה 2025 '!S17</f>
        <v>0</v>
      </c>
      <c r="T17" s="495">
        <f>'תקציב הנדסה 2025 '!T17</f>
        <v>40000</v>
      </c>
      <c r="U17" s="4">
        <f>'תקציב הנדסה 2025 '!U17</f>
        <v>-20000</v>
      </c>
      <c r="V17" s="4">
        <f>'תקציב הנדסה 2025 '!V17</f>
        <v>-20000</v>
      </c>
      <c r="W17" s="4">
        <f>'תקציב הנדסה 2025 '!W17</f>
        <v>0</v>
      </c>
      <c r="X17" s="4">
        <f>'תקציב הנדסה 2025 '!X17</f>
        <v>0</v>
      </c>
      <c r="Y17" s="4">
        <f>'תקציב הנדסה 2025 '!Y17</f>
        <v>0</v>
      </c>
      <c r="Z17" s="4">
        <f>'תקציב הנדסה 2025 '!Z17</f>
        <v>0</v>
      </c>
      <c r="AA17" s="3">
        <f>'תקציב הנדסה 2025 '!AA17</f>
        <v>0</v>
      </c>
      <c r="AB17" s="202" t="str">
        <f>'תקציב הנדסה 2025 '!AB17</f>
        <v>סל הוצאות בקשר עם תביעות סעיף 197.</v>
      </c>
      <c r="AC17" s="3">
        <v>760000</v>
      </c>
      <c r="AD17" s="18"/>
      <c r="AE17" s="18"/>
      <c r="AF17" s="18"/>
      <c r="AG17" s="18"/>
      <c r="AH17" s="18"/>
      <c r="AI17" s="18"/>
      <c r="AJ17" s="484"/>
      <c r="AK17" s="484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</row>
    <row r="18" spans="1:64" s="5" customFormat="1" ht="60">
      <c r="A18" s="3">
        <f t="shared" si="0"/>
        <v>14</v>
      </c>
      <c r="B18" s="3">
        <f>'תקציב הנדסה 2025 '!B18</f>
        <v>1551</v>
      </c>
      <c r="C18" s="202" t="str">
        <f>'תקציב הנדסה 2025 '!C18</f>
        <v xml:space="preserve">צפון הרצליה תמ"ל 3006 </v>
      </c>
      <c r="D18" s="4">
        <f>'תקציב הנדסה 2025 '!D18</f>
        <v>525240</v>
      </c>
      <c r="E18" s="4">
        <f>'תקציב הנדסה 2025 '!E18</f>
        <v>525240</v>
      </c>
      <c r="F18" s="495">
        <f>'תקציב הנדסה 2025 '!F18</f>
        <v>0</v>
      </c>
      <c r="G18" s="4">
        <f>'תקציב הנדסה 2025 '!G18</f>
        <v>275240</v>
      </c>
      <c r="H18" s="4">
        <f>'תקציב הנדסה 2025 '!H18</f>
        <v>237203</v>
      </c>
      <c r="I18" s="4">
        <f>'תקציב הנדסה 2025 '!I18</f>
        <v>7492</v>
      </c>
      <c r="J18" s="4">
        <f>'תקציב הנדסה 2025 '!J18</f>
        <v>0</v>
      </c>
      <c r="K18" s="4">
        <f>'תקציב הנדסה 2025 '!K18</f>
        <v>7492</v>
      </c>
      <c r="L18" s="4">
        <f>'תקציב הנדסה 2025 '!L18</f>
        <v>244695</v>
      </c>
      <c r="M18" s="495">
        <f>'תקציב הנדסה 2025 '!M18</f>
        <v>30545</v>
      </c>
      <c r="N18" s="4">
        <f>'תקציב הנדסה 2025 '!N18</f>
        <v>100000</v>
      </c>
      <c r="O18" s="4">
        <f>'תקציב הנדסה 2025 '!O18</f>
        <v>150000</v>
      </c>
      <c r="P18" s="4">
        <f>'תקציב הנדסה 2025 '!P18</f>
        <v>30545</v>
      </c>
      <c r="Q18" s="310">
        <f>'תקציב הנדסה 2025 '!Q18</f>
        <v>0</v>
      </c>
      <c r="R18" s="4">
        <f>'תקציב הנדסה 2025 '!R18</f>
        <v>0</v>
      </c>
      <c r="S18" s="4">
        <f>'תקציב הנדסה 2025 '!S18</f>
        <v>0</v>
      </c>
      <c r="T18" s="495">
        <f>'תקציב הנדסה 2025 '!T18</f>
        <v>0</v>
      </c>
      <c r="U18" s="4">
        <f>'תקציב הנדסה 2025 '!U18</f>
        <v>100000</v>
      </c>
      <c r="V18" s="4">
        <f>'תקציב הנדסה 2025 '!V18</f>
        <v>100000</v>
      </c>
      <c r="W18" s="4">
        <f>'תקציב הנדסה 2025 '!W18</f>
        <v>0</v>
      </c>
      <c r="X18" s="4">
        <f>'תקציב הנדסה 2025 '!X18</f>
        <v>0</v>
      </c>
      <c r="Y18" s="4">
        <f>'תקציב הנדסה 2025 '!Y18</f>
        <v>0</v>
      </c>
      <c r="Z18" s="4">
        <f>'תקציב הנדסה 2025 '!Z18</f>
        <v>0</v>
      </c>
      <c r="AA18" s="3">
        <f>'תקציב הנדסה 2025 '!AA18</f>
        <v>0</v>
      </c>
      <c r="AB18" s="202" t="str">
        <f>'תקציב הנדסה 2025 '!AB18</f>
        <v xml:space="preserve">הכנת חוו"ד תכנונית והערכות להתנגדות לתוכנית שמקדם מינהל התכנון והועדה המחוזית לכל צפון הרצליה ללא שיתוף העירייה. </v>
      </c>
      <c r="AC18" s="3">
        <v>732000</v>
      </c>
      <c r="AD18" s="18"/>
      <c r="AE18" s="18"/>
      <c r="AF18" s="18"/>
      <c r="AG18" s="18"/>
      <c r="AH18" s="18"/>
      <c r="AI18" s="18"/>
      <c r="AJ18" s="484"/>
      <c r="AK18" s="484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</row>
    <row r="19" spans="1:64" s="5" customFormat="1" ht="45">
      <c r="A19" s="3">
        <f t="shared" si="0"/>
        <v>15</v>
      </c>
      <c r="B19" s="3">
        <f>'תקציב הנדסה 2025 '!B19</f>
        <v>1587</v>
      </c>
      <c r="C19" s="202" t="str">
        <f>'תקציב הנדסה 2025 '!C19</f>
        <v>פיתוח מתחם המכללות הר' 1920/1</v>
      </c>
      <c r="D19" s="4">
        <f>'תקציב הנדסה 2025 '!D19</f>
        <v>34200000</v>
      </c>
      <c r="E19" s="4">
        <f>'תקציב הנדסה 2025 '!E19</f>
        <v>34200000</v>
      </c>
      <c r="F19" s="495">
        <f>'תקציב הנדסה 2025 '!F19</f>
        <v>0</v>
      </c>
      <c r="G19" s="4">
        <f>'תקציב הנדסה 2025 '!G19</f>
        <v>13910000</v>
      </c>
      <c r="H19" s="4">
        <f>'תקציב הנדסה 2025 '!H19</f>
        <v>12263788</v>
      </c>
      <c r="I19" s="4">
        <f>'תקציב הנדסה 2025 '!I19</f>
        <v>1016811</v>
      </c>
      <c r="J19" s="4">
        <f>'תקציב הנדסה 2025 '!J19</f>
        <v>209271</v>
      </c>
      <c r="K19" s="4">
        <f>'תקציב הנדסה 2025 '!K19</f>
        <v>1226082</v>
      </c>
      <c r="L19" s="4">
        <f>'תקציב הנדסה 2025 '!L19</f>
        <v>13489870</v>
      </c>
      <c r="M19" s="495">
        <f>'תקציב הנדסה 2025 '!M19</f>
        <v>20130</v>
      </c>
      <c r="N19" s="4">
        <f>'תקציב הנדסה 2025 '!N19</f>
        <v>200000</v>
      </c>
      <c r="O19" s="4">
        <f>'תקציב הנדסה 2025 '!O19</f>
        <v>20490000</v>
      </c>
      <c r="P19" s="4">
        <f>'תקציב הנדסה 2025 '!P19</f>
        <v>420130</v>
      </c>
      <c r="Q19" s="310">
        <f>'תקציב הנדסה 2025 '!Q19</f>
        <v>0</v>
      </c>
      <c r="R19" s="4">
        <f>'תקציב הנדסה 2025 '!R19</f>
        <v>-400000</v>
      </c>
      <c r="S19" s="4">
        <f>'תקציב הנדסה 2025 '!S19</f>
        <v>-400000</v>
      </c>
      <c r="T19" s="495">
        <f>'תקציב הנדסה 2025 '!T19</f>
        <v>0</v>
      </c>
      <c r="U19" s="4">
        <f>'תקציב הנדסה 2025 '!U19</f>
        <v>200000</v>
      </c>
      <c r="V19" s="4">
        <f>'תקציב הנדסה 2025 '!V19</f>
        <v>200000</v>
      </c>
      <c r="W19" s="4">
        <f>'תקציב הנדסה 2025 '!W19</f>
        <v>0</v>
      </c>
      <c r="X19" s="4">
        <f>'תקציב הנדסה 2025 '!X19</f>
        <v>0</v>
      </c>
      <c r="Y19" s="4">
        <f>'תקציב הנדסה 2025 '!Y19</f>
        <v>0</v>
      </c>
      <c r="Z19" s="4">
        <f>'תקציב הנדסה 2025 '!Z19</f>
        <v>0</v>
      </c>
      <c r="AA19" s="3">
        <f>'תקציב הנדסה 2025 '!AA19</f>
        <v>0</v>
      </c>
      <c r="AB19" s="202" t="str">
        <f>'תקציב הנדסה 2025 '!AB19</f>
        <v xml:space="preserve">עבודה סלילה, גינון ותאורה במתחם. 2025: תכנון - השלמת פיתוח שלב ב' ודרך שרות מנחם בגין. </v>
      </c>
      <c r="AC19" s="3">
        <v>742000</v>
      </c>
      <c r="AD19" s="18"/>
      <c r="AE19" s="18"/>
      <c r="AF19" s="18"/>
      <c r="AG19" s="18"/>
      <c r="AH19" s="18"/>
      <c r="AI19" s="18"/>
      <c r="AJ19" s="484"/>
      <c r="AK19" s="484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</row>
    <row r="20" spans="1:64" s="5" customFormat="1" ht="30" customHeight="1">
      <c r="A20" s="3">
        <f t="shared" si="0"/>
        <v>16</v>
      </c>
      <c r="B20" s="3">
        <f>'תקציב הנדסה 2025 '!B20</f>
        <v>1601</v>
      </c>
      <c r="C20" s="202" t="str">
        <f>'תקציב הנדסה 2025 '!C20</f>
        <v>העתקות פרויקטים שונים</v>
      </c>
      <c r="D20" s="4">
        <f>'תקציב הנדסה 2025 '!D20</f>
        <v>700000</v>
      </c>
      <c r="E20" s="4">
        <f>'תקציב הנדסה 2025 '!E20</f>
        <v>700000</v>
      </c>
      <c r="F20" s="495">
        <f>'תקציב הנדסה 2025 '!F20</f>
        <v>0</v>
      </c>
      <c r="G20" s="4">
        <f>'תקציב הנדסה 2025 '!G20</f>
        <v>594000</v>
      </c>
      <c r="H20" s="4">
        <f>'תקציב הנדסה 2025 '!H20</f>
        <v>563211</v>
      </c>
      <c r="I20" s="4">
        <f>'תקציב הנדסה 2025 '!I20</f>
        <v>0</v>
      </c>
      <c r="J20" s="4">
        <f>'תקציב הנדסה 2025 '!J20</f>
        <v>0</v>
      </c>
      <c r="K20" s="4">
        <f>'תקציב הנדסה 2025 '!K20</f>
        <v>0</v>
      </c>
      <c r="L20" s="4">
        <f>'תקציב הנדסה 2025 '!L20</f>
        <v>563211</v>
      </c>
      <c r="M20" s="495">
        <f>'תקציב הנדסה 2025 '!M20</f>
        <v>10789</v>
      </c>
      <c r="N20" s="4">
        <f>'תקציב הנדסה 2025 '!N20</f>
        <v>20000</v>
      </c>
      <c r="O20" s="4">
        <f>'תקציב הנדסה 2025 '!O20</f>
        <v>106000</v>
      </c>
      <c r="P20" s="4">
        <f>'תקציב הנדסה 2025 '!P20</f>
        <v>30789</v>
      </c>
      <c r="Q20" s="310">
        <f>'תקציב הנדסה 2025 '!Q20</f>
        <v>0</v>
      </c>
      <c r="R20" s="4">
        <f>'תקציב הנדסה 2025 '!R20</f>
        <v>-20000</v>
      </c>
      <c r="S20" s="4">
        <f>'תקציב הנדסה 2025 '!S20</f>
        <v>-20000</v>
      </c>
      <c r="T20" s="495">
        <f>'תקציב הנדסה 2025 '!T20</f>
        <v>0</v>
      </c>
      <c r="U20" s="4">
        <f>'תקציב הנדסה 2025 '!U20</f>
        <v>20000</v>
      </c>
      <c r="V20" s="4">
        <f>'תקציב הנדסה 2025 '!V20</f>
        <v>20000</v>
      </c>
      <c r="W20" s="4">
        <f>'תקציב הנדסה 2025 '!W20</f>
        <v>0</v>
      </c>
      <c r="X20" s="4">
        <f>'תקציב הנדסה 2025 '!X20</f>
        <v>0</v>
      </c>
      <c r="Y20" s="4">
        <f>'תקציב הנדסה 2025 '!Y20</f>
        <v>0</v>
      </c>
      <c r="Z20" s="4">
        <f>'תקציב הנדסה 2025 '!Z20</f>
        <v>0</v>
      </c>
      <c r="AA20" s="3">
        <f>'תקציב הנדסה 2025 '!AA20</f>
        <v>0</v>
      </c>
      <c r="AB20" s="202" t="str">
        <f>'תקציב הנדסה 2025 '!AB20</f>
        <v>סל העתקות אור של תוכניות הפרויקטים השונים.</v>
      </c>
      <c r="AC20" s="3">
        <v>742000</v>
      </c>
      <c r="AD20" s="18"/>
      <c r="AE20" s="18"/>
      <c r="AF20" s="18"/>
      <c r="AG20" s="18"/>
      <c r="AH20" s="18"/>
      <c r="AI20" s="18"/>
      <c r="AJ20" s="484"/>
      <c r="AK20" s="484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6"/>
      <c r="BF20" s="6"/>
      <c r="BG20" s="6"/>
      <c r="BH20" s="6"/>
      <c r="BI20" s="6"/>
      <c r="BJ20" s="6"/>
      <c r="BK20" s="6"/>
      <c r="BL20" s="6"/>
    </row>
    <row r="21" spans="1:64" s="6" customFormat="1" ht="75">
      <c r="A21" s="3">
        <f t="shared" si="0"/>
        <v>17</v>
      </c>
      <c r="B21" s="3">
        <f>'תקציב הנדסה 2025 '!B21</f>
        <v>1660</v>
      </c>
      <c r="C21" s="202" t="str">
        <f>'תקציב הנדסה 2025 '!C21</f>
        <v>תכנון פרויקטים פינוי בינוי</v>
      </c>
      <c r="D21" s="4">
        <f>'תקציב הנדסה 2025 '!D21</f>
        <v>2082000</v>
      </c>
      <c r="E21" s="4">
        <f>'תקציב הנדסה 2025 '!E21</f>
        <v>2000000</v>
      </c>
      <c r="F21" s="495">
        <f>'תקציב הנדסה 2025 '!F21</f>
        <v>82000</v>
      </c>
      <c r="G21" s="4">
        <f>'תקציב הנדסה 2025 '!G21</f>
        <v>1182000</v>
      </c>
      <c r="H21" s="4">
        <f>'תקציב הנדסה 2025 '!H21</f>
        <v>449003</v>
      </c>
      <c r="I21" s="4">
        <f>'תקציב הנדסה 2025 '!I21</f>
        <v>102960</v>
      </c>
      <c r="J21" s="4">
        <f>'תקציב הנדסה 2025 '!J21</f>
        <v>624257</v>
      </c>
      <c r="K21" s="4">
        <f>'תקציב הנדסה 2025 '!K21</f>
        <v>727217</v>
      </c>
      <c r="L21" s="4">
        <f>'תקציב הנדסה 2025 '!L21</f>
        <v>1176220</v>
      </c>
      <c r="M21" s="495">
        <f>'תקציב הנדסה 2025 '!M21</f>
        <v>155780</v>
      </c>
      <c r="N21" s="4">
        <f>'תקציב הנדסה 2025 '!N21</f>
        <v>500000</v>
      </c>
      <c r="O21" s="4">
        <f>'תקציב הנדסה 2025 '!O21</f>
        <v>250000</v>
      </c>
      <c r="P21" s="4">
        <f>'תקציב הנדסה 2025 '!P21</f>
        <v>5780</v>
      </c>
      <c r="Q21" s="310">
        <f>'תקציב הנדסה 2025 '!Q21</f>
        <v>0</v>
      </c>
      <c r="R21" s="4">
        <f>'תקציב הנדסה 2025 '!R21</f>
        <v>150000</v>
      </c>
      <c r="S21" s="4">
        <f>'תקציב הנדסה 2025 '!S21</f>
        <v>150000</v>
      </c>
      <c r="T21" s="495">
        <f>'תקציב הנדסה 2025 '!T21</f>
        <v>0</v>
      </c>
      <c r="U21" s="4">
        <f>'תקציב הנדסה 2025 '!U21</f>
        <v>500000</v>
      </c>
      <c r="V21" s="4">
        <f>'תקציב הנדסה 2025 '!V21</f>
        <v>500000</v>
      </c>
      <c r="W21" s="4">
        <f>'תקציב הנדסה 2025 '!W21</f>
        <v>0</v>
      </c>
      <c r="X21" s="4">
        <f>'תקציב הנדסה 2025 '!X21</f>
        <v>0</v>
      </c>
      <c r="Y21" s="4">
        <f>'תקציב הנדסה 2025 '!Y21</f>
        <v>0</v>
      </c>
      <c r="Z21" s="4">
        <f>'תקציב הנדסה 2025 '!Z21</f>
        <v>0</v>
      </c>
      <c r="AA21" s="3">
        <f>'תקציב הנדסה 2025 '!AA21</f>
        <v>0</v>
      </c>
      <c r="AB21" s="202" t="str">
        <f>'תקציב הנדסה 2025 '!AB21</f>
        <v>בדיקת התכנות מתחמי פינוי בינוי ותכנון פרויקטים להתחדשות עירונית ופינוי בינוי.  לווי ובקרת העיריה ליוזמות ותכניות שמקודמות ע"י חברות פרטיות.</v>
      </c>
      <c r="AC21" s="3">
        <v>732000</v>
      </c>
      <c r="AD21" s="18"/>
      <c r="AE21" s="18"/>
      <c r="AF21" s="18"/>
      <c r="AG21" s="18"/>
      <c r="AH21" s="18"/>
      <c r="AI21" s="18"/>
      <c r="AJ21" s="484"/>
      <c r="AK21" s="484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5"/>
      <c r="BF21" s="5"/>
      <c r="BG21" s="5"/>
      <c r="BH21" s="5"/>
      <c r="BI21" s="5"/>
      <c r="BJ21" s="5"/>
      <c r="BK21" s="5"/>
      <c r="BL21" s="5"/>
    </row>
    <row r="22" spans="1:64" s="5" customFormat="1" ht="45">
      <c r="A22" s="3">
        <f t="shared" si="0"/>
        <v>18</v>
      </c>
      <c r="B22" s="3">
        <f>'תקציב הנדסה 2025 '!B22</f>
        <v>1701</v>
      </c>
      <c r="C22" s="3" t="s">
        <v>807</v>
      </c>
      <c r="D22" s="4">
        <f>'תקציב הנדסה 2025 '!D22</f>
        <v>1250000</v>
      </c>
      <c r="E22" s="4">
        <f>'תקציב הנדסה 2025 '!E22</f>
        <v>1250000</v>
      </c>
      <c r="F22" s="495">
        <f>'תקציב הנדסה 2025 '!F22</f>
        <v>0</v>
      </c>
      <c r="G22" s="4">
        <f>'תקציב הנדסה 2025 '!G22</f>
        <v>268000</v>
      </c>
      <c r="H22" s="4">
        <f>'תקציב הנדסה 2025 '!H22</f>
        <v>149316</v>
      </c>
      <c r="I22" s="4">
        <f>'תקציב הנדסה 2025 '!I22</f>
        <v>75117</v>
      </c>
      <c r="J22" s="4">
        <f>'תקציב הנדסה 2025 '!J22</f>
        <v>43110</v>
      </c>
      <c r="K22" s="4">
        <f>'תקציב הנדסה 2025 '!K22</f>
        <v>118227</v>
      </c>
      <c r="L22" s="4">
        <f>'תקציב הנדסה 2025 '!L22</f>
        <v>267543</v>
      </c>
      <c r="M22" s="495">
        <f>'תקציב הנדסה 2025 '!M22</f>
        <v>457</v>
      </c>
      <c r="N22" s="4">
        <f>'תקציב הנדסה 2025 '!N22</f>
        <v>100000</v>
      </c>
      <c r="O22" s="4">
        <f>'תקציב הנדסה 2025 '!O22</f>
        <v>882000</v>
      </c>
      <c r="P22" s="4">
        <f>'תקציב הנדסה 2025 '!P22</f>
        <v>457</v>
      </c>
      <c r="Q22" s="310">
        <f>'תקציב הנדסה 2025 '!Q22</f>
        <v>0</v>
      </c>
      <c r="R22" s="4">
        <f>'תקציב הנדסה 2025 '!R22</f>
        <v>0</v>
      </c>
      <c r="S22" s="4">
        <f>'תקציב הנדסה 2025 '!S22</f>
        <v>0</v>
      </c>
      <c r="T22" s="495">
        <f>'תקציב הנדסה 2025 '!T22</f>
        <v>0</v>
      </c>
      <c r="U22" s="4">
        <f>'תקציב הנדסה 2025 '!U22</f>
        <v>100000</v>
      </c>
      <c r="V22" s="4">
        <f>'תקציב הנדסה 2025 '!V22</f>
        <v>100000</v>
      </c>
      <c r="W22" s="4">
        <f>'תקציב הנדסה 2025 '!W22</f>
        <v>0</v>
      </c>
      <c r="X22" s="4">
        <f>'תקציב הנדסה 2025 '!X22</f>
        <v>0</v>
      </c>
      <c r="Y22" s="4">
        <f>'תקציב הנדסה 2025 '!Y22</f>
        <v>0</v>
      </c>
      <c r="Z22" s="4">
        <f>'תקציב הנדסה 2025 '!Z22</f>
        <v>0</v>
      </c>
      <c r="AA22" s="3">
        <f>'תקציב הנדסה 2025 '!AA22</f>
        <v>0</v>
      </c>
      <c r="AB22" s="202" t="str">
        <f>'תקציב הנדסה 2025 '!AB22</f>
        <v>תכנון תב"ע לשכונה חדשה בהרצליה הצעירה. שטח בגודל של כ - 50 דונם , כ - 300 יח"ד.  עדכון שם.</v>
      </c>
      <c r="AC22" s="3">
        <v>732000</v>
      </c>
      <c r="AD22" s="18"/>
      <c r="AE22" s="18"/>
      <c r="AF22" s="18"/>
      <c r="AG22" s="18"/>
      <c r="AH22" s="18"/>
      <c r="AI22" s="18"/>
      <c r="AJ22" s="484"/>
      <c r="AK22" s="484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499"/>
      <c r="BF22" s="499"/>
      <c r="BG22" s="499"/>
      <c r="BH22" s="499"/>
      <c r="BI22" s="499"/>
      <c r="BJ22" s="499"/>
      <c r="BK22" s="499"/>
      <c r="BL22" s="499"/>
    </row>
    <row r="23" spans="1:64" s="6" customFormat="1" ht="45">
      <c r="A23" s="3">
        <f t="shared" si="0"/>
        <v>19</v>
      </c>
      <c r="B23" s="3">
        <f>'תקציב הנדסה 2025 '!B23</f>
        <v>1744</v>
      </c>
      <c r="C23" s="202" t="str">
        <f>'תקציב הנדסה 2025 '!C23</f>
        <v>מערכת בקרת רמזורים</v>
      </c>
      <c r="D23" s="4">
        <f>'תקציב הנדסה 2025 '!D23</f>
        <v>13000000</v>
      </c>
      <c r="E23" s="4">
        <f>'תקציב הנדסה 2025 '!E23</f>
        <v>13000000</v>
      </c>
      <c r="F23" s="495">
        <f>'תקציב הנדסה 2025 '!F23</f>
        <v>0</v>
      </c>
      <c r="G23" s="4">
        <f>'תקציב הנדסה 2025 '!G23</f>
        <v>6950000</v>
      </c>
      <c r="H23" s="4">
        <f>'תקציב הנדסה 2025 '!H23</f>
        <v>6385962</v>
      </c>
      <c r="I23" s="4">
        <f>'תקציב הנדסה 2025 '!I23</f>
        <v>0</v>
      </c>
      <c r="J23" s="4">
        <f>'תקציב הנדסה 2025 '!J23</f>
        <v>418061</v>
      </c>
      <c r="K23" s="4">
        <f>'תקציב הנדסה 2025 '!K23</f>
        <v>418061</v>
      </c>
      <c r="L23" s="4">
        <f>'תקציב הנדסה 2025 '!L23</f>
        <v>6804023</v>
      </c>
      <c r="M23" s="495">
        <f>'תקציב הנדסה 2025 '!M23</f>
        <v>345977</v>
      </c>
      <c r="N23" s="4">
        <f>'תקציב הנדסה 2025 '!N23</f>
        <v>250000</v>
      </c>
      <c r="O23" s="4">
        <f>'תקציב הנדסה 2025 '!O23</f>
        <v>5600000</v>
      </c>
      <c r="P23" s="4">
        <f>'תקציב הנדסה 2025 '!P23</f>
        <v>145977</v>
      </c>
      <c r="Q23" s="310">
        <f>'תקציב הנדסה 2025 '!Q23</f>
        <v>0</v>
      </c>
      <c r="R23" s="4">
        <f>'תקציב הנדסה 2025 '!R23</f>
        <v>200000</v>
      </c>
      <c r="S23" s="4">
        <f>'תקציב הנדסה 2025 '!S23</f>
        <v>200000</v>
      </c>
      <c r="T23" s="495">
        <f>'תקציב הנדסה 2025 '!T23</f>
        <v>0</v>
      </c>
      <c r="U23" s="4">
        <f>'תקציב הנדסה 2025 '!U23</f>
        <v>250000</v>
      </c>
      <c r="V23" s="4">
        <f>'תקציב הנדסה 2025 '!V23</f>
        <v>250000</v>
      </c>
      <c r="W23" s="4">
        <f>'תקציב הנדסה 2025 '!W23</f>
        <v>0</v>
      </c>
      <c r="X23" s="4">
        <f>'תקציב הנדסה 2025 '!X23</f>
        <v>0</v>
      </c>
      <c r="Y23" s="4">
        <f>'תקציב הנדסה 2025 '!Y23</f>
        <v>0</v>
      </c>
      <c r="Z23" s="4">
        <f>'תקציב הנדסה 2025 '!Z23</f>
        <v>0</v>
      </c>
      <c r="AA23" s="3">
        <f>'תקציב הנדסה 2025 '!AA23</f>
        <v>0</v>
      </c>
      <c r="AB23" s="202" t="str">
        <f>'תקציב הנדסה 2025 '!AB23</f>
        <v>ליווי ותכ' יועץ רמזורים לעדכון מע.בקרת רמזורים בעיר עקב צמתים ורמזורים חדשים.</v>
      </c>
      <c r="AC23" s="3">
        <v>742000</v>
      </c>
      <c r="AD23" s="18"/>
      <c r="AE23" s="18"/>
      <c r="AF23" s="18"/>
      <c r="AG23" s="18"/>
      <c r="AH23" s="18"/>
      <c r="AI23" s="18"/>
      <c r="AJ23" s="484"/>
      <c r="AK23" s="484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64" s="5" customFormat="1" ht="60">
      <c r="A24" s="3">
        <f t="shared" si="0"/>
        <v>20</v>
      </c>
      <c r="B24" s="3">
        <f>'תקציב הנדסה 2025 '!B24</f>
        <v>1756</v>
      </c>
      <c r="C24" s="202" t="str">
        <f>'תקציב הנדסה 2025 '!C24</f>
        <v xml:space="preserve">מסמכי מדיניות  ותוכניות אסטרטגיות להתחדשות עירונית בשכונות </v>
      </c>
      <c r="D24" s="4">
        <f>'תקציב הנדסה 2025 '!D24</f>
        <v>710000</v>
      </c>
      <c r="E24" s="4">
        <f>'תקציב הנדסה 2025 '!E24</f>
        <v>1700000</v>
      </c>
      <c r="F24" s="495">
        <f>'תקציב הנדסה 2025 '!F24</f>
        <v>-990000</v>
      </c>
      <c r="G24" s="4">
        <f>'תקציב הנדסה 2025 '!G24</f>
        <v>710000</v>
      </c>
      <c r="H24" s="4">
        <f>'תקציב הנדסה 2025 '!H24</f>
        <v>511535</v>
      </c>
      <c r="I24" s="4">
        <f>'תקציב הנדסה 2025 '!I24</f>
        <v>0</v>
      </c>
      <c r="J24" s="4">
        <f>'תקציב הנדסה 2025 '!J24</f>
        <v>192863</v>
      </c>
      <c r="K24" s="4">
        <f>'תקציב הנדסה 2025 '!K24</f>
        <v>192863</v>
      </c>
      <c r="L24" s="4">
        <f>'תקציב הנדסה 2025 '!L24</f>
        <v>704398</v>
      </c>
      <c r="M24" s="495">
        <f>'תקציב הנדסה 2025 '!M24</f>
        <v>5602</v>
      </c>
      <c r="N24" s="497">
        <f>'תקציב הנדסה 2025 '!N24</f>
        <v>0</v>
      </c>
      <c r="O24" s="4">
        <f>'תקציב הנדסה 2025 '!O24</f>
        <v>0</v>
      </c>
      <c r="P24" s="4">
        <f>'תקציב הנדסה 2025 '!P24</f>
        <v>5602</v>
      </c>
      <c r="Q24" s="310">
        <f>'תקציב הנדסה 2025 '!Q24</f>
        <v>0</v>
      </c>
      <c r="R24" s="4">
        <f>'תקציב הנדסה 2025 '!R24</f>
        <v>0</v>
      </c>
      <c r="S24" s="4">
        <f>'תקציב הנדסה 2025 '!S24</f>
        <v>0</v>
      </c>
      <c r="T24" s="495">
        <f>'תקציב הנדסה 2025 '!T24</f>
        <v>0</v>
      </c>
      <c r="U24" s="4">
        <f>'תקציב הנדסה 2025 '!U24</f>
        <v>0</v>
      </c>
      <c r="V24" s="4">
        <f>'תקציב הנדסה 2025 '!V24</f>
        <v>0</v>
      </c>
      <c r="W24" s="4">
        <f>'תקציב הנדסה 2025 '!W24</f>
        <v>0</v>
      </c>
      <c r="X24" s="4">
        <f>'תקציב הנדסה 2025 '!X24</f>
        <v>0</v>
      </c>
      <c r="Y24" s="4">
        <f>'תקציב הנדסה 2025 '!Y24</f>
        <v>0</v>
      </c>
      <c r="Z24" s="4">
        <f>'תקציב הנדסה 2025 '!Z24</f>
        <v>0</v>
      </c>
      <c r="AA24" s="3">
        <f>'תקציב הנדסה 2025 '!AA24</f>
        <v>0</v>
      </c>
      <c r="AB24" s="496" t="str">
        <f>'תקציב הנדסה 2025 '!AB24</f>
        <v>הכנת מסמכי מדיניות ותוכניות אסטרטגיה להתחדשות עירונית .</v>
      </c>
      <c r="AC24" s="3">
        <v>732000</v>
      </c>
      <c r="AD24" s="18"/>
      <c r="AE24" s="18"/>
      <c r="AF24" s="18"/>
      <c r="AG24" s="18"/>
      <c r="AH24" s="18"/>
      <c r="AI24" s="18"/>
      <c r="AJ24" s="484"/>
      <c r="AK24" s="484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23"/>
      <c r="AW24" s="123"/>
      <c r="AX24" s="123"/>
      <c r="AY24" s="123"/>
      <c r="AZ24" s="123"/>
      <c r="BA24" s="123"/>
      <c r="BB24" s="123"/>
      <c r="BC24" s="123"/>
      <c r="BD24" s="256"/>
      <c r="BE24" s="256"/>
      <c r="BF24" s="256"/>
      <c r="BG24" s="256"/>
      <c r="BH24" s="256"/>
      <c r="BI24" s="256"/>
      <c r="BJ24" s="256"/>
      <c r="BK24" s="256"/>
      <c r="BL24" s="256"/>
    </row>
    <row r="25" spans="1:64" s="5" customFormat="1" ht="45">
      <c r="A25" s="3">
        <f t="shared" si="0"/>
        <v>21</v>
      </c>
      <c r="B25" s="19">
        <f>'תקציב הנדסה 2025 '!B25</f>
        <v>2105</v>
      </c>
      <c r="C25" s="202" t="str">
        <f>'תקציב הנדסה 2025 '!C25</f>
        <v>הארכת דרך ירושלים והתחברות אליה</v>
      </c>
      <c r="D25" s="4">
        <f>'תקציב הנדסה 2025 '!D25</f>
        <v>60000000</v>
      </c>
      <c r="E25" s="4">
        <f>'תקציב הנדסה 2025 '!E25</f>
        <v>60000000</v>
      </c>
      <c r="F25" s="495">
        <f>'תקציב הנדסה 2025 '!F25</f>
        <v>0</v>
      </c>
      <c r="G25" s="4">
        <f>'תקציב הנדסה 2025 '!G25</f>
        <v>268000</v>
      </c>
      <c r="H25" s="4">
        <f>'תקציב הנדסה 2025 '!H25</f>
        <v>49428</v>
      </c>
      <c r="I25" s="4">
        <f>'תקציב הנדסה 2025 '!I25</f>
        <v>0</v>
      </c>
      <c r="J25" s="4">
        <f>'תקציב הנדסה 2025 '!J25</f>
        <v>217768</v>
      </c>
      <c r="K25" s="4">
        <f>'תקציב הנדסה 2025 '!K25</f>
        <v>217768</v>
      </c>
      <c r="L25" s="4">
        <f>'תקציב הנדסה 2025 '!L25</f>
        <v>267196</v>
      </c>
      <c r="M25" s="495">
        <f>'תקציב הנדסה 2025 '!M25</f>
        <v>804</v>
      </c>
      <c r="N25" s="4">
        <f>'תקציב הנדסה 2025 '!N25</f>
        <v>500000</v>
      </c>
      <c r="O25" s="4">
        <f>'תקציב הנדסה 2025 '!O25</f>
        <v>59232000</v>
      </c>
      <c r="P25" s="4">
        <f>'תקציב הנדסה 2025 '!P25</f>
        <v>804</v>
      </c>
      <c r="Q25" s="310">
        <f>'תקציב הנדסה 2025 '!Q25</f>
        <v>0</v>
      </c>
      <c r="R25" s="4">
        <f>'תקציב הנדסה 2025 '!R25</f>
        <v>0</v>
      </c>
      <c r="S25" s="4">
        <f>'תקציב הנדסה 2025 '!S25</f>
        <v>0</v>
      </c>
      <c r="T25" s="495">
        <f>'תקציב הנדסה 2025 '!T25</f>
        <v>0</v>
      </c>
      <c r="U25" s="4">
        <f>'תקציב הנדסה 2025 '!U25</f>
        <v>500000</v>
      </c>
      <c r="V25" s="4">
        <f>'תקציב הנדסה 2025 '!V25</f>
        <v>500000</v>
      </c>
      <c r="W25" s="4">
        <f>'תקציב הנדסה 2025 '!W25</f>
        <v>0</v>
      </c>
      <c r="X25" s="4">
        <f>'תקציב הנדסה 2025 '!X25</f>
        <v>0</v>
      </c>
      <c r="Y25" s="4">
        <f>'תקציב הנדסה 2025 '!Y25</f>
        <v>0</v>
      </c>
      <c r="Z25" s="4">
        <f>'תקציב הנדסה 2025 '!Z25</f>
        <v>0</v>
      </c>
      <c r="AA25" s="3">
        <f>'תקציב הנדסה 2025 '!AA25</f>
        <v>0</v>
      </c>
      <c r="AB25" s="496" t="str">
        <f>'תקציב הנדסה 2025 '!AB25</f>
        <v xml:space="preserve">הארכת דרך ירושלים  מרחוב סוקולוב עד ליפקין שחק כולל דרך ושביל אופניים , פיתוח רחוב יבנה והנגב . </v>
      </c>
      <c r="AC25" s="3">
        <v>742000</v>
      </c>
      <c r="AD25" s="18"/>
      <c r="AE25" s="18"/>
      <c r="AF25" s="18"/>
      <c r="AG25" s="18"/>
      <c r="AH25" s="18"/>
      <c r="AI25" s="18"/>
      <c r="AJ25" s="484"/>
      <c r="AK25" s="484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6"/>
      <c r="BF25" s="6"/>
      <c r="BG25" s="6"/>
      <c r="BH25" s="6"/>
      <c r="BI25" s="6"/>
      <c r="BJ25" s="6"/>
      <c r="BK25" s="6"/>
      <c r="BL25" s="6"/>
    </row>
    <row r="26" spans="1:64" s="6" customFormat="1" ht="30" customHeight="1">
      <c r="A26" s="3">
        <f t="shared" si="0"/>
        <v>22</v>
      </c>
      <c r="B26" s="3">
        <f>'תקציב הנדסה 2025 '!B26</f>
        <v>2112</v>
      </c>
      <c r="C26" s="202" t="str">
        <f>'תקציב הנדסה 2025 '!C26</f>
        <v>סקר חריגות בניה ברחבי העיר</v>
      </c>
      <c r="D26" s="4">
        <f>'תקציב הנדסה 2025 '!D26</f>
        <v>7650000</v>
      </c>
      <c r="E26" s="4">
        <f>'תקציב הנדסה 2025 '!E26</f>
        <v>7650000</v>
      </c>
      <c r="F26" s="495">
        <f>'תקציב הנדסה 2025 '!F26</f>
        <v>0</v>
      </c>
      <c r="G26" s="4">
        <f>'תקציב הנדסה 2025 '!G26</f>
        <v>560000</v>
      </c>
      <c r="H26" s="4">
        <f>'תקציב הנדסה 2025 '!H26</f>
        <v>511352</v>
      </c>
      <c r="I26" s="4">
        <f>'תקציב הנדסה 2025 '!I26</f>
        <v>0</v>
      </c>
      <c r="J26" s="4">
        <f>'תקציב הנדסה 2025 '!J26</f>
        <v>11700</v>
      </c>
      <c r="K26" s="4">
        <f>'תקציב הנדסה 2025 '!K26</f>
        <v>11700</v>
      </c>
      <c r="L26" s="4">
        <f>'תקציב הנדסה 2025 '!L26</f>
        <v>523052</v>
      </c>
      <c r="M26" s="495">
        <f>'תקציב הנדסה 2025 '!M26</f>
        <v>36948</v>
      </c>
      <c r="N26" s="4">
        <f>'תקציב הנדסה 2025 '!N26</f>
        <v>100000</v>
      </c>
      <c r="O26" s="4">
        <f>'תקציב הנדסה 2025 '!O26</f>
        <v>6990000</v>
      </c>
      <c r="P26" s="4">
        <f>'תקציב הנדסה 2025 '!P26</f>
        <v>36948</v>
      </c>
      <c r="Q26" s="310">
        <f>'תקציב הנדסה 2025 '!Q26</f>
        <v>0</v>
      </c>
      <c r="R26" s="4">
        <f>'תקציב הנדסה 2025 '!R26</f>
        <v>0</v>
      </c>
      <c r="S26" s="4">
        <f>'תקציב הנדסה 2025 '!S26</f>
        <v>0</v>
      </c>
      <c r="T26" s="495">
        <f>'תקציב הנדסה 2025 '!T26</f>
        <v>0</v>
      </c>
      <c r="U26" s="4">
        <f>'תקציב הנדסה 2025 '!U26</f>
        <v>100000</v>
      </c>
      <c r="V26" s="4">
        <f>'תקציב הנדסה 2025 '!V26</f>
        <v>100000</v>
      </c>
      <c r="W26" s="4">
        <f>'תקציב הנדסה 2025 '!W26</f>
        <v>0</v>
      </c>
      <c r="X26" s="4">
        <f>'תקציב הנדסה 2025 '!X26</f>
        <v>0</v>
      </c>
      <c r="Y26" s="4">
        <f>'תקציב הנדסה 2025 '!Y26</f>
        <v>0</v>
      </c>
      <c r="Z26" s="4">
        <f>'תקציב הנדסה 2025 '!Z26</f>
        <v>0</v>
      </c>
      <c r="AA26" s="3">
        <f>'תקציב הנדסה 2025 '!AA26</f>
        <v>0</v>
      </c>
      <c r="AB26" s="202" t="str">
        <f>'תקציב הנדסה 2025 '!AB26</f>
        <v>ביצוע סקר חריגות בנייה עפ"י תיקון לחוק הרשויות. 2025 : פיענוח תצ"אות.</v>
      </c>
      <c r="AC26" s="3">
        <v>732000</v>
      </c>
      <c r="AD26" s="18"/>
      <c r="AE26" s="18"/>
      <c r="AF26" s="18"/>
      <c r="AG26" s="18"/>
      <c r="AH26" s="18"/>
      <c r="AI26" s="18"/>
      <c r="AJ26" s="484"/>
      <c r="AK26" s="484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5"/>
      <c r="BF26" s="5"/>
      <c r="BG26" s="5"/>
      <c r="BH26" s="5"/>
      <c r="BI26" s="5"/>
      <c r="BJ26" s="5"/>
      <c r="BK26" s="5"/>
      <c r="BL26" s="5"/>
    </row>
    <row r="27" spans="1:64" s="5" customFormat="1" ht="45">
      <c r="A27" s="3">
        <f t="shared" si="0"/>
        <v>23</v>
      </c>
      <c r="B27" s="3">
        <f>'תקציב הנדסה 2025 '!B27</f>
        <v>2113</v>
      </c>
      <c r="C27" s="202" t="str">
        <f>'תקציב הנדסה 2025 '!C27</f>
        <v>ביצוע הריסות עפ"י צווים</v>
      </c>
      <c r="D27" s="4">
        <f>'תקציב הנדסה 2025 '!D27</f>
        <v>2550000</v>
      </c>
      <c r="E27" s="4">
        <f>'תקציב הנדסה 2025 '!E27</f>
        <v>2550000</v>
      </c>
      <c r="F27" s="495">
        <f>'תקציב הנדסה 2025 '!F27</f>
        <v>0</v>
      </c>
      <c r="G27" s="4">
        <f>'תקציב הנדסה 2025 '!G27</f>
        <v>220000</v>
      </c>
      <c r="H27" s="4">
        <f>'תקציב הנדסה 2025 '!H27</f>
        <v>116513</v>
      </c>
      <c r="I27" s="4">
        <f>'תקציב הנדסה 2025 '!I27</f>
        <v>0</v>
      </c>
      <c r="J27" s="4">
        <f>'תקציב הנדסה 2025 '!J27</f>
        <v>14625</v>
      </c>
      <c r="K27" s="4">
        <f>'תקציב הנדסה 2025 '!K27</f>
        <v>14625</v>
      </c>
      <c r="L27" s="4">
        <f>'תקציב הנדסה 2025 '!L27</f>
        <v>131138</v>
      </c>
      <c r="M27" s="495">
        <f>'תקציב הנדסה 2025 '!M27</f>
        <v>88862</v>
      </c>
      <c r="N27" s="4">
        <f>'תקציב הנדסה 2025 '!N27</f>
        <v>200000</v>
      </c>
      <c r="O27" s="4">
        <f>'תקציב הנדסה 2025 '!O27</f>
        <v>2130000</v>
      </c>
      <c r="P27" s="4">
        <f>'תקציב הנדסה 2025 '!P27</f>
        <v>88862</v>
      </c>
      <c r="Q27" s="4">
        <f>'תקציב הנדסה 2025 '!Q27</f>
        <v>0</v>
      </c>
      <c r="R27" s="4">
        <f>'תקציב הנדסה 2025 '!R27</f>
        <v>0</v>
      </c>
      <c r="S27" s="4">
        <f>'תקציב הנדסה 2025 '!S27</f>
        <v>0</v>
      </c>
      <c r="T27" s="495">
        <f>'תקציב הנדסה 2025 '!T27</f>
        <v>0</v>
      </c>
      <c r="U27" s="4">
        <f>'תקציב הנדסה 2025 '!U27</f>
        <v>200000</v>
      </c>
      <c r="V27" s="4">
        <f>'תקציב הנדסה 2025 '!V27</f>
        <v>200000</v>
      </c>
      <c r="W27" s="4">
        <f>'תקציב הנדסה 2025 '!W27</f>
        <v>0</v>
      </c>
      <c r="X27" s="4">
        <f>'תקציב הנדסה 2025 '!X27</f>
        <v>0</v>
      </c>
      <c r="Y27" s="4">
        <f>'תקציב הנדסה 2025 '!Y27</f>
        <v>0</v>
      </c>
      <c r="Z27" s="4">
        <f>'תקציב הנדסה 2025 '!Z27</f>
        <v>0</v>
      </c>
      <c r="AA27" s="3">
        <f>'תקציב הנדסה 2025 '!AA27</f>
        <v>0</v>
      </c>
      <c r="AB27" s="202" t="str">
        <f>'תקציב הנדסה 2025 '!AB27</f>
        <v xml:space="preserve"> ביצוע צווים שיפוטיים וביצוע הריסות במקרים בהם לא בוצעו, ככל שיידרש בהמשך לסקר חריגות הבניה.</v>
      </c>
      <c r="AC27" s="3">
        <v>732000</v>
      </c>
      <c r="AD27" s="18"/>
      <c r="AE27" s="18"/>
      <c r="AF27" s="18"/>
      <c r="AG27" s="18"/>
      <c r="AH27" s="18"/>
      <c r="AI27" s="18"/>
      <c r="AJ27" s="484"/>
      <c r="AK27" s="484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6"/>
      <c r="BF27" s="6"/>
      <c r="BG27" s="6"/>
      <c r="BH27" s="6"/>
      <c r="BI27" s="6"/>
      <c r="BJ27" s="6"/>
      <c r="BK27" s="6"/>
      <c r="BL27" s="6"/>
    </row>
    <row r="28" spans="1:64" s="499" customFormat="1" ht="30" customHeight="1">
      <c r="A28" s="3">
        <f t="shared" si="0"/>
        <v>24</v>
      </c>
      <c r="B28" s="3">
        <f>'תקציב הנדסה 2025 '!B28</f>
        <v>2117</v>
      </c>
      <c r="C28" s="202" t="str">
        <f>'תקציב הנדסה 2025 '!C28</f>
        <v>שינוי תוכנית גליל ים א' ב' (=ט')</v>
      </c>
      <c r="D28" s="4">
        <f>'תקציב הנדסה 2025 '!D28</f>
        <v>750000</v>
      </c>
      <c r="E28" s="4">
        <f>'תקציב הנדסה 2025 '!E28</f>
        <v>750000</v>
      </c>
      <c r="F28" s="495">
        <f>'תקציב הנדסה 2025 '!F28</f>
        <v>0</v>
      </c>
      <c r="G28" s="4">
        <f>'תקציב הנדסה 2025 '!G28</f>
        <v>270000</v>
      </c>
      <c r="H28" s="4">
        <f>'תקציב הנדסה 2025 '!H28</f>
        <v>92721</v>
      </c>
      <c r="I28" s="4">
        <f>'תקציב הנדסה 2025 '!I28</f>
        <v>0</v>
      </c>
      <c r="J28" s="4">
        <f>'תקציב הנדסה 2025 '!J28</f>
        <v>119817</v>
      </c>
      <c r="K28" s="4">
        <f>'תקציב הנדסה 2025 '!K28</f>
        <v>119817</v>
      </c>
      <c r="L28" s="4">
        <f>'תקציב הנדסה 2025 '!L28</f>
        <v>212538</v>
      </c>
      <c r="M28" s="495">
        <f>'תקציב הנדסה 2025 '!M28</f>
        <v>7462</v>
      </c>
      <c r="N28" s="497">
        <f>'תקציב הנדסה 2025 '!N28</f>
        <v>50000</v>
      </c>
      <c r="O28" s="4">
        <f>'תקציב הנדסה 2025 '!O28</f>
        <v>480000</v>
      </c>
      <c r="P28" s="4">
        <f>'תקציב הנדסה 2025 '!P28</f>
        <v>57462</v>
      </c>
      <c r="Q28" s="310">
        <f>'תקציב הנדסה 2025 '!Q28</f>
        <v>0</v>
      </c>
      <c r="R28" s="4">
        <f>'תקציב הנדסה 2025 '!R28</f>
        <v>0</v>
      </c>
      <c r="S28" s="4">
        <f>'תקציב הנדסה 2025 '!S28</f>
        <v>0</v>
      </c>
      <c r="T28" s="495">
        <f>'תקציב הנדסה 2025 '!T28</f>
        <v>50000</v>
      </c>
      <c r="U28" s="4">
        <f>'תקציב הנדסה 2025 '!U28</f>
        <v>0</v>
      </c>
      <c r="V28" s="4">
        <f>'תקציב הנדסה 2025 '!V28</f>
        <v>0</v>
      </c>
      <c r="W28" s="4">
        <f>'תקציב הנדסה 2025 '!W28</f>
        <v>0</v>
      </c>
      <c r="X28" s="4">
        <f>'תקציב הנדסה 2025 '!X28</f>
        <v>0</v>
      </c>
      <c r="Y28" s="4">
        <f>'תקציב הנדסה 2025 '!Y28</f>
        <v>0</v>
      </c>
      <c r="Z28" s="4">
        <f>'תקציב הנדסה 2025 '!Z28</f>
        <v>0</v>
      </c>
      <c r="AA28" s="3">
        <f>'תקציב הנדסה 2025 '!AA28</f>
        <v>0</v>
      </c>
      <c r="AB28" s="202" t="str">
        <f>'תקציב הנדסה 2025 '!AB28</f>
        <v xml:space="preserve">שינוי לתוכנית הר' 1985 ב' עקב ריבוי יח"ד והצורך לספק שטחים ציבוריים בגינם. </v>
      </c>
      <c r="AC28" s="3">
        <v>732000</v>
      </c>
      <c r="AD28" s="18"/>
      <c r="AE28" s="18"/>
      <c r="AF28" s="18"/>
      <c r="AG28" s="18"/>
      <c r="AH28" s="18"/>
      <c r="AI28" s="18"/>
      <c r="AJ28" s="484"/>
      <c r="AK28" s="484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6"/>
      <c r="BF28" s="6"/>
      <c r="BG28" s="6"/>
      <c r="BH28" s="6"/>
      <c r="BI28" s="6"/>
      <c r="BJ28" s="6"/>
      <c r="BK28" s="6"/>
      <c r="BL28" s="6"/>
    </row>
    <row r="29" spans="1:64" s="6" customFormat="1" ht="45">
      <c r="A29" s="3">
        <f t="shared" si="0"/>
        <v>25</v>
      </c>
      <c r="B29" s="19">
        <f>'תקציב הנדסה 2025 '!B29</f>
        <v>2121</v>
      </c>
      <c r="C29" s="202" t="str">
        <f>'תקציב הנדסה 2025 '!C29</f>
        <v>צומת הבריגדה היהודית -מנחם בגין- בטיחות</v>
      </c>
      <c r="D29" s="4">
        <f>'תקציב הנדסה 2025 '!D29</f>
        <v>2100000</v>
      </c>
      <c r="E29" s="4">
        <f>'תקציב הנדסה 2025 '!E29</f>
        <v>1290000</v>
      </c>
      <c r="F29" s="495">
        <f>'תקציב הנדסה 2025 '!F29</f>
        <v>810000</v>
      </c>
      <c r="G29" s="4">
        <f>'תקציב הנדסה 2025 '!G29</f>
        <v>1100000</v>
      </c>
      <c r="H29" s="4">
        <f>'תקציב הנדסה 2025 '!H29</f>
        <v>209071</v>
      </c>
      <c r="I29" s="4">
        <f>'תקציב הנדסה 2025 '!I29</f>
        <v>0</v>
      </c>
      <c r="J29" s="4">
        <f>'תקציב הנדסה 2025 '!J29</f>
        <v>96923</v>
      </c>
      <c r="K29" s="4">
        <f>'תקציב הנדסה 2025 '!K29</f>
        <v>96923</v>
      </c>
      <c r="L29" s="4">
        <f>'תקציב הנדסה 2025 '!L29</f>
        <v>305994</v>
      </c>
      <c r="M29" s="495">
        <f>'תקציב הנדסה 2025 '!M29</f>
        <v>794006</v>
      </c>
      <c r="N29" s="4">
        <f>'תקציב הנדסה 2025 '!N29</f>
        <v>200000</v>
      </c>
      <c r="O29" s="4">
        <f>'תקציב הנדסה 2025 '!O29</f>
        <v>800000</v>
      </c>
      <c r="P29" s="4">
        <f>'תקציב הנדסה 2025 '!P29</f>
        <v>794006</v>
      </c>
      <c r="Q29" s="310">
        <f>'תקציב הנדסה 2025 '!Q29</f>
        <v>0</v>
      </c>
      <c r="R29" s="4">
        <f>'תקציב הנדסה 2025 '!R29</f>
        <v>0</v>
      </c>
      <c r="S29" s="4">
        <f>'תקציב הנדסה 2025 '!S29</f>
        <v>0</v>
      </c>
      <c r="T29" s="495">
        <f>'תקציב הנדסה 2025 '!T29</f>
        <v>0</v>
      </c>
      <c r="U29" s="4">
        <f>'תקציב הנדסה 2025 '!U29</f>
        <v>200000</v>
      </c>
      <c r="V29" s="4">
        <f>'תקציב הנדסה 2025 '!V29</f>
        <v>200000</v>
      </c>
      <c r="W29" s="4">
        <f>'תקציב הנדסה 2025 '!W29</f>
        <v>0</v>
      </c>
      <c r="X29" s="4">
        <f>'תקציב הנדסה 2025 '!X29</f>
        <v>0</v>
      </c>
      <c r="Y29" s="4">
        <f>'תקציב הנדסה 2025 '!Y29</f>
        <v>0</v>
      </c>
      <c r="Z29" s="4">
        <f>'תקציב הנדסה 2025 '!Z29</f>
        <v>0</v>
      </c>
      <c r="AA29" s="495">
        <f>'תקציב הנדסה 2025 '!AA29</f>
        <v>0</v>
      </c>
      <c r="AB29" s="202" t="str">
        <f>'תקציב הנדסה 2025 '!AB29</f>
        <v>תכנון וביצוע צומת הבריגדה היהודית -מנחם בגין עקב ריבוי תאונות דרכים עפ"י נתוני הרלב"ד. מימון מ. התחבורה.</v>
      </c>
      <c r="AC29" s="3">
        <v>742000</v>
      </c>
      <c r="AD29" s="18"/>
      <c r="AE29" s="18"/>
      <c r="AF29" s="18"/>
      <c r="AG29" s="18"/>
      <c r="AH29" s="18"/>
      <c r="AI29" s="18"/>
      <c r="AJ29" s="484"/>
      <c r="AK29" s="484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5"/>
      <c r="BF29" s="5"/>
      <c r="BG29" s="5"/>
      <c r="BH29" s="5"/>
      <c r="BI29" s="5"/>
      <c r="BJ29" s="5"/>
      <c r="BK29" s="5"/>
      <c r="BL29" s="5"/>
    </row>
    <row r="30" spans="1:64" s="5" customFormat="1" ht="30" customHeight="1">
      <c r="A30" s="3">
        <f t="shared" si="0"/>
        <v>26</v>
      </c>
      <c r="B30" s="19">
        <f>'תקציב הנדסה 2025 '!B30</f>
        <v>2143</v>
      </c>
      <c r="C30" s="202" t="str">
        <f>'תקציב הנדסה 2025 '!C30</f>
        <v>סקר תשתיות קיימות</v>
      </c>
      <c r="D30" s="4">
        <f>'תקציב הנדסה 2025 '!D30</f>
        <v>850000</v>
      </c>
      <c r="E30" s="4">
        <f>'תקציב הנדסה 2025 '!E30</f>
        <v>850000</v>
      </c>
      <c r="F30" s="495">
        <f>'תקציב הנדסה 2025 '!F30</f>
        <v>0</v>
      </c>
      <c r="G30" s="4">
        <f>'תקציב הנדסה 2025 '!G30</f>
        <v>850000</v>
      </c>
      <c r="H30" s="4">
        <f>'תקציב הנדסה 2025 '!H30</f>
        <v>690172</v>
      </c>
      <c r="I30" s="4">
        <f>'תקציב הנדסה 2025 '!I30</f>
        <v>0</v>
      </c>
      <c r="J30" s="4">
        <f>'תקציב הנדסה 2025 '!J30</f>
        <v>153069</v>
      </c>
      <c r="K30" s="4">
        <f>'תקציב הנדסה 2025 '!K30</f>
        <v>153069</v>
      </c>
      <c r="L30" s="4">
        <f>'תקציב הנדסה 2025 '!L30</f>
        <v>843241</v>
      </c>
      <c r="M30" s="495">
        <f>'תקציב הנדסה 2025 '!M30</f>
        <v>6759</v>
      </c>
      <c r="N30" s="497">
        <f>'תקציב הנדסה 2025 '!N30</f>
        <v>0</v>
      </c>
      <c r="O30" s="4">
        <f>'תקציב הנדסה 2025 '!O30</f>
        <v>0</v>
      </c>
      <c r="P30" s="4">
        <f>'תקציב הנדסה 2025 '!P30</f>
        <v>6759</v>
      </c>
      <c r="Q30" s="310">
        <f>'תקציב הנדסה 2025 '!Q30</f>
        <v>0</v>
      </c>
      <c r="R30" s="4">
        <f>'תקציב הנדסה 2025 '!R30</f>
        <v>0</v>
      </c>
      <c r="S30" s="4">
        <f>'תקציב הנדסה 2025 '!S30</f>
        <v>0</v>
      </c>
      <c r="T30" s="495">
        <f>'תקציב הנדסה 2025 '!T30</f>
        <v>0</v>
      </c>
      <c r="U30" s="4">
        <f>'תקציב הנדסה 2025 '!U30</f>
        <v>0</v>
      </c>
      <c r="V30" s="4">
        <f>'תקציב הנדסה 2025 '!V30</f>
        <v>0</v>
      </c>
      <c r="W30" s="4">
        <f>'תקציב הנדסה 2025 '!W30</f>
        <v>0</v>
      </c>
      <c r="X30" s="4">
        <f>'תקציב הנדסה 2025 '!X30</f>
        <v>0</v>
      </c>
      <c r="Y30" s="4">
        <f>'תקציב הנדסה 2025 '!Y30</f>
        <v>0</v>
      </c>
      <c r="Z30" s="4">
        <f>'תקציב הנדסה 2025 '!Z30</f>
        <v>0</v>
      </c>
      <c r="AA30" s="3">
        <f>'תקציב הנדסה 2025 '!AA30</f>
        <v>0</v>
      </c>
      <c r="AB30" s="202" t="str">
        <f>'תקציב הנדסה 2025 '!AB30</f>
        <v xml:space="preserve">מיחשוב כלל התשתיות הקיימות במרחב הציבורי. </v>
      </c>
      <c r="AC30" s="3">
        <v>732000</v>
      </c>
      <c r="AD30" s="18"/>
      <c r="AE30" s="18"/>
      <c r="AF30" s="18"/>
      <c r="AG30" s="18"/>
      <c r="AH30" s="18"/>
      <c r="AI30" s="18"/>
      <c r="AJ30" s="484"/>
      <c r="AK30" s="484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</row>
    <row r="31" spans="1:64" s="6" customFormat="1" ht="45">
      <c r="A31" s="3">
        <f t="shared" si="0"/>
        <v>27</v>
      </c>
      <c r="B31" s="19">
        <f>'תקציב הנדסה 2025 '!B31</f>
        <v>2190</v>
      </c>
      <c r="C31" s="202" t="str">
        <f>'תקציב הנדסה 2025 '!C31</f>
        <v>תכנון הסדרת צומת אשל- בזל</v>
      </c>
      <c r="D31" s="4">
        <f>'תקציב הנדסה 2025 '!D31</f>
        <v>42618</v>
      </c>
      <c r="E31" s="4">
        <f>'תקציב הנדסה 2025 '!E31</f>
        <v>42618</v>
      </c>
      <c r="F31" s="495">
        <f>'תקציב הנדסה 2025 '!F31</f>
        <v>0</v>
      </c>
      <c r="G31" s="4">
        <f>'תקציב הנדסה 2025 '!G31</f>
        <v>42618</v>
      </c>
      <c r="H31" s="4">
        <f>'תקציב הנדסה 2025 '!H31</f>
        <v>42618</v>
      </c>
      <c r="I31" s="4">
        <f>'תקציב הנדסה 2025 '!I31</f>
        <v>0</v>
      </c>
      <c r="J31" s="4">
        <f>'תקציב הנדסה 2025 '!J31</f>
        <v>0</v>
      </c>
      <c r="K31" s="4">
        <f>'תקציב הנדסה 2025 '!K31</f>
        <v>0</v>
      </c>
      <c r="L31" s="4">
        <f>'תקציב הנדסה 2025 '!L31</f>
        <v>42618</v>
      </c>
      <c r="M31" s="495">
        <f>'תקציב הנדסה 2025 '!M31</f>
        <v>0</v>
      </c>
      <c r="N31" s="497">
        <f>'תקציב הנדסה 2025 '!N31</f>
        <v>0</v>
      </c>
      <c r="O31" s="4">
        <f>'תקציב הנדסה 2025 '!O31</f>
        <v>0</v>
      </c>
      <c r="P31" s="4">
        <f>'תקציב הנדסה 2025 '!P31</f>
        <v>0</v>
      </c>
      <c r="Q31" s="310">
        <f>'תקציב הנדסה 2025 '!Q31</f>
        <v>0</v>
      </c>
      <c r="R31" s="4">
        <f>'תקציב הנדסה 2025 '!R31</f>
        <v>0</v>
      </c>
      <c r="S31" s="4">
        <f>'תקציב הנדסה 2025 '!S31</f>
        <v>0</v>
      </c>
      <c r="T31" s="495">
        <f>'תקציב הנדסה 2025 '!T31</f>
        <v>0</v>
      </c>
      <c r="U31" s="4">
        <f>'תקציב הנדסה 2025 '!U31</f>
        <v>0</v>
      </c>
      <c r="V31" s="4">
        <f>'תקציב הנדסה 2025 '!V31</f>
        <v>0</v>
      </c>
      <c r="W31" s="4">
        <f>'תקציב הנדסה 2025 '!W31</f>
        <v>0</v>
      </c>
      <c r="X31" s="4">
        <f>'תקציב הנדסה 2025 '!X31</f>
        <v>0</v>
      </c>
      <c r="Y31" s="4">
        <f>'תקציב הנדסה 2025 '!Y31</f>
        <v>0</v>
      </c>
      <c r="Z31" s="4">
        <f>'תקציב הנדסה 2025 '!Z31</f>
        <v>0</v>
      </c>
      <c r="AA31" s="4">
        <f>'תקציב הנדסה 2025 '!AA31</f>
        <v>0</v>
      </c>
      <c r="AB31" s="202" t="str">
        <f>'תקציב הנדסה 2025 '!AB31</f>
        <v>תכנון צומת אשל בזל . פרויקט בטיחותי. מימון מ. התחבורה. הסתיים. (ממתין לתקבול מ. התחבורה).</v>
      </c>
      <c r="AC31" s="3">
        <v>742000</v>
      </c>
      <c r="AD31" s="18"/>
      <c r="AE31" s="18"/>
      <c r="AF31" s="18"/>
      <c r="AG31" s="18"/>
      <c r="AH31" s="18"/>
      <c r="AI31" s="18"/>
      <c r="AJ31" s="484"/>
      <c r="AK31" s="484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23"/>
      <c r="AW31" s="123"/>
      <c r="AX31" s="123"/>
      <c r="AY31" s="123"/>
      <c r="AZ31" s="123"/>
      <c r="BA31" s="123"/>
      <c r="BB31" s="123"/>
      <c r="BC31" s="123"/>
      <c r="BD31" s="256"/>
      <c r="BE31" s="256"/>
      <c r="BF31" s="256"/>
      <c r="BG31" s="256"/>
      <c r="BH31" s="256"/>
      <c r="BI31" s="256"/>
      <c r="BJ31" s="256"/>
      <c r="BK31" s="256"/>
      <c r="BL31" s="256"/>
    </row>
    <row r="32" spans="1:64" s="6" customFormat="1" ht="45">
      <c r="A32" s="3">
        <f t="shared" si="0"/>
        <v>28</v>
      </c>
      <c r="B32" s="19">
        <f>'תקציב הנדסה 2025 '!B32</f>
        <v>2193</v>
      </c>
      <c r="C32" s="202" t="str">
        <f>'תקציב הנדסה 2025 '!C32</f>
        <v>תוכנית תפעולית במסגרת "מהיר לעיר"</v>
      </c>
      <c r="D32" s="4">
        <f>'תקציב הנדסה 2025 '!D32</f>
        <v>745000</v>
      </c>
      <c r="E32" s="4">
        <f>'תקציב הנדסה 2025 '!E32</f>
        <v>500000</v>
      </c>
      <c r="F32" s="495">
        <f>'תקציב הנדסה 2025 '!F32</f>
        <v>245000</v>
      </c>
      <c r="G32" s="4">
        <f>'תקציב הנדסה 2025 '!G32</f>
        <v>250000</v>
      </c>
      <c r="H32" s="4">
        <f>'תקציב הנדסה 2025 '!H32</f>
        <v>34902</v>
      </c>
      <c r="I32" s="4">
        <f>'תקציב הנדסה 2025 '!I32</f>
        <v>0</v>
      </c>
      <c r="J32" s="4">
        <f>'תקציב הנדסה 2025 '!J32</f>
        <v>88478</v>
      </c>
      <c r="K32" s="4">
        <f>'תקציב הנדסה 2025 '!K32</f>
        <v>88478</v>
      </c>
      <c r="L32" s="4">
        <f>'תקציב הנדסה 2025 '!L32</f>
        <v>123380</v>
      </c>
      <c r="M32" s="495">
        <f>'תקציב הנדסה 2025 '!M32</f>
        <v>126620</v>
      </c>
      <c r="N32" s="4">
        <f>'תקציב הנדסה 2025 '!N32</f>
        <v>200000</v>
      </c>
      <c r="O32" s="4">
        <f>'תקציב הנדסה 2025 '!O32</f>
        <v>295000</v>
      </c>
      <c r="P32" s="4">
        <f>'תקציב הנדסה 2025 '!P32</f>
        <v>126620</v>
      </c>
      <c r="Q32" s="310">
        <f>'תקציב הנדסה 2025 '!Q32</f>
        <v>0</v>
      </c>
      <c r="R32" s="4">
        <f>'תקציב הנדסה 2025 '!R32</f>
        <v>0</v>
      </c>
      <c r="S32" s="4">
        <f>'תקציב הנדסה 2025 '!S32</f>
        <v>0</v>
      </c>
      <c r="T32" s="495">
        <f>'תקציב הנדסה 2025 '!T32</f>
        <v>0</v>
      </c>
      <c r="U32" s="4">
        <f>'תקציב הנדסה 2025 '!U32</f>
        <v>200000</v>
      </c>
      <c r="V32" s="4">
        <f>'תקציב הנדסה 2025 '!V32</f>
        <v>200000</v>
      </c>
      <c r="W32" s="4">
        <f>'תקציב הנדסה 2025 '!W32</f>
        <v>0</v>
      </c>
      <c r="X32" s="4">
        <f>'תקציב הנדסה 2025 '!X32</f>
        <v>0</v>
      </c>
      <c r="Y32" s="4">
        <f>'תקציב הנדסה 2025 '!Y32</f>
        <v>0</v>
      </c>
      <c r="Z32" s="4">
        <f>'תקציב הנדסה 2025 '!Z32</f>
        <v>0</v>
      </c>
      <c r="AA32" s="3">
        <f>'תקציב הנדסה 2025 '!AA32</f>
        <v>0</v>
      </c>
      <c r="AB32" s="202" t="str">
        <f>'תקציב הנדסה 2025 '!AB32</f>
        <v>מסגרת. הקמת תחנות אוטובוס , תחנות קצה ותשתיות בהתאם לצורך, במסגרת התוכנית התפעולית של "מהיר לעיר".</v>
      </c>
      <c r="AC32" s="3">
        <v>742000</v>
      </c>
      <c r="AD32" s="18"/>
      <c r="AE32" s="18"/>
      <c r="AF32" s="18"/>
      <c r="AG32" s="18"/>
      <c r="AH32" s="18"/>
      <c r="AI32" s="18"/>
      <c r="AJ32" s="484"/>
      <c r="AK32" s="484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5"/>
      <c r="BF32" s="5"/>
      <c r="BG32" s="5"/>
      <c r="BH32" s="5"/>
      <c r="BI32" s="5"/>
      <c r="BJ32" s="5"/>
      <c r="BK32" s="5"/>
      <c r="BL32" s="5"/>
    </row>
    <row r="33" spans="1:64" s="5" customFormat="1" ht="30" customHeight="1">
      <c r="A33" s="3">
        <f t="shared" si="0"/>
        <v>29</v>
      </c>
      <c r="B33" s="19">
        <f>'תקציב הנדסה 2025 '!B33</f>
        <v>2199</v>
      </c>
      <c r="C33" s="202" t="str">
        <f>'תקציב הנדסה 2025 '!C33</f>
        <v>ליווי תוכניות ארציות</v>
      </c>
      <c r="D33" s="4">
        <f>'תקציב הנדסה 2025 '!D33</f>
        <v>1000000</v>
      </c>
      <c r="E33" s="4">
        <f>'תקציב הנדסה 2025 '!E33</f>
        <v>1000000</v>
      </c>
      <c r="F33" s="495">
        <f>'תקציב הנדסה 2025 '!F33</f>
        <v>0</v>
      </c>
      <c r="G33" s="4">
        <f>'תקציב הנדסה 2025 '!G33</f>
        <v>109000</v>
      </c>
      <c r="H33" s="4">
        <f>'תקציב הנדסה 2025 '!H33</f>
        <v>58970</v>
      </c>
      <c r="I33" s="4">
        <f>'תקציב הנדסה 2025 '!I33</f>
        <v>0</v>
      </c>
      <c r="J33" s="4">
        <f>'תקציב הנדסה 2025 '!J33</f>
        <v>0</v>
      </c>
      <c r="K33" s="4">
        <f>'תקציב הנדסה 2025 '!K33</f>
        <v>0</v>
      </c>
      <c r="L33" s="4">
        <f>'תקציב הנדסה 2025 '!L33</f>
        <v>58970</v>
      </c>
      <c r="M33" s="495">
        <f>'תקציב הנדסה 2025 '!M33</f>
        <v>30</v>
      </c>
      <c r="N33" s="497">
        <f>'תקציב הנדסה 2025 '!N33</f>
        <v>50000</v>
      </c>
      <c r="O33" s="4">
        <f>'תקציב הנדסה 2025 '!O33</f>
        <v>891000</v>
      </c>
      <c r="P33" s="4">
        <f>'תקציב הנדסה 2025 '!P33</f>
        <v>50030</v>
      </c>
      <c r="Q33" s="310">
        <f>'תקציב הנדסה 2025 '!Q33</f>
        <v>0</v>
      </c>
      <c r="R33" s="4">
        <f>'תקציב הנדסה 2025 '!R33</f>
        <v>0</v>
      </c>
      <c r="S33" s="4">
        <f>'תקציב הנדסה 2025 '!S33</f>
        <v>0</v>
      </c>
      <c r="T33" s="495">
        <f>'תקציב הנדסה 2025 '!T33</f>
        <v>50000</v>
      </c>
      <c r="U33" s="4">
        <f>'תקציב הנדסה 2025 '!U33</f>
        <v>0</v>
      </c>
      <c r="V33" s="4">
        <f>'תקציב הנדסה 2025 '!V33</f>
        <v>0</v>
      </c>
      <c r="W33" s="4">
        <f>'תקציב הנדסה 2025 '!W33</f>
        <v>0</v>
      </c>
      <c r="X33" s="4">
        <f>'תקציב הנדסה 2025 '!X33</f>
        <v>0</v>
      </c>
      <c r="Y33" s="4">
        <f>'תקציב הנדסה 2025 '!Y33</f>
        <v>0</v>
      </c>
      <c r="Z33" s="4">
        <f>'תקציב הנדסה 2025 '!Z33</f>
        <v>0</v>
      </c>
      <c r="AA33" s="3">
        <f>'תקציב הנדסה 2025 '!AA33</f>
        <v>0</v>
      </c>
      <c r="AB33" s="202" t="str">
        <f>'תקציב הנדסה 2025 '!AB33</f>
        <v>ליווי של יועצים ,מתכננים , אגרונום למגוון תוכניות ארציות (תמ"א,תמ"ל).</v>
      </c>
      <c r="AC33" s="3">
        <v>732000</v>
      </c>
      <c r="AD33" s="18"/>
      <c r="AE33" s="18"/>
      <c r="AF33" s="18"/>
      <c r="AG33" s="18"/>
      <c r="AH33" s="18"/>
      <c r="AI33" s="18"/>
      <c r="AJ33" s="484"/>
      <c r="AK33" s="484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</row>
    <row r="34" spans="1:64" s="5" customFormat="1" ht="75">
      <c r="A34" s="3">
        <f t="shared" si="0"/>
        <v>30</v>
      </c>
      <c r="B34" s="19">
        <f>'תקציב הנדסה 2025 '!B34</f>
        <v>2200</v>
      </c>
      <c r="C34" s="202" t="str">
        <f>'תקציב הנדסה 2025 '!C34</f>
        <v>פיתוח קיימות סביבה וחדשנות</v>
      </c>
      <c r="D34" s="4">
        <f>'תקציב הנדסה 2025 '!D34</f>
        <v>1700000</v>
      </c>
      <c r="E34" s="4">
        <f>'תקציב הנדסה 2025 '!E34</f>
        <v>1700000</v>
      </c>
      <c r="F34" s="495">
        <f>'תקציב הנדסה 2025 '!F34</f>
        <v>0</v>
      </c>
      <c r="G34" s="4">
        <f>'תקציב הנדסה 2025 '!G34</f>
        <v>173000</v>
      </c>
      <c r="H34" s="4">
        <f>'תקציב הנדסה 2025 '!H34</f>
        <v>23158</v>
      </c>
      <c r="I34" s="4">
        <f>'תקציב הנדסה 2025 '!I34</f>
        <v>0</v>
      </c>
      <c r="J34" s="4">
        <f>'תקציב הנדסה 2025 '!J34</f>
        <v>49309</v>
      </c>
      <c r="K34" s="4">
        <f>'תקציב הנדסה 2025 '!K34</f>
        <v>49309</v>
      </c>
      <c r="L34" s="4">
        <f>'תקציב הנדסה 2025 '!L34</f>
        <v>72467</v>
      </c>
      <c r="M34" s="495">
        <f>'תקציב הנדסה 2025 '!M34</f>
        <v>100533</v>
      </c>
      <c r="N34" s="4">
        <f>'תקציב הנדסה 2025 '!N34</f>
        <v>200000</v>
      </c>
      <c r="O34" s="4">
        <f>'תקציב הנדסה 2025 '!O34</f>
        <v>1327000</v>
      </c>
      <c r="P34" s="4">
        <f>'תקציב הנדסה 2025 '!P34</f>
        <v>100533</v>
      </c>
      <c r="Q34" s="310">
        <f>'תקציב הנדסה 2025 '!Q34</f>
        <v>0</v>
      </c>
      <c r="R34" s="4">
        <f>'תקציב הנדסה 2025 '!R34</f>
        <v>0</v>
      </c>
      <c r="S34" s="4">
        <f>'תקציב הנדסה 2025 '!S34</f>
        <v>0</v>
      </c>
      <c r="T34" s="495">
        <f>'תקציב הנדסה 2025 '!T34</f>
        <v>0</v>
      </c>
      <c r="U34" s="4">
        <f>'תקציב הנדסה 2025 '!U34</f>
        <v>200000</v>
      </c>
      <c r="V34" s="4">
        <f>'תקציב הנדסה 2025 '!V34</f>
        <v>200000</v>
      </c>
      <c r="W34" s="4">
        <f>'תקציב הנדסה 2025 '!W34</f>
        <v>0</v>
      </c>
      <c r="X34" s="4">
        <f>'תקציב הנדסה 2025 '!X34</f>
        <v>0</v>
      </c>
      <c r="Y34" s="4">
        <f>'תקציב הנדסה 2025 '!Y34</f>
        <v>0</v>
      </c>
      <c r="Z34" s="4">
        <f>'תקציב הנדסה 2025 '!Z34</f>
        <v>0</v>
      </c>
      <c r="AA34" s="3">
        <f>'תקציב הנדסה 2025 '!AA34</f>
        <v>0</v>
      </c>
      <c r="AB34" s="202" t="str">
        <f>'תקציב הנדסה 2025 '!AB34</f>
        <v>יועצי סביבה וקיימות בהיבטים תכנוניים במסגרת בקשות להיתרים ותכנון תב"עות. גיבוש מדיניות של תכנון בר קיימא כמענה לשינויי האקלים לצד ציפוף עירוני מוגבר.</v>
      </c>
      <c r="AC34" s="3">
        <v>732000</v>
      </c>
      <c r="AD34" s="18"/>
      <c r="AE34" s="18"/>
      <c r="AF34" s="18"/>
      <c r="AG34" s="18"/>
      <c r="AH34" s="18"/>
      <c r="AI34" s="18"/>
      <c r="AJ34" s="484"/>
      <c r="AK34" s="484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</row>
    <row r="35" spans="1:64" s="5" customFormat="1" ht="60">
      <c r="A35" s="3">
        <f t="shared" si="0"/>
        <v>31</v>
      </c>
      <c r="B35" s="19">
        <f>'תקציב הנדסה 2025 '!B35</f>
        <v>20000</v>
      </c>
      <c r="C35" s="202" t="str">
        <f>'תקציב הנדסה 2025 '!C35</f>
        <v>תכנית מתאר להתחדשות עירונית</v>
      </c>
      <c r="D35" s="4">
        <f>'תקציב הנדסה 2025 '!D35</f>
        <v>5200000</v>
      </c>
      <c r="E35" s="4">
        <f>'תקציב הנדסה 2025 '!E35</f>
        <v>2500000</v>
      </c>
      <c r="F35" s="495">
        <f>'תקציב הנדסה 2025 '!F35</f>
        <v>2700000</v>
      </c>
      <c r="G35" s="4">
        <f>'תקציב הנדסה 2025 '!G35</f>
        <v>100000</v>
      </c>
      <c r="H35" s="4">
        <f>'תקציב הנדסה 2025 '!H35</f>
        <v>0</v>
      </c>
      <c r="I35" s="4">
        <f>'תקציב הנדסה 2025 '!I35</f>
        <v>0</v>
      </c>
      <c r="J35" s="4">
        <f>'תקציב הנדסה 2025 '!J35</f>
        <v>0</v>
      </c>
      <c r="K35" s="4">
        <f>'תקציב הנדסה 2025 '!K35</f>
        <v>0</v>
      </c>
      <c r="L35" s="4">
        <f>'תקציב הנדסה 2025 '!L35</f>
        <v>0</v>
      </c>
      <c r="M35" s="495">
        <f>'תקציב הנדסה 2025 '!M35</f>
        <v>0</v>
      </c>
      <c r="N35" s="4">
        <f>'תקציב הנדסה 2025 '!N35</f>
        <v>500000</v>
      </c>
      <c r="O35" s="4">
        <f>'תקציב הנדסה 2025 '!O35</f>
        <v>4700000</v>
      </c>
      <c r="P35" s="4">
        <f>'תקציב הנדסה 2025 '!P35</f>
        <v>100000</v>
      </c>
      <c r="Q35" s="310">
        <f>'תקציב הנדסה 2025 '!Q35</f>
        <v>0</v>
      </c>
      <c r="R35" s="4">
        <f>'תקציב הנדסה 2025 '!R35</f>
        <v>0</v>
      </c>
      <c r="S35" s="4">
        <f>'תקציב הנדסה 2025 '!S35</f>
        <v>0</v>
      </c>
      <c r="T35" s="495">
        <f>'תקציב הנדסה 2025 '!T35</f>
        <v>100000</v>
      </c>
      <c r="U35" s="4">
        <f>'תקציב הנדסה 2025 '!U35</f>
        <v>400000</v>
      </c>
      <c r="V35" s="4">
        <f>'תקציב הנדסה 2025 '!V35</f>
        <v>400000</v>
      </c>
      <c r="W35" s="4">
        <f>'תקציב הנדסה 2025 '!W35</f>
        <v>0</v>
      </c>
      <c r="X35" s="4">
        <f>'תקציב הנדסה 2025 '!X35</f>
        <v>0</v>
      </c>
      <c r="Y35" s="4">
        <f>'תקציב הנדסה 2025 '!Y35</f>
        <v>0</v>
      </c>
      <c r="Z35" s="4">
        <f>'תקציב הנדסה 2025 '!Z35</f>
        <v>0</v>
      </c>
      <c r="AA35" s="3">
        <f>'תקציב הנדסה 2025 '!AA35</f>
        <v>0</v>
      </c>
      <c r="AB35" s="202" t="str">
        <f>'תקציב הנדסה 2025 '!AB35</f>
        <v>הכנת תוכנית כוללת להתחדשות עירונית. תוכנית עם תוקף סטטוטורי להבטחת יישום החזון והמדיניות להתחדשות ופיתוח מרכז העיר.</v>
      </c>
      <c r="AC35" s="3">
        <v>732000</v>
      </c>
      <c r="AD35" s="18"/>
      <c r="AE35" s="18"/>
      <c r="AF35" s="18"/>
      <c r="AG35" s="18"/>
      <c r="AH35" s="18"/>
      <c r="AI35" s="18"/>
      <c r="AJ35" s="484"/>
      <c r="AK35" s="484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</row>
    <row r="36" spans="1:64" s="5" customFormat="1" ht="30" customHeight="1">
      <c r="A36" s="3">
        <f t="shared" si="0"/>
        <v>32</v>
      </c>
      <c r="B36" s="19">
        <f>'תקציב הנדסה 2025 '!B36</f>
        <v>20001</v>
      </c>
      <c r="C36" s="202" t="str">
        <f>'תקציב הנדסה 2025 '!C36</f>
        <v>רחוב אזר ההסתדרות</v>
      </c>
      <c r="D36" s="4">
        <f>'תקציב הנדסה 2025 '!D36</f>
        <v>4000000</v>
      </c>
      <c r="E36" s="4">
        <f>'תקציב הנדסה 2025 '!E36</f>
        <v>3200000</v>
      </c>
      <c r="F36" s="495">
        <f>'תקציב הנדסה 2025 '!F36</f>
        <v>800000</v>
      </c>
      <c r="G36" s="4">
        <f>'תקציב הנדסה 2025 '!G36</f>
        <v>150000</v>
      </c>
      <c r="H36" s="4">
        <f>'תקציב הנדסה 2025 '!H36</f>
        <v>7728</v>
      </c>
      <c r="I36" s="4">
        <f>'תקציב הנדסה 2025 '!I36</f>
        <v>0</v>
      </c>
      <c r="J36" s="4">
        <f>'תקציב הנדסה 2025 '!J36</f>
        <v>100929</v>
      </c>
      <c r="K36" s="4">
        <f>'תקציב הנדסה 2025 '!K36</f>
        <v>100929</v>
      </c>
      <c r="L36" s="4">
        <f>'תקציב הנדסה 2025 '!L36</f>
        <v>108657</v>
      </c>
      <c r="M36" s="495">
        <f>'תקציב הנדסה 2025 '!M36</f>
        <v>1343</v>
      </c>
      <c r="N36" s="4">
        <f>'תקציב הנדסה 2025 '!N36</f>
        <v>0</v>
      </c>
      <c r="O36" s="4">
        <f>'תקציב הנדסה 2025 '!O36</f>
        <v>3890000</v>
      </c>
      <c r="P36" s="4">
        <f>'תקציב הנדסה 2025 '!P36</f>
        <v>41343</v>
      </c>
      <c r="Q36" s="310">
        <f>'תקציב הנדסה 2025 '!Q36</f>
        <v>0</v>
      </c>
      <c r="R36" s="4">
        <f>'תקציב הנדסה 2025 '!R36</f>
        <v>-40000</v>
      </c>
      <c r="S36" s="4">
        <f>'תקציב הנדסה 2025 '!S36</f>
        <v>-40000</v>
      </c>
      <c r="T36" s="495">
        <f>'תקציב הנדסה 2025 '!T36</f>
        <v>0</v>
      </c>
      <c r="U36" s="4">
        <f>'תקציב הנדסה 2025 '!U36</f>
        <v>0</v>
      </c>
      <c r="V36" s="4">
        <f>'תקציב הנדסה 2025 '!V36</f>
        <v>0</v>
      </c>
      <c r="W36" s="4">
        <f>'תקציב הנדסה 2025 '!W36</f>
        <v>0</v>
      </c>
      <c r="X36" s="4">
        <f>'תקציב הנדסה 2025 '!X36</f>
        <v>0</v>
      </c>
      <c r="Y36" s="4">
        <f>'תקציב הנדסה 2025 '!Y36</f>
        <v>0</v>
      </c>
      <c r="Z36" s="4">
        <f>'תקציב הנדסה 2025 '!Z36</f>
        <v>0</v>
      </c>
      <c r="AA36" s="3">
        <f>'תקציב הנדסה 2025 '!AA36</f>
        <v>0</v>
      </c>
      <c r="AB36" s="202" t="str">
        <f>'תקציב הנדסה 2025 '!AB36</f>
        <v xml:space="preserve">עבודות פיתוח הרחובות. </v>
      </c>
      <c r="AC36" s="3">
        <v>742000</v>
      </c>
      <c r="AD36" s="18"/>
      <c r="AE36" s="18"/>
      <c r="AF36" s="18"/>
      <c r="AG36" s="18"/>
      <c r="AH36" s="18"/>
      <c r="AI36" s="18"/>
      <c r="AJ36" s="484"/>
      <c r="AK36" s="484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6"/>
      <c r="BF36" s="6"/>
      <c r="BG36" s="6"/>
      <c r="BH36" s="6"/>
      <c r="BI36" s="6"/>
      <c r="BJ36" s="6"/>
      <c r="BK36" s="6"/>
      <c r="BL36" s="6"/>
    </row>
    <row r="37" spans="1:64" s="5" customFormat="1" ht="30" customHeight="1">
      <c r="A37" s="3">
        <f t="shared" si="0"/>
        <v>33</v>
      </c>
      <c r="B37" s="19">
        <f>'תקציב הנדסה 2025 '!B37</f>
        <v>20002</v>
      </c>
      <c r="C37" s="202" t="str">
        <f>'תקציב הנדסה 2025 '!C37</f>
        <v>שדרוג מובל ניקוז בנעמי שמר</v>
      </c>
      <c r="D37" s="4">
        <f>'תקציב הנדסה 2025 '!D37</f>
        <v>7460000</v>
      </c>
      <c r="E37" s="4">
        <f>'תקציב הנדסה 2025 '!E37</f>
        <v>7460000</v>
      </c>
      <c r="F37" s="495">
        <f>'תקציב הנדסה 2025 '!F37</f>
        <v>0</v>
      </c>
      <c r="G37" s="4">
        <f>'תקציב הנדסה 2025 '!G37</f>
        <v>4950000</v>
      </c>
      <c r="H37" s="4">
        <f>'תקציב הנדסה 2025 '!H37</f>
        <v>4946834</v>
      </c>
      <c r="I37" s="4">
        <f>'תקציב הנדסה 2025 '!I37</f>
        <v>0</v>
      </c>
      <c r="J37" s="4">
        <f>'תקציב הנדסה 2025 '!J37</f>
        <v>0</v>
      </c>
      <c r="K37" s="4">
        <f>'תקציב הנדסה 2025 '!K37</f>
        <v>0</v>
      </c>
      <c r="L37" s="4">
        <f>'תקציב הנדסה 2025 '!L37</f>
        <v>4946834</v>
      </c>
      <c r="M37" s="495">
        <f>'תקציב הנדסה 2025 '!M37</f>
        <v>2513166</v>
      </c>
      <c r="N37" s="497">
        <f>'תקציב הנדסה 2025 '!N37</f>
        <v>0</v>
      </c>
      <c r="O37" s="4">
        <f>'תקציב הנדסה 2025 '!O37</f>
        <v>0</v>
      </c>
      <c r="P37" s="4">
        <f>'תקציב הנדסה 2025 '!P37</f>
        <v>3166</v>
      </c>
      <c r="Q37" s="310">
        <f>'תקציב הנדסה 2025 '!Q37</f>
        <v>0</v>
      </c>
      <c r="R37" s="4">
        <f>'תקציב הנדסה 2025 '!R37</f>
        <v>2510000</v>
      </c>
      <c r="S37" s="4">
        <f>'תקציב הנדסה 2025 '!S37</f>
        <v>2510000</v>
      </c>
      <c r="T37" s="495">
        <f>'תקציב הנדסה 2025 '!T37</f>
        <v>0</v>
      </c>
      <c r="U37" s="4">
        <f>'תקציב הנדסה 2025 '!U37</f>
        <v>0</v>
      </c>
      <c r="V37" s="4">
        <f>'תקציב הנדסה 2025 '!V37</f>
        <v>0</v>
      </c>
      <c r="W37" s="4">
        <f>'תקציב הנדסה 2025 '!W37</f>
        <v>0</v>
      </c>
      <c r="X37" s="4">
        <f>'תקציב הנדסה 2025 '!X37</f>
        <v>0</v>
      </c>
      <c r="Y37" s="4">
        <f>'תקציב הנדסה 2025 '!Y37</f>
        <v>0</v>
      </c>
      <c r="Z37" s="4">
        <f>'תקציב הנדסה 2025 '!Z37</f>
        <v>0</v>
      </c>
      <c r="AA37" s="3">
        <f>'תקציב הנדסה 2025 '!AA37</f>
        <v>0</v>
      </c>
      <c r="AB37" s="202" t="str">
        <f>'תקציב הנדסה 2025 '!AB37</f>
        <v>תכנון וביצוע של עבודות שדרוג פנימי של המובל בנעמי שמר להגדלת כושר ההולכה.</v>
      </c>
      <c r="AC37" s="3">
        <v>742000</v>
      </c>
      <c r="AD37" s="18"/>
      <c r="AE37" s="18"/>
      <c r="AF37" s="18"/>
      <c r="AG37" s="18"/>
      <c r="AH37" s="18"/>
      <c r="AI37" s="18"/>
      <c r="AJ37" s="484"/>
      <c r="AK37" s="484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</row>
    <row r="38" spans="1:64" s="5" customFormat="1" ht="30" customHeight="1">
      <c r="A38" s="3">
        <f t="shared" si="0"/>
        <v>34</v>
      </c>
      <c r="B38" s="19">
        <f>'תקציב הנדסה 2025 '!B38</f>
        <v>20005</v>
      </c>
      <c r="C38" s="202" t="str">
        <f>'תקציב הנדסה 2025 '!C38</f>
        <v>שצפ שבט מנשה</v>
      </c>
      <c r="D38" s="4">
        <f>'תקציב הנדסה 2025 '!D38</f>
        <v>1685000</v>
      </c>
      <c r="E38" s="4">
        <f>'תקציב הנדסה 2025 '!E38</f>
        <v>1685000</v>
      </c>
      <c r="F38" s="495">
        <f>'תקציב הנדסה 2025 '!F38</f>
        <v>0</v>
      </c>
      <c r="G38" s="4">
        <f>'תקציב הנדסה 2025 '!G38</f>
        <v>0</v>
      </c>
      <c r="H38" s="4">
        <f>'תקציב הנדסה 2025 '!H38</f>
        <v>0</v>
      </c>
      <c r="I38" s="4">
        <f>'תקציב הנדסה 2025 '!I38</f>
        <v>0</v>
      </c>
      <c r="J38" s="4">
        <f>'תקציב הנדסה 2025 '!J38</f>
        <v>0</v>
      </c>
      <c r="K38" s="4">
        <f>'תקציב הנדסה 2025 '!K38</f>
        <v>0</v>
      </c>
      <c r="L38" s="4">
        <f>'תקציב הנדסה 2025 '!L38</f>
        <v>0</v>
      </c>
      <c r="M38" s="495">
        <f>'תקציב הנדסה 2025 '!M38</f>
        <v>0</v>
      </c>
      <c r="N38" s="4">
        <f>'תקציב הנדסה 2025 '!N38</f>
        <v>0</v>
      </c>
      <c r="O38" s="4">
        <f>'תקציב הנדסה 2025 '!O38</f>
        <v>1685000</v>
      </c>
      <c r="P38" s="4">
        <f>'תקציב הנדסה 2025 '!P38</f>
        <v>0</v>
      </c>
      <c r="Q38" s="310">
        <f>'תקציב הנדסה 2025 '!Q38</f>
        <v>0</v>
      </c>
      <c r="R38" s="4">
        <f>'תקציב הנדסה 2025 '!R38</f>
        <v>0</v>
      </c>
      <c r="S38" s="4">
        <f>'תקציב הנדסה 2025 '!S38</f>
        <v>0</v>
      </c>
      <c r="T38" s="495">
        <f>'תקציב הנדסה 2025 '!T38</f>
        <v>0</v>
      </c>
      <c r="U38" s="4">
        <f>'תקציב הנדסה 2025 '!U38</f>
        <v>0</v>
      </c>
      <c r="V38" s="4">
        <f>'תקציב הנדסה 2025 '!V38</f>
        <v>0</v>
      </c>
      <c r="W38" s="4">
        <f>'תקציב הנדסה 2025 '!W38</f>
        <v>0</v>
      </c>
      <c r="X38" s="4">
        <f>'תקציב הנדסה 2025 '!X38</f>
        <v>0</v>
      </c>
      <c r="Y38" s="4">
        <f>'תקציב הנדסה 2025 '!Y38</f>
        <v>0</v>
      </c>
      <c r="Z38" s="4">
        <f>'תקציב הנדסה 2025 '!Z38</f>
        <v>0</v>
      </c>
      <c r="AA38" s="3">
        <f>'תקציב הנדסה 2025 '!AA38</f>
        <v>0</v>
      </c>
      <c r="AB38" s="202" t="str">
        <f>'תקציב הנדסה 2025 '!AB38</f>
        <v>עבודות פיתוח, גינון , השקייה, חשמל ותאורה ברחוב שבט מנשה.</v>
      </c>
      <c r="AC38" s="3">
        <v>746000</v>
      </c>
      <c r="AD38" s="18"/>
      <c r="AE38" s="18"/>
      <c r="AF38" s="18"/>
      <c r="AG38" s="18"/>
      <c r="AH38" s="18"/>
      <c r="AI38" s="18"/>
      <c r="AJ38" s="484"/>
      <c r="AK38" s="484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</row>
    <row r="39" spans="1:64" s="5" customFormat="1" ht="30" customHeight="1">
      <c r="A39" s="3">
        <f t="shared" si="0"/>
        <v>35</v>
      </c>
      <c r="B39" s="19">
        <f>'תקציב הנדסה 2025 '!B39</f>
        <v>20006</v>
      </c>
      <c r="C39" s="202" t="str">
        <f>'תקציב הנדסה 2025 '!C39</f>
        <v>גינת צוקרמן</v>
      </c>
      <c r="D39" s="4">
        <f>'תקציב הנדסה 2025 '!D39</f>
        <v>4000000</v>
      </c>
      <c r="E39" s="4">
        <f>'תקציב הנדסה 2025 '!E39</f>
        <v>4000000</v>
      </c>
      <c r="F39" s="495">
        <f>'תקציב הנדסה 2025 '!F39</f>
        <v>0</v>
      </c>
      <c r="G39" s="4">
        <f>'תקציב הנדסה 2025 '!G39</f>
        <v>0</v>
      </c>
      <c r="H39" s="4">
        <f>'תקציב הנדסה 2025 '!H39</f>
        <v>0</v>
      </c>
      <c r="I39" s="4">
        <f>'תקציב הנדסה 2025 '!I39</f>
        <v>0</v>
      </c>
      <c r="J39" s="4">
        <f>'תקציב הנדסה 2025 '!J39</f>
        <v>0</v>
      </c>
      <c r="K39" s="4">
        <f>'תקציב הנדסה 2025 '!K39</f>
        <v>0</v>
      </c>
      <c r="L39" s="4">
        <f>'תקציב הנדסה 2025 '!L39</f>
        <v>0</v>
      </c>
      <c r="M39" s="495">
        <f>'תקציב הנדסה 2025 '!M39</f>
        <v>0</v>
      </c>
      <c r="N39" s="4">
        <f>'תקציב הנדסה 2025 '!N39</f>
        <v>0</v>
      </c>
      <c r="O39" s="4">
        <f>'תקציב הנדסה 2025 '!O39</f>
        <v>4000000</v>
      </c>
      <c r="P39" s="4">
        <f>'תקציב הנדסה 2025 '!P39</f>
        <v>0</v>
      </c>
      <c r="Q39" s="310">
        <f>'תקציב הנדסה 2025 '!Q39</f>
        <v>0</v>
      </c>
      <c r="R39" s="4">
        <f>'תקציב הנדסה 2025 '!R39</f>
        <v>0</v>
      </c>
      <c r="S39" s="4">
        <f>'תקציב הנדסה 2025 '!S39</f>
        <v>0</v>
      </c>
      <c r="T39" s="495">
        <f>'תקציב הנדסה 2025 '!T39</f>
        <v>0</v>
      </c>
      <c r="U39" s="4">
        <f>'תקציב הנדסה 2025 '!U39</f>
        <v>0</v>
      </c>
      <c r="V39" s="4">
        <f>'תקציב הנדסה 2025 '!V39</f>
        <v>0</v>
      </c>
      <c r="W39" s="4">
        <f>'תקציב הנדסה 2025 '!W39</f>
        <v>0</v>
      </c>
      <c r="X39" s="4">
        <f>'תקציב הנדסה 2025 '!X39</f>
        <v>0</v>
      </c>
      <c r="Y39" s="4">
        <f>'תקציב הנדסה 2025 '!Y39</f>
        <v>0</v>
      </c>
      <c r="Z39" s="4">
        <f>'תקציב הנדסה 2025 '!Z39</f>
        <v>0</v>
      </c>
      <c r="AA39" s="3">
        <f>'תקציב הנדסה 2025 '!AA39</f>
        <v>0</v>
      </c>
      <c r="AB39" s="202" t="str">
        <f>'תקציב הנדסה 2025 '!AB39</f>
        <v>עבודות פיתוח, גינון , השקייה, חשמל ותאורה .</v>
      </c>
      <c r="AC39" s="3">
        <v>746000</v>
      </c>
      <c r="AD39" s="18"/>
      <c r="AE39" s="18"/>
      <c r="AF39" s="18"/>
      <c r="AG39" s="18"/>
      <c r="AH39" s="18"/>
      <c r="AI39" s="18"/>
      <c r="AJ39" s="484"/>
      <c r="AK39" s="484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</row>
    <row r="40" spans="1:64" s="5" customFormat="1" ht="60">
      <c r="A40" s="3">
        <f t="shared" si="0"/>
        <v>36</v>
      </c>
      <c r="B40" s="19">
        <f>'תקציב הנדסה 2025 '!B40</f>
        <v>20058</v>
      </c>
      <c r="C40" s="202" t="str">
        <f>'תקציב הנדסה 2025 '!C40</f>
        <v>ליווי תהליכי שימור בעיר</v>
      </c>
      <c r="D40" s="4">
        <f>'תקציב הנדסה 2025 '!D40</f>
        <v>800000</v>
      </c>
      <c r="E40" s="4">
        <f>'תקציב הנדסה 2025 '!E40</f>
        <v>800000</v>
      </c>
      <c r="F40" s="495">
        <f>'תקציב הנדסה 2025 '!F40</f>
        <v>0</v>
      </c>
      <c r="G40" s="4">
        <f>'תקציב הנדסה 2025 '!G40</f>
        <v>165500</v>
      </c>
      <c r="H40" s="4">
        <f>'תקציב הנדסה 2025 '!H40</f>
        <v>40313</v>
      </c>
      <c r="I40" s="4">
        <f>'תקציב הנדסה 2025 '!I40</f>
        <v>0</v>
      </c>
      <c r="J40" s="4">
        <f>'תקציב הנדסה 2025 '!J40</f>
        <v>61069</v>
      </c>
      <c r="K40" s="4">
        <f>'תקציב הנדסה 2025 '!K40</f>
        <v>61069</v>
      </c>
      <c r="L40" s="4">
        <f>'תקציב הנדסה 2025 '!L40</f>
        <v>101382</v>
      </c>
      <c r="M40" s="495">
        <f>'תקציב הנדסה 2025 '!M40</f>
        <v>64118</v>
      </c>
      <c r="N40" s="4">
        <f>'תקציב הנדסה 2025 '!N40</f>
        <v>150000</v>
      </c>
      <c r="O40" s="4">
        <f>'תקציב הנדסה 2025 '!O40</f>
        <v>484500</v>
      </c>
      <c r="P40" s="4">
        <f>'תקציב הנדסה 2025 '!P40</f>
        <v>64118</v>
      </c>
      <c r="Q40" s="4">
        <f>'תקציב הנדסה 2025 '!Q40</f>
        <v>0</v>
      </c>
      <c r="R40" s="4">
        <f>'תקציב הנדסה 2025 '!R40</f>
        <v>0</v>
      </c>
      <c r="S40" s="4">
        <f>'תקציב הנדסה 2025 '!S40</f>
        <v>0</v>
      </c>
      <c r="T40" s="495">
        <f>'תקציב הנדסה 2025 '!T40</f>
        <v>0</v>
      </c>
      <c r="U40" s="4">
        <f>'תקציב הנדסה 2025 '!U40</f>
        <v>150000</v>
      </c>
      <c r="V40" s="4">
        <f>'תקציב הנדסה 2025 '!V40</f>
        <v>150000</v>
      </c>
      <c r="W40" s="4">
        <f>'תקציב הנדסה 2025 '!W40</f>
        <v>0</v>
      </c>
      <c r="X40" s="4">
        <f>'תקציב הנדסה 2025 '!X40</f>
        <v>0</v>
      </c>
      <c r="Y40" s="4">
        <f>'תקציב הנדסה 2025 '!Y40</f>
        <v>0</v>
      </c>
      <c r="Z40" s="4">
        <f>'תקציב הנדסה 2025 '!Z40</f>
        <v>0</v>
      </c>
      <c r="AA40" s="3">
        <f>'תקציב הנדסה 2025 '!AA40</f>
        <v>0</v>
      </c>
      <c r="AB40" s="202" t="str">
        <f>'תקציב הנדסה 2025 '!AB40</f>
        <v>לאור אישור תוכנית שימור ל - 70 אתרים , תקציב מסגרת ליועצים ,מתכננים וסקריי שימור ושילוט פרויקטים לשימור.</v>
      </c>
      <c r="AC40" s="3">
        <v>732000</v>
      </c>
      <c r="AD40" s="18"/>
      <c r="AE40" s="18"/>
      <c r="AF40" s="18"/>
      <c r="AG40" s="18"/>
      <c r="AH40" s="18"/>
      <c r="AI40" s="18"/>
      <c r="AJ40" s="484"/>
      <c r="AK40" s="484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</row>
    <row r="41" spans="1:64" s="5" customFormat="1" ht="30" customHeight="1">
      <c r="A41" s="3">
        <f t="shared" si="0"/>
        <v>37</v>
      </c>
      <c r="B41" s="19">
        <f>'תקציב הנדסה 2025 '!B41</f>
        <v>20060</v>
      </c>
      <c r="C41" s="202" t="str">
        <f>'תקציב הנדסה 2025 '!C41</f>
        <v>תיקון תכנית הר 2029 - נווה עמל</v>
      </c>
      <c r="D41" s="4">
        <f>'תקציב הנדסה 2025 '!D41</f>
        <v>1400000</v>
      </c>
      <c r="E41" s="4">
        <f>'תקציב הנדסה 2025 '!E41</f>
        <v>640000</v>
      </c>
      <c r="F41" s="495">
        <f>'תקציב הנדסה 2025 '!F41</f>
        <v>760000</v>
      </c>
      <c r="G41" s="4">
        <f>'תקציב הנדסה 2025 '!G41</f>
        <v>100000</v>
      </c>
      <c r="H41" s="4">
        <f>'תקציב הנדסה 2025 '!H41</f>
        <v>0</v>
      </c>
      <c r="I41" s="4">
        <f>'תקציב הנדסה 2025 '!I41</f>
        <v>0</v>
      </c>
      <c r="J41" s="4">
        <f>'תקציב הנדסה 2025 '!J41</f>
        <v>0</v>
      </c>
      <c r="K41" s="4">
        <f>'תקציב הנדסה 2025 '!K41</f>
        <v>0</v>
      </c>
      <c r="L41" s="4">
        <f>'תקציב הנדסה 2025 '!L41</f>
        <v>0</v>
      </c>
      <c r="M41" s="495">
        <f>'תקציב הנדסה 2025 '!M41</f>
        <v>100000</v>
      </c>
      <c r="N41" s="4">
        <f>'תקציב הנדסה 2025 '!N41</f>
        <v>750000</v>
      </c>
      <c r="O41" s="4">
        <f>'תקציב הנדסה 2025 '!O41</f>
        <v>550000</v>
      </c>
      <c r="P41" s="4">
        <f>'תקציב הנדסה 2025 '!P41</f>
        <v>100000</v>
      </c>
      <c r="Q41" s="310">
        <f>'תקציב הנדסה 2025 '!Q41</f>
        <v>0</v>
      </c>
      <c r="R41" s="4">
        <f>'תקציב הנדסה 2025 '!R41</f>
        <v>0</v>
      </c>
      <c r="S41" s="4">
        <f>'תקציב הנדסה 2025 '!S41</f>
        <v>0</v>
      </c>
      <c r="T41" s="495">
        <f>'תקציב הנדסה 2025 '!T41</f>
        <v>0</v>
      </c>
      <c r="U41" s="4">
        <f>'תקציב הנדסה 2025 '!U41</f>
        <v>750000</v>
      </c>
      <c r="V41" s="4">
        <f>'תקציב הנדסה 2025 '!V41</f>
        <v>750000</v>
      </c>
      <c r="W41" s="4">
        <f>'תקציב הנדסה 2025 '!W41</f>
        <v>0</v>
      </c>
      <c r="X41" s="4">
        <f>'תקציב הנדסה 2025 '!X41</f>
        <v>0</v>
      </c>
      <c r="Y41" s="4">
        <f>'תקציב הנדסה 2025 '!Y41</f>
        <v>0</v>
      </c>
      <c r="Z41" s="4">
        <f>'תקציב הנדסה 2025 '!Z41</f>
        <v>0</v>
      </c>
      <c r="AA41" s="4">
        <f>'תקציב הנדסה 2025 '!AA41</f>
        <v>0</v>
      </c>
      <c r="AB41" s="202" t="str">
        <f>'תקציב הנדסה 2025 '!AB41</f>
        <v>תיקון מסמכי התוכנית לרבות בחינת טיפוסי הבינוי המאושרים.</v>
      </c>
      <c r="AC41" s="3">
        <v>732000</v>
      </c>
      <c r="AD41" s="18"/>
      <c r="AE41" s="18"/>
      <c r="AF41" s="18"/>
      <c r="AG41" s="18"/>
      <c r="AH41" s="18"/>
      <c r="AI41" s="18"/>
      <c r="AJ41" s="484"/>
      <c r="AK41" s="484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</row>
    <row r="42" spans="1:64" s="5" customFormat="1" ht="30" customHeight="1">
      <c r="A42" s="3">
        <f t="shared" si="0"/>
        <v>38</v>
      </c>
      <c r="B42" s="19">
        <f>'תקציב הנדסה 2025 '!B42</f>
        <v>20061</v>
      </c>
      <c r="C42" s="202" t="str">
        <f>'תקציב הנדסה 2025 '!C42</f>
        <v>סקר מבנים מסוכנים</v>
      </c>
      <c r="D42" s="4">
        <f>'תקציב הנדסה 2025 '!D42</f>
        <v>700000</v>
      </c>
      <c r="E42" s="4">
        <f>'תקציב הנדסה 2025 '!E42</f>
        <v>700000</v>
      </c>
      <c r="F42" s="495">
        <f>'תקציב הנדסה 2025 '!F42</f>
        <v>0</v>
      </c>
      <c r="G42" s="4">
        <f>'תקציב הנדסה 2025 '!G42</f>
        <v>0</v>
      </c>
      <c r="H42" s="4">
        <f>'תקציב הנדסה 2025 '!H42</f>
        <v>0</v>
      </c>
      <c r="I42" s="4">
        <f>'תקציב הנדסה 2025 '!I42</f>
        <v>0</v>
      </c>
      <c r="J42" s="4">
        <f>'תקציב הנדסה 2025 '!J42</f>
        <v>0</v>
      </c>
      <c r="K42" s="4">
        <f>'תקציב הנדסה 2025 '!K42</f>
        <v>0</v>
      </c>
      <c r="L42" s="4">
        <f>'תקציב הנדסה 2025 '!L42</f>
        <v>0</v>
      </c>
      <c r="M42" s="495">
        <f>'תקציב הנדסה 2025 '!M42</f>
        <v>0</v>
      </c>
      <c r="N42" s="4">
        <f>'תקציב הנדסה 2025 '!N42</f>
        <v>50000</v>
      </c>
      <c r="O42" s="4">
        <f>'תקציב הנדסה 2025 '!O42</f>
        <v>650000</v>
      </c>
      <c r="P42" s="4">
        <f>'תקציב הנדסה 2025 '!P42</f>
        <v>0</v>
      </c>
      <c r="Q42" s="310">
        <f>'תקציב הנדסה 2025 '!Q42</f>
        <v>0</v>
      </c>
      <c r="R42" s="4">
        <f>'תקציב הנדסה 2025 '!R42</f>
        <v>0</v>
      </c>
      <c r="S42" s="4">
        <f>'תקציב הנדסה 2025 '!S42</f>
        <v>0</v>
      </c>
      <c r="T42" s="495">
        <f>'תקציב הנדסה 2025 '!T42</f>
        <v>0</v>
      </c>
      <c r="U42" s="4">
        <f>'תקציב הנדסה 2025 '!U42</f>
        <v>50000</v>
      </c>
      <c r="V42" s="4">
        <f>'תקציב הנדסה 2025 '!V42</f>
        <v>50000</v>
      </c>
      <c r="W42" s="4">
        <f>'תקציב הנדסה 2025 '!W42</f>
        <v>0</v>
      </c>
      <c r="X42" s="4">
        <f>'תקציב הנדסה 2025 '!X42</f>
        <v>0</v>
      </c>
      <c r="Y42" s="4">
        <f>'תקציב הנדסה 2025 '!Y42</f>
        <v>0</v>
      </c>
      <c r="Z42" s="4">
        <f>'תקציב הנדסה 2025 '!Z42</f>
        <v>0</v>
      </c>
      <c r="AA42" s="4">
        <f>'תקציב הנדסה 2025 '!AA42</f>
        <v>0</v>
      </c>
      <c r="AB42" s="496" t="str">
        <f>'תקציב הנדסה 2025 '!AB42</f>
        <v>עריכת סקר מבנים מסוכנים הנדרש בהתאם לחוק עזר למבנים מסוכנים.</v>
      </c>
      <c r="AC42" s="3">
        <v>732000</v>
      </c>
      <c r="AD42" s="18"/>
      <c r="AE42" s="18"/>
      <c r="AF42" s="18"/>
      <c r="AG42" s="18"/>
      <c r="AH42" s="18"/>
      <c r="AI42" s="18"/>
      <c r="AJ42" s="484"/>
      <c r="AK42" s="484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</row>
    <row r="43" spans="1:64" s="5" customFormat="1" ht="30" customHeight="1">
      <c r="A43" s="3">
        <f t="shared" si="0"/>
        <v>39</v>
      </c>
      <c r="B43" s="19">
        <f>'תקציב הנדסה 2025 '!B43</f>
        <v>20062</v>
      </c>
      <c r="C43" s="202" t="str">
        <f>'תקציב הנדסה 2025 '!C43</f>
        <v>יעודי קרקע -מפת בסיס</v>
      </c>
      <c r="D43" s="4">
        <f>'תקציב הנדסה 2025 '!D43</f>
        <v>300000</v>
      </c>
      <c r="E43" s="4">
        <f>'תקציב הנדסה 2025 '!E43</f>
        <v>300000</v>
      </c>
      <c r="F43" s="495">
        <f>'תקציב הנדסה 2025 '!F43</f>
        <v>0</v>
      </c>
      <c r="G43" s="4">
        <f>'תקציב הנדסה 2025 '!G43</f>
        <v>66000</v>
      </c>
      <c r="H43" s="4">
        <f>'תקציב הנדסה 2025 '!H43</f>
        <v>20227</v>
      </c>
      <c r="I43" s="4">
        <f>'תקציב הנדסה 2025 '!I43</f>
        <v>0</v>
      </c>
      <c r="J43" s="4">
        <f>'תקציב הנדסה 2025 '!J43</f>
        <v>45270</v>
      </c>
      <c r="K43" s="4">
        <f>'תקציב הנדסה 2025 '!K43</f>
        <v>45270</v>
      </c>
      <c r="L43" s="4">
        <f>'תקציב הנדסה 2025 '!L43</f>
        <v>65497</v>
      </c>
      <c r="M43" s="495">
        <f>'תקציב הנדסה 2025 '!M43</f>
        <v>503</v>
      </c>
      <c r="N43" s="4">
        <f>'תקציב הנדסה 2025 '!N43</f>
        <v>120000</v>
      </c>
      <c r="O43" s="4">
        <f>'תקציב הנדסה 2025 '!O43</f>
        <v>114000</v>
      </c>
      <c r="P43" s="4">
        <f>'תקציב הנדסה 2025 '!P43</f>
        <v>503</v>
      </c>
      <c r="Q43" s="310">
        <f>'תקציב הנדסה 2025 '!Q43</f>
        <v>0</v>
      </c>
      <c r="R43" s="4">
        <f>'תקציב הנדסה 2025 '!R43</f>
        <v>0</v>
      </c>
      <c r="S43" s="4">
        <f>'תקציב הנדסה 2025 '!S43</f>
        <v>0</v>
      </c>
      <c r="T43" s="495">
        <f>'תקציב הנדסה 2025 '!T43</f>
        <v>0</v>
      </c>
      <c r="U43" s="4">
        <f>'תקציב הנדסה 2025 '!U43</f>
        <v>120000</v>
      </c>
      <c r="V43" s="4">
        <f>'תקציב הנדסה 2025 '!V43</f>
        <v>120000</v>
      </c>
      <c r="W43" s="4">
        <f>'תקציב הנדסה 2025 '!W43</f>
        <v>0</v>
      </c>
      <c r="X43" s="4">
        <f>'תקציב הנדסה 2025 '!X43</f>
        <v>0</v>
      </c>
      <c r="Y43" s="4">
        <f>'תקציב הנדסה 2025 '!Y43</f>
        <v>0</v>
      </c>
      <c r="Z43" s="4">
        <f>'תקציב הנדסה 2025 '!Z43</f>
        <v>0</v>
      </c>
      <c r="AA43" s="4">
        <f>'תקציב הנדסה 2025 '!AA43</f>
        <v>0</v>
      </c>
      <c r="AB43" s="202" t="str">
        <f>'תקציב הנדסה 2025 '!AB43</f>
        <v>עדכון מע. מידע הנדסי כתוצאה משינוי ייעודי קרקע עקב החלטות ועדות התכנון.</v>
      </c>
      <c r="AC43" s="3">
        <v>732000</v>
      </c>
      <c r="AD43" s="18"/>
      <c r="AE43" s="18"/>
      <c r="AF43" s="18"/>
      <c r="AG43" s="18"/>
      <c r="AH43" s="18"/>
      <c r="AI43" s="18"/>
      <c r="AJ43" s="484"/>
      <c r="AK43" s="484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</row>
    <row r="44" spans="1:64" s="5" customFormat="1" ht="30" customHeight="1">
      <c r="A44" s="3">
        <f t="shared" si="0"/>
        <v>40</v>
      </c>
      <c r="B44" s="19">
        <f>'תקציב הנדסה 2025 '!B44</f>
        <v>20102</v>
      </c>
      <c r="C44" s="202" t="str">
        <f>'תקציב הנדסה 2025 '!C44</f>
        <v>הכנת תוכנית עירונית להצללה</v>
      </c>
      <c r="D44" s="4">
        <f>'תקציב הנדסה 2025 '!D44</f>
        <v>1000000</v>
      </c>
      <c r="E44" s="4">
        <f>'תקציב הנדסה 2025 '!E44</f>
        <v>1000000</v>
      </c>
      <c r="F44" s="495">
        <f>'תקציב הנדסה 2025 '!F44</f>
        <v>0</v>
      </c>
      <c r="G44" s="4">
        <f>'תקציב הנדסה 2025 '!G44</f>
        <v>750000</v>
      </c>
      <c r="H44" s="4">
        <f>'תקציב הנדסה 2025 '!H44</f>
        <v>245100</v>
      </c>
      <c r="I44" s="4">
        <f>'תקציב הנדסה 2025 '!I44</f>
        <v>0</v>
      </c>
      <c r="J44" s="4">
        <f>'תקציב הנדסה 2025 '!J44</f>
        <v>245100</v>
      </c>
      <c r="K44" s="4">
        <f>'תקציב הנדסה 2025 '!K44</f>
        <v>245100</v>
      </c>
      <c r="L44" s="4">
        <f>'תקציב הנדסה 2025 '!L44</f>
        <v>490200</v>
      </c>
      <c r="M44" s="495">
        <f>'תקציב הנדסה 2025 '!M44</f>
        <v>509800</v>
      </c>
      <c r="N44" s="497">
        <f>'תקציב הנדסה 2025 '!N44</f>
        <v>0</v>
      </c>
      <c r="O44" s="4">
        <f>'תקציב הנדסה 2025 '!O44</f>
        <v>0</v>
      </c>
      <c r="P44" s="4">
        <f>'תקציב הנדסה 2025 '!P44</f>
        <v>259800</v>
      </c>
      <c r="Q44" s="4">
        <f>'תקציב הנדסה 2025 '!Q44</f>
        <v>250000</v>
      </c>
      <c r="R44" s="4">
        <f>'תקציב הנדסה 2025 '!R44</f>
        <v>0</v>
      </c>
      <c r="S44" s="4">
        <f>'תקציב הנדסה 2025 '!S44</f>
        <v>250000</v>
      </c>
      <c r="T44" s="495">
        <f>'תקציב הנדסה 2025 '!T44</f>
        <v>0</v>
      </c>
      <c r="U44" s="4">
        <f>'תקציב הנדסה 2025 '!U44</f>
        <v>0</v>
      </c>
      <c r="V44" s="4">
        <f>'תקציב הנדסה 2025 '!V44</f>
        <v>0</v>
      </c>
      <c r="W44" s="4">
        <f>'תקציב הנדסה 2025 '!W44</f>
        <v>0</v>
      </c>
      <c r="X44" s="4">
        <f>'תקציב הנדסה 2025 '!X44</f>
        <v>0</v>
      </c>
      <c r="Y44" s="4">
        <f>'תקציב הנדסה 2025 '!Y44</f>
        <v>0</v>
      </c>
      <c r="Z44" s="4">
        <f>'תקציב הנדסה 2025 '!Z44</f>
        <v>0</v>
      </c>
      <c r="AA44" s="4">
        <f>'תקציב הנדסה 2025 '!AA44</f>
        <v>0</v>
      </c>
      <c r="AB44" s="202" t="str">
        <f>'תקציב הנדסה 2025 '!AB44</f>
        <v>הכנת תוכנית עירונית להצללה וקרור באמצעות עצים. מימון מ. הגנת הסביבה.</v>
      </c>
      <c r="AC44" s="3">
        <v>870000</v>
      </c>
      <c r="AD44" s="18"/>
      <c r="AE44" s="18"/>
      <c r="AF44" s="18"/>
      <c r="AG44" s="18"/>
      <c r="AH44" s="18"/>
      <c r="AI44" s="18"/>
      <c r="AJ44" s="484"/>
      <c r="AK44" s="484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6"/>
      <c r="BF44" s="6"/>
      <c r="BG44" s="6"/>
      <c r="BH44" s="6"/>
      <c r="BI44" s="6"/>
      <c r="BJ44" s="6"/>
      <c r="BK44" s="6"/>
      <c r="BL44" s="6"/>
    </row>
    <row r="45" spans="1:64" s="5" customFormat="1" ht="30" customHeight="1">
      <c r="A45" s="3">
        <f t="shared" si="0"/>
        <v>41</v>
      </c>
      <c r="B45" s="19">
        <f>'תקציב הנדסה 2025 '!B45</f>
        <v>20105</v>
      </c>
      <c r="C45" s="222" t="str">
        <f>'תקציב הנדסה 2025 '!C45</f>
        <v>כיכר אלי לנדאו ניל"י</v>
      </c>
      <c r="D45" s="112">
        <f>'תקציב הנדסה 2025 '!D45</f>
        <v>3500000</v>
      </c>
      <c r="E45" s="112">
        <f>'תקציב הנדסה 2025 '!E45</f>
        <v>3500000</v>
      </c>
      <c r="F45" s="257">
        <f>'תקציב הנדסה 2025 '!F45</f>
        <v>0</v>
      </c>
      <c r="G45" s="112">
        <f>'תקציב הנדסה 2025 '!G45</f>
        <v>0</v>
      </c>
      <c r="H45" s="112">
        <f>'תקציב הנדסה 2025 '!H45</f>
        <v>0</v>
      </c>
      <c r="I45" s="112">
        <f>'תקציב הנדסה 2025 '!I45</f>
        <v>0</v>
      </c>
      <c r="J45" s="112">
        <f>'תקציב הנדסה 2025 '!J45</f>
        <v>0</v>
      </c>
      <c r="K45" s="112">
        <f>'תקציב הנדסה 2025 '!K45</f>
        <v>0</v>
      </c>
      <c r="L45" s="112">
        <f>'תקציב הנדסה 2025 '!L45</f>
        <v>0</v>
      </c>
      <c r="M45" s="495">
        <f>'תקציב הנדסה 2025 '!M45</f>
        <v>0</v>
      </c>
      <c r="N45" s="4">
        <f>'תקציב הנדסה 2025 '!N45</f>
        <v>0</v>
      </c>
      <c r="O45" s="4">
        <f>'תקציב הנדסה 2025 '!O45</f>
        <v>3500000</v>
      </c>
      <c r="P45" s="112">
        <f>'תקציב הנדסה 2025 '!P45</f>
        <v>0</v>
      </c>
      <c r="Q45" s="112">
        <f>'תקציב הנדסה 2025 '!Q45</f>
        <v>0</v>
      </c>
      <c r="R45" s="112">
        <f>'תקציב הנדסה 2025 '!R45</f>
        <v>0</v>
      </c>
      <c r="S45" s="112">
        <f>'תקציב הנדסה 2025 '!S45</f>
        <v>0</v>
      </c>
      <c r="T45" s="257">
        <f>'תקציב הנדסה 2025 '!T45</f>
        <v>0</v>
      </c>
      <c r="U45" s="112">
        <f>'תקציב הנדסה 2025 '!U45</f>
        <v>0</v>
      </c>
      <c r="V45" s="4">
        <f>'תקציב הנדסה 2025 '!V45</f>
        <v>0</v>
      </c>
      <c r="W45" s="112">
        <f>'תקציב הנדסה 2025 '!W45</f>
        <v>0</v>
      </c>
      <c r="X45" s="112">
        <f>'תקציב הנדסה 2025 '!X45</f>
        <v>0</v>
      </c>
      <c r="Y45" s="112">
        <f>'תקציב הנדסה 2025 '!Y45</f>
        <v>0</v>
      </c>
      <c r="Z45" s="112">
        <f>'תקציב הנדסה 2025 '!Z45</f>
        <v>0</v>
      </c>
      <c r="AA45" s="112">
        <f>'תקציב הנדסה 2025 '!AA45</f>
        <v>0</v>
      </c>
      <c r="AB45" s="202" t="str">
        <f>'תקציב הנדסה 2025 '!AB45</f>
        <v>תכנון וביצוע מעגל תנועה ברחובות אלי לנדאו ניל"י.</v>
      </c>
      <c r="AC45" s="3">
        <v>742000</v>
      </c>
      <c r="AD45" s="18"/>
      <c r="AE45" s="18"/>
      <c r="AF45" s="18"/>
      <c r="AG45" s="18"/>
      <c r="AH45" s="18"/>
      <c r="AI45" s="18"/>
      <c r="AJ45" s="484"/>
      <c r="AK45" s="484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</row>
    <row r="46" spans="1:64" s="5" customFormat="1" ht="45">
      <c r="A46" s="3">
        <f t="shared" si="0"/>
        <v>42</v>
      </c>
      <c r="B46" s="19">
        <f>'תקציב הנדסה 2025 '!B46</f>
        <v>20107</v>
      </c>
      <c r="C46" s="222" t="str">
        <f>'תקציב הנדסה 2025 '!C46</f>
        <v>רחוב פנקס</v>
      </c>
      <c r="D46" s="112">
        <f>'תקציב הנדסה 2025 '!D46</f>
        <v>10550000</v>
      </c>
      <c r="E46" s="112">
        <f>'תקציב הנדסה 2025 '!E46</f>
        <v>4400000</v>
      </c>
      <c r="F46" s="257">
        <f>'תקציב הנדסה 2025 '!F46</f>
        <v>6150000</v>
      </c>
      <c r="G46" s="112">
        <f>'תקציב הנדסה 2025 '!G46</f>
        <v>150000</v>
      </c>
      <c r="H46" s="112">
        <f>'תקציב הנדסה 2025 '!H46</f>
        <v>0</v>
      </c>
      <c r="I46" s="112">
        <f>'תקציב הנדסה 2025 '!I46</f>
        <v>0</v>
      </c>
      <c r="J46" s="112">
        <f>'תקציב הנדסה 2025 '!J46</f>
        <v>16263</v>
      </c>
      <c r="K46" s="112">
        <f>'תקציב הנדסה 2025 '!K46</f>
        <v>16263</v>
      </c>
      <c r="L46" s="112">
        <f>'תקציב הנדסה 2025 '!L46</f>
        <v>16263</v>
      </c>
      <c r="M46" s="495">
        <f>'תקציב הנדסה 2025 '!M46</f>
        <v>133737</v>
      </c>
      <c r="N46" s="495">
        <f>'תקציב הנדסה 2025 '!N46</f>
        <v>700000</v>
      </c>
      <c r="O46" s="4">
        <f>'תקציב הנדסה 2025 '!O46</f>
        <v>9700000</v>
      </c>
      <c r="P46" s="112">
        <f>'תקציב הנדסה 2025 '!P46</f>
        <v>133737</v>
      </c>
      <c r="Q46" s="112">
        <f>'תקציב הנדסה 2025 '!Q46</f>
        <v>0</v>
      </c>
      <c r="R46" s="112">
        <f>'תקציב הנדסה 2025 '!R46</f>
        <v>0</v>
      </c>
      <c r="S46" s="112">
        <f>'תקציב הנדסה 2025 '!S46</f>
        <v>0</v>
      </c>
      <c r="T46" s="257">
        <f>'תקציב הנדסה 2025 '!T46</f>
        <v>0</v>
      </c>
      <c r="U46" s="112">
        <f>'תקציב הנדסה 2025 '!U46</f>
        <v>700000</v>
      </c>
      <c r="V46" s="4">
        <f>'תקציב הנדסה 2025 '!V46</f>
        <v>700000</v>
      </c>
      <c r="W46" s="112">
        <f>'תקציב הנדסה 2025 '!W46</f>
        <v>0</v>
      </c>
      <c r="X46" s="112">
        <f>'תקציב הנדסה 2025 '!X46</f>
        <v>0</v>
      </c>
      <c r="Y46" s="112">
        <f>'תקציב הנדסה 2025 '!Y46</f>
        <v>0</v>
      </c>
      <c r="Z46" s="112">
        <f>'תקציב הנדסה 2025 '!Z46</f>
        <v>0</v>
      </c>
      <c r="AA46" s="112">
        <f>'תקציב הנדסה 2025 '!AA46</f>
        <v>0</v>
      </c>
      <c r="AB46" s="202" t="str">
        <f>'תקציב הנדסה 2025 '!AB46</f>
        <v>החלפת צינור ניקוז שנמצא בחלקות פרטיות, כולל שיקום כביש ומדרכות. 2025 : תכנון וביצוע.</v>
      </c>
      <c r="AC46" s="3">
        <v>742000</v>
      </c>
      <c r="AD46" s="18"/>
      <c r="AE46" s="18"/>
      <c r="AF46" s="18"/>
      <c r="AG46" s="18"/>
      <c r="AH46" s="18"/>
      <c r="AI46" s="18"/>
      <c r="AJ46" s="484"/>
      <c r="AK46" s="484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6"/>
      <c r="BF46" s="6"/>
      <c r="BG46" s="6"/>
      <c r="BH46" s="6"/>
      <c r="BI46" s="6"/>
      <c r="BJ46" s="6"/>
      <c r="BK46" s="6"/>
      <c r="BL46" s="6"/>
    </row>
    <row r="47" spans="1:64" s="5" customFormat="1" ht="45">
      <c r="A47" s="3">
        <f t="shared" si="0"/>
        <v>43</v>
      </c>
      <c r="B47" s="19">
        <f>'תקציב הנדסה 2025 '!B47</f>
        <v>20142</v>
      </c>
      <c r="C47" s="222" t="str">
        <f>'תקציב הנדסה 2025 '!C47</f>
        <v>פינוי בינוי ויצמן - הסכם פיתוח מתחם 5</v>
      </c>
      <c r="D47" s="112">
        <f>'תקציב הנדסה 2025 '!D47</f>
        <v>18000000</v>
      </c>
      <c r="E47" s="112">
        <f>'תקציב הנדסה 2025 '!E47</f>
        <v>18000000</v>
      </c>
      <c r="F47" s="257">
        <f>'תקציב הנדסה 2025 '!F47</f>
        <v>0</v>
      </c>
      <c r="G47" s="112">
        <f>'תקציב הנדסה 2025 '!G47</f>
        <v>0</v>
      </c>
      <c r="H47" s="112">
        <f>'תקציב הנדסה 2025 '!H47</f>
        <v>0</v>
      </c>
      <c r="I47" s="112">
        <f>'תקציב הנדסה 2025 '!I47</f>
        <v>0</v>
      </c>
      <c r="J47" s="112">
        <f>'תקציב הנדסה 2025 '!J47</f>
        <v>0</v>
      </c>
      <c r="K47" s="112">
        <f>'תקציב הנדסה 2025 '!K47</f>
        <v>0</v>
      </c>
      <c r="L47" s="112">
        <f>'תקציב הנדסה 2025 '!L47</f>
        <v>0</v>
      </c>
      <c r="M47" s="495">
        <f>'תקציב הנדסה 2025 '!M47</f>
        <v>700000</v>
      </c>
      <c r="N47" s="4">
        <f>'תקציב הנדסה 2025 '!N47</f>
        <v>2100000</v>
      </c>
      <c r="O47" s="4">
        <f>'תקציב הנדסה 2025 '!O47</f>
        <v>15200000</v>
      </c>
      <c r="P47" s="112">
        <f>'תקציב הנדסה 2025 '!P47</f>
        <v>0</v>
      </c>
      <c r="Q47" s="112">
        <f>'תקציב הנדסה 2025 '!Q47</f>
        <v>0</v>
      </c>
      <c r="R47" s="112">
        <f>'תקציב הנדסה 2025 '!R47</f>
        <v>700000</v>
      </c>
      <c r="S47" s="112">
        <f>'תקציב הנדסה 2025 '!S47</f>
        <v>700000</v>
      </c>
      <c r="T47" s="257">
        <f>'תקציב הנדסה 2025 '!T47</f>
        <v>0</v>
      </c>
      <c r="U47" s="112">
        <f>'תקציב הנדסה 2025 '!U47</f>
        <v>2100000</v>
      </c>
      <c r="V47" s="4">
        <f>'תקציב הנדסה 2025 '!V47</f>
        <v>2100000</v>
      </c>
      <c r="W47" s="112">
        <f>'תקציב הנדסה 2025 '!W47</f>
        <v>0</v>
      </c>
      <c r="X47" s="112">
        <f>'תקציב הנדסה 2025 '!X47</f>
        <v>0</v>
      </c>
      <c r="Y47" s="112">
        <f>'תקציב הנדסה 2025 '!Y47</f>
        <v>0</v>
      </c>
      <c r="Z47" s="112">
        <f>'תקציב הנדסה 2025 '!Z47</f>
        <v>0</v>
      </c>
      <c r="AA47" s="112">
        <f>'תקציב הנדסה 2025 '!AA47</f>
        <v>0</v>
      </c>
      <c r="AB47" s="660" t="str">
        <f>'תקציב הנדסה 2025 '!AB47</f>
        <v>מתחם פינוי בינוי הכולל שטחי ציבור משמעותיים, הכוללים-4 גני ילדים, בית קפה, כיכר עירונית, דרכים ותשתיות.</v>
      </c>
      <c r="AC47" s="3">
        <v>742000</v>
      </c>
      <c r="AD47" s="18"/>
      <c r="AE47" s="18"/>
      <c r="AF47" s="18"/>
      <c r="AG47" s="18"/>
      <c r="AH47" s="18"/>
      <c r="AI47" s="18"/>
      <c r="AJ47" s="484"/>
      <c r="AK47" s="484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6"/>
      <c r="BF47" s="6"/>
      <c r="BG47" s="6"/>
      <c r="BH47" s="6"/>
      <c r="BI47" s="6"/>
      <c r="BJ47" s="6"/>
      <c r="BK47" s="6"/>
      <c r="BL47" s="6"/>
    </row>
    <row r="48" spans="1:64" s="5" customFormat="1" ht="30" customHeight="1">
      <c r="A48" s="3">
        <f t="shared" ref="A48:A51" si="1">A47+1</f>
        <v>44</v>
      </c>
      <c r="B48" s="19">
        <f>'תקציב הנדסה 2025 '!B48</f>
        <v>20144</v>
      </c>
      <c r="C48" s="222" t="str">
        <f>'תקציב הנדסה 2025 '!C48</f>
        <v>תוכניות מפורטות דרום מערב העיר</v>
      </c>
      <c r="D48" s="112">
        <f>'תקציב הנדסה 2025 '!D48</f>
        <v>1000000</v>
      </c>
      <c r="E48" s="112">
        <f>'תקציב הנדסה 2025 '!E48</f>
        <v>0</v>
      </c>
      <c r="F48" s="257">
        <f>'תקציב הנדסה 2025 '!F48</f>
        <v>1000000</v>
      </c>
      <c r="G48" s="112">
        <f>'תקציב הנדסה 2025 '!G48</f>
        <v>0</v>
      </c>
      <c r="H48" s="112">
        <f>'תקציב הנדסה 2025 '!H48</f>
        <v>0</v>
      </c>
      <c r="I48" s="112">
        <f>'תקציב הנדסה 2025 '!I48</f>
        <v>0</v>
      </c>
      <c r="J48" s="112">
        <f>'תקציב הנדסה 2025 '!J48</f>
        <v>0</v>
      </c>
      <c r="K48" s="112">
        <f>'תקציב הנדסה 2025 '!K48</f>
        <v>0</v>
      </c>
      <c r="L48" s="112">
        <f>'תקציב הנדסה 2025 '!L48</f>
        <v>0</v>
      </c>
      <c r="M48" s="257">
        <f>'תקציב הנדסה 2025 '!M48</f>
        <v>0</v>
      </c>
      <c r="N48" s="112">
        <f>'תקציב הנדסה 2025 '!N48</f>
        <v>200000</v>
      </c>
      <c r="O48" s="112">
        <f>'תקציב הנדסה 2025 '!O48</f>
        <v>800000</v>
      </c>
      <c r="P48" s="112">
        <f>'תקציב הנדסה 2025 '!P48</f>
        <v>0</v>
      </c>
      <c r="Q48" s="112">
        <f>'תקציב הנדסה 2025 '!Q48</f>
        <v>0</v>
      </c>
      <c r="R48" s="112">
        <f>'תקציב הנדסה 2025 '!R48</f>
        <v>0</v>
      </c>
      <c r="S48" s="112">
        <f>'תקציב הנדסה 2025 '!S48</f>
        <v>0</v>
      </c>
      <c r="T48" s="112">
        <f>'תקציב הנדסה 2025 '!T48</f>
        <v>0</v>
      </c>
      <c r="U48" s="112">
        <f>'תקציב הנדסה 2025 '!U48</f>
        <v>200000</v>
      </c>
      <c r="V48" s="4">
        <f>'תקציב הנדסה 2025 '!V48</f>
        <v>200000</v>
      </c>
      <c r="W48" s="112">
        <f>'תקציב הנדסה 2025 '!W48</f>
        <v>0</v>
      </c>
      <c r="X48" s="112">
        <f>'תקציב הנדסה 2025 '!X48</f>
        <v>0</v>
      </c>
      <c r="Y48" s="112">
        <f>'תקציב הנדסה 2025 '!Y48</f>
        <v>0</v>
      </c>
      <c r="Z48" s="112">
        <f>'תקציב הנדסה 2025 '!Z48</f>
        <v>0</v>
      </c>
      <c r="AA48" s="112">
        <f>'תקציב הנדסה 2025 '!AA48</f>
        <v>0</v>
      </c>
      <c r="AB48" s="202" t="str">
        <f>'תקציב הנדסה 2025 '!AB48</f>
        <v>ליווי יועצים לפי הצורך לתוכניות מפורטות בדרום מערב העיר (חוף התכלת).</v>
      </c>
      <c r="AC48" s="3">
        <v>732000</v>
      </c>
      <c r="AD48" s="18"/>
      <c r="AE48" s="18"/>
      <c r="AF48" s="18"/>
      <c r="AG48" s="18"/>
      <c r="AH48" s="18"/>
      <c r="AI48" s="18"/>
      <c r="AJ48" s="484"/>
      <c r="AK48" s="484"/>
      <c r="AL48" s="18"/>
      <c r="AM48" s="18"/>
      <c r="AN48" s="18"/>
      <c r="AO48" s="18"/>
      <c r="AP48" s="18"/>
      <c r="AQ48" s="18"/>
      <c r="AR48" s="18"/>
      <c r="AS48" s="18"/>
      <c r="AT48" s="123"/>
      <c r="AU48" s="123"/>
      <c r="AV48" s="123"/>
      <c r="AW48" s="123"/>
      <c r="AX48" s="123"/>
      <c r="AY48" s="256"/>
      <c r="AZ48" s="256"/>
      <c r="BA48" s="256"/>
      <c r="BB48" s="256"/>
      <c r="BC48" s="256"/>
      <c r="BD48" s="256"/>
      <c r="BE48" s="256"/>
      <c r="BF48" s="256"/>
      <c r="BG48" s="256"/>
    </row>
    <row r="49" spans="1:64" s="5" customFormat="1" ht="30" customHeight="1">
      <c r="A49" s="3">
        <f t="shared" si="1"/>
        <v>45</v>
      </c>
      <c r="B49" s="19">
        <f>'תקציב הנדסה 2025 '!B49</f>
        <v>20145</v>
      </c>
      <c r="C49" s="222" t="str">
        <f>'תקציב הנדסה 2025 '!C49</f>
        <v>אצטדיון - קו ניקוז</v>
      </c>
      <c r="D49" s="112">
        <f>'תקציב הנדסה 2025 '!D49</f>
        <v>1500000</v>
      </c>
      <c r="E49" s="112">
        <f>'תקציב הנדסה 2025 '!E49</f>
        <v>0</v>
      </c>
      <c r="F49" s="257">
        <f>'תקציב הנדסה 2025 '!F49</f>
        <v>1500000</v>
      </c>
      <c r="G49" s="112">
        <f>'תקציב הנדסה 2025 '!G49</f>
        <v>0</v>
      </c>
      <c r="H49" s="112">
        <f>'תקציב הנדסה 2025 '!H49</f>
        <v>0</v>
      </c>
      <c r="I49" s="112">
        <f>'תקציב הנדסה 2025 '!I49</f>
        <v>0</v>
      </c>
      <c r="J49" s="112">
        <f>'תקציב הנדסה 2025 '!J49</f>
        <v>0</v>
      </c>
      <c r="K49" s="112">
        <f>'תקציב הנדסה 2025 '!K49</f>
        <v>0</v>
      </c>
      <c r="L49" s="112">
        <f>'תקציב הנדסה 2025 '!L49</f>
        <v>0</v>
      </c>
      <c r="M49" s="257">
        <f>'תקציב הנדסה 2025 '!M49</f>
        <v>0</v>
      </c>
      <c r="N49" s="112">
        <f>'תקציב הנדסה 2025 '!N49</f>
        <v>1400000</v>
      </c>
      <c r="O49" s="112">
        <f>'תקציב הנדסה 2025 '!O49</f>
        <v>100000</v>
      </c>
      <c r="P49" s="112">
        <f>'תקציב הנדסה 2025 '!P49</f>
        <v>0</v>
      </c>
      <c r="Q49" s="112">
        <f>'תקציב הנדסה 2025 '!Q49</f>
        <v>0</v>
      </c>
      <c r="R49" s="112">
        <f>'תקציב הנדסה 2025 '!R49</f>
        <v>0</v>
      </c>
      <c r="S49" s="112">
        <f>'תקציב הנדסה 2025 '!S49</f>
        <v>0</v>
      </c>
      <c r="T49" s="112">
        <f>'תקציב הנדסה 2025 '!T49</f>
        <v>0</v>
      </c>
      <c r="U49" s="112">
        <f>'תקציב הנדסה 2025 '!U49</f>
        <v>1400000</v>
      </c>
      <c r="V49" s="4">
        <f>'תקציב הנדסה 2025 '!V49</f>
        <v>0</v>
      </c>
      <c r="W49" s="112">
        <f>'תקציב הנדסה 2025 '!W49</f>
        <v>0</v>
      </c>
      <c r="X49" s="112">
        <f>'תקציב הנדסה 2025 '!X49</f>
        <v>0</v>
      </c>
      <c r="Y49" s="112">
        <f>'תקציב הנדסה 2025 '!Y49</f>
        <v>1400000</v>
      </c>
      <c r="Z49" s="112">
        <f>'תקציב הנדסה 2025 '!Z49</f>
        <v>0</v>
      </c>
      <c r="AA49" s="112">
        <f>'תקציב הנדסה 2025 '!AA49</f>
        <v>0</v>
      </c>
      <c r="AB49" s="202" t="str">
        <f>'תקציב הנדסה 2025 '!AB49</f>
        <v>ביצוע קו ניקוז איצטדיון הרצליה. קרן ייעודית.</v>
      </c>
      <c r="AC49" s="3">
        <v>742000</v>
      </c>
      <c r="AD49" s="18"/>
      <c r="AE49" s="18"/>
      <c r="AF49" s="18"/>
      <c r="AG49" s="18"/>
      <c r="AH49" s="18"/>
      <c r="AI49" s="18"/>
      <c r="AJ49" s="484"/>
      <c r="AK49" s="484"/>
      <c r="AL49" s="18"/>
      <c r="AM49" s="18"/>
      <c r="AN49" s="18"/>
      <c r="AO49" s="18"/>
      <c r="AP49" s="18"/>
      <c r="AQ49" s="18"/>
      <c r="AR49" s="18"/>
      <c r="AS49" s="18"/>
      <c r="AT49" s="123"/>
      <c r="AU49" s="123"/>
      <c r="AV49" s="123"/>
      <c r="AW49" s="123"/>
      <c r="AX49" s="123"/>
      <c r="AY49" s="256"/>
      <c r="AZ49" s="256"/>
      <c r="BA49" s="256"/>
      <c r="BB49" s="256"/>
      <c r="BC49" s="256"/>
      <c r="BD49" s="256"/>
      <c r="BE49" s="256"/>
      <c r="BF49" s="256"/>
      <c r="BG49" s="256"/>
    </row>
    <row r="50" spans="1:64" s="5" customFormat="1" ht="30" customHeight="1">
      <c r="A50" s="3">
        <f t="shared" si="1"/>
        <v>46</v>
      </c>
      <c r="B50" s="19">
        <f>'תקציב הנדסה 2025 '!B50</f>
        <v>20146</v>
      </c>
      <c r="C50" s="496" t="str">
        <f>'תקציב הנדסה 2025 '!C50</f>
        <v>תוכנית תפעולית לניידות עירונית</v>
      </c>
      <c r="D50" s="112">
        <f>'תקציב הנדסה 2025 '!D50</f>
        <v>400000</v>
      </c>
      <c r="E50" s="434">
        <f>'תקציב הנדסה 2025 '!E50</f>
        <v>0</v>
      </c>
      <c r="F50" s="257">
        <f>'תקציב הנדסה 2025 '!F50</f>
        <v>400000</v>
      </c>
      <c r="G50" s="112">
        <f>'תקציב הנדסה 2025 '!G50</f>
        <v>0</v>
      </c>
      <c r="H50" s="112">
        <f>'תקציב הנדסה 2025 '!H50</f>
        <v>0</v>
      </c>
      <c r="I50" s="112">
        <f>'תקציב הנדסה 2025 '!I50</f>
        <v>0</v>
      </c>
      <c r="J50" s="112">
        <f>'תקציב הנדסה 2025 '!J50</f>
        <v>0</v>
      </c>
      <c r="K50" s="112">
        <f>'תקציב הנדסה 2025 '!K50</f>
        <v>0</v>
      </c>
      <c r="L50" s="112">
        <f>'תקציב הנדסה 2025 '!L50</f>
        <v>0</v>
      </c>
      <c r="M50" s="257">
        <f>'תקציב הנדסה 2025 '!M50</f>
        <v>0</v>
      </c>
      <c r="N50" s="112">
        <f>'תקציב הנדסה 2025 '!N50</f>
        <v>100000</v>
      </c>
      <c r="O50" s="112">
        <f>'תקציב הנדסה 2025 '!O50</f>
        <v>300000</v>
      </c>
      <c r="P50" s="112">
        <f>'תקציב הנדסה 2025 '!P50</f>
        <v>0</v>
      </c>
      <c r="Q50" s="112">
        <f>'תקציב הנדסה 2025 '!Q50</f>
        <v>0</v>
      </c>
      <c r="R50" s="112">
        <f>'תקציב הנדסה 2025 '!R50</f>
        <v>0</v>
      </c>
      <c r="S50" s="112">
        <f>'תקציב הנדסה 2025 '!S50</f>
        <v>0</v>
      </c>
      <c r="T50" s="112">
        <f>'תקציב הנדסה 2025 '!T50</f>
        <v>0</v>
      </c>
      <c r="U50" s="112">
        <f>'תקציב הנדסה 2025 '!U50</f>
        <v>100000</v>
      </c>
      <c r="V50" s="4">
        <f>'תקציב הנדסה 2025 '!V50</f>
        <v>100000</v>
      </c>
      <c r="W50" s="112">
        <f>'תקציב הנדסה 2025 '!W50</f>
        <v>0</v>
      </c>
      <c r="X50" s="112">
        <f>'תקציב הנדסה 2025 '!X50</f>
        <v>0</v>
      </c>
      <c r="Y50" s="112">
        <f>'תקציב הנדסה 2025 '!Y50</f>
        <v>0</v>
      </c>
      <c r="Z50" s="112">
        <f>'תקציב הנדסה 2025 '!Z50</f>
        <v>0</v>
      </c>
      <c r="AA50" s="112">
        <f>'תקציב הנדסה 2025 '!AA50</f>
        <v>0</v>
      </c>
      <c r="AB50" s="202" t="str">
        <f>'תקציב הנדסה 2025 '!AB50</f>
        <v>הכנת תוכנית מתווה הניידות והתחבורה החכמה בעיר.</v>
      </c>
      <c r="AC50" s="3">
        <v>732000</v>
      </c>
      <c r="AD50" s="18"/>
      <c r="AE50" s="18"/>
      <c r="AF50" s="18"/>
      <c r="AG50" s="18"/>
      <c r="AH50" s="18"/>
      <c r="AI50" s="18"/>
      <c r="AJ50" s="484"/>
      <c r="AK50" s="484"/>
      <c r="AL50" s="18"/>
      <c r="AM50" s="18"/>
      <c r="AN50" s="18"/>
      <c r="AO50" s="18"/>
      <c r="AP50" s="18"/>
      <c r="AQ50" s="18"/>
      <c r="AR50" s="18"/>
      <c r="AS50" s="18"/>
      <c r="AT50" s="205"/>
      <c r="AU50" s="205"/>
      <c r="AV50" s="205"/>
      <c r="AW50" s="205"/>
      <c r="AX50" s="205"/>
      <c r="AY50" s="374"/>
      <c r="AZ50" s="374"/>
      <c r="BA50" s="374"/>
      <c r="BB50" s="374"/>
      <c r="BC50" s="374"/>
      <c r="BD50" s="374"/>
      <c r="BE50" s="374"/>
      <c r="BF50" s="374"/>
      <c r="BG50" s="374"/>
    </row>
    <row r="51" spans="1:64" s="5" customFormat="1" ht="45">
      <c r="A51" s="3">
        <f t="shared" si="1"/>
        <v>47</v>
      </c>
      <c r="B51" s="19">
        <f>'תקציב הנדסה 2025 '!B51</f>
        <v>20147</v>
      </c>
      <c r="C51" s="496" t="str">
        <f>'תקציב הנדסה 2025 '!C51</f>
        <v>תוכנית אב להצללה</v>
      </c>
      <c r="D51" s="112">
        <f>'תקציב הנדסה 2025 '!D51</f>
        <v>600000</v>
      </c>
      <c r="E51" s="434">
        <f>'תקציב הנדסה 2025 '!E51</f>
        <v>0</v>
      </c>
      <c r="F51" s="257">
        <f>'תקציב הנדסה 2025 '!F51</f>
        <v>600000</v>
      </c>
      <c r="G51" s="112">
        <f>'תקציב הנדסה 2025 '!G51</f>
        <v>0</v>
      </c>
      <c r="H51" s="112">
        <f>'תקציב הנדסה 2025 '!H51</f>
        <v>0</v>
      </c>
      <c r="I51" s="112">
        <f>'תקציב הנדסה 2025 '!I51</f>
        <v>0</v>
      </c>
      <c r="J51" s="112">
        <f>'תקציב הנדסה 2025 '!J51</f>
        <v>0</v>
      </c>
      <c r="K51" s="112">
        <f>'תקציב הנדסה 2025 '!K51</f>
        <v>0</v>
      </c>
      <c r="L51" s="112">
        <f>'תקציב הנדסה 2025 '!L51</f>
        <v>0</v>
      </c>
      <c r="M51" s="257">
        <f>'תקציב הנדסה 2025 '!M51</f>
        <v>0</v>
      </c>
      <c r="N51" s="112">
        <f>'תקציב הנדסה 2025 '!N51</f>
        <v>150000</v>
      </c>
      <c r="O51" s="112">
        <f>'תקציב הנדסה 2025 '!O51</f>
        <v>450000</v>
      </c>
      <c r="P51" s="112">
        <f>'תקציב הנדסה 2025 '!P51</f>
        <v>0</v>
      </c>
      <c r="Q51" s="112">
        <f>'תקציב הנדסה 2025 '!Q51</f>
        <v>0</v>
      </c>
      <c r="R51" s="112">
        <f>'תקציב הנדסה 2025 '!R51</f>
        <v>0</v>
      </c>
      <c r="S51" s="112">
        <f>'תקציב הנדסה 2025 '!S51</f>
        <v>0</v>
      </c>
      <c r="T51" s="112">
        <f>'תקציב הנדסה 2025 '!T51</f>
        <v>0</v>
      </c>
      <c r="U51" s="112">
        <f>'תקציב הנדסה 2025 '!U51</f>
        <v>150000</v>
      </c>
      <c r="V51" s="4">
        <f>'תקציב הנדסה 2025 '!V51</f>
        <v>150000</v>
      </c>
      <c r="W51" s="112">
        <f>'תקציב הנדסה 2025 '!W51</f>
        <v>0</v>
      </c>
      <c r="X51" s="112">
        <f>'תקציב הנדסה 2025 '!X51</f>
        <v>0</v>
      </c>
      <c r="Y51" s="112">
        <f>'תקציב הנדסה 2025 '!Y51</f>
        <v>0</v>
      </c>
      <c r="Z51" s="112">
        <f>'תקציב הנדסה 2025 '!Z51</f>
        <v>0</v>
      </c>
      <c r="AA51" s="112">
        <f>'תקציב הנדסה 2025 '!AA51</f>
        <v>0</v>
      </c>
      <c r="AB51" s="202" t="str">
        <f>'תקציב הנדסה 2025 '!AB51</f>
        <v>הכנת מסמך מדיניות אסטרטגית בנושא עידוד הליכתיות והצללה באמצעים מלאכותיים ברחבי העיר.</v>
      </c>
      <c r="AC51" s="3">
        <v>870000</v>
      </c>
      <c r="AD51" s="18"/>
      <c r="AE51" s="18"/>
      <c r="AF51" s="18"/>
      <c r="AG51" s="18"/>
      <c r="AH51" s="18"/>
      <c r="AI51" s="18"/>
      <c r="AJ51" s="484"/>
      <c r="AK51" s="484"/>
      <c r="AL51" s="18"/>
      <c r="AM51" s="18"/>
      <c r="AN51" s="18"/>
      <c r="AO51" s="18"/>
      <c r="AP51" s="18"/>
      <c r="AQ51" s="18"/>
      <c r="AR51" s="18"/>
      <c r="AS51" s="18"/>
      <c r="AT51" s="205"/>
      <c r="AU51" s="205"/>
      <c r="AV51" s="205"/>
      <c r="AW51" s="205"/>
      <c r="AX51" s="205"/>
      <c r="AY51" s="374"/>
      <c r="AZ51" s="374"/>
      <c r="BA51" s="374"/>
      <c r="BB51" s="374"/>
      <c r="BC51" s="374"/>
      <c r="BD51" s="374"/>
      <c r="BE51" s="374"/>
      <c r="BF51" s="374"/>
      <c r="BG51" s="374"/>
    </row>
    <row r="52" spans="1:64" s="40" customFormat="1" ht="30" customHeight="1">
      <c r="A52" s="236">
        <f>COUNT(A5:A51)</f>
        <v>47</v>
      </c>
      <c r="B52" s="20"/>
      <c r="C52" s="270" t="s">
        <v>75</v>
      </c>
      <c r="D52" s="236">
        <f>SUM(D5:D51)</f>
        <v>404874756</v>
      </c>
      <c r="E52" s="236">
        <f t="shared" ref="E52:AA52" si="2">SUM(E5:E51)</f>
        <v>348068858</v>
      </c>
      <c r="F52" s="236">
        <f t="shared" si="2"/>
        <v>56805898</v>
      </c>
      <c r="G52" s="236">
        <f t="shared" si="2"/>
        <v>121836027</v>
      </c>
      <c r="H52" s="236">
        <f t="shared" si="2"/>
        <v>108070010</v>
      </c>
      <c r="I52" s="236">
        <f t="shared" si="2"/>
        <v>2837879</v>
      </c>
      <c r="J52" s="236">
        <f t="shared" si="2"/>
        <v>6165337</v>
      </c>
      <c r="K52" s="236">
        <f t="shared" si="2"/>
        <v>9003216</v>
      </c>
      <c r="L52" s="236">
        <f t="shared" si="2"/>
        <v>117073226</v>
      </c>
      <c r="M52" s="236">
        <f t="shared" si="2"/>
        <v>7888801</v>
      </c>
      <c r="N52" s="236">
        <f t="shared" si="2"/>
        <v>30095000</v>
      </c>
      <c r="O52" s="236">
        <f t="shared" si="2"/>
        <v>249817729</v>
      </c>
      <c r="P52" s="236">
        <f t="shared" si="2"/>
        <v>4762801</v>
      </c>
      <c r="Q52" s="236">
        <f t="shared" si="2"/>
        <v>250000</v>
      </c>
      <c r="R52" s="236">
        <f t="shared" si="2"/>
        <v>3401000</v>
      </c>
      <c r="S52" s="236">
        <f t="shared" si="2"/>
        <v>3651000</v>
      </c>
      <c r="T52" s="236">
        <f t="shared" si="2"/>
        <v>525000</v>
      </c>
      <c r="U52" s="236">
        <f t="shared" si="2"/>
        <v>29570000</v>
      </c>
      <c r="V52" s="236">
        <f t="shared" si="2"/>
        <v>13170000</v>
      </c>
      <c r="W52" s="236">
        <f t="shared" si="2"/>
        <v>0</v>
      </c>
      <c r="X52" s="236">
        <f t="shared" si="2"/>
        <v>0</v>
      </c>
      <c r="Y52" s="236">
        <f t="shared" si="2"/>
        <v>1400000</v>
      </c>
      <c r="Z52" s="236">
        <f t="shared" si="2"/>
        <v>0</v>
      </c>
      <c r="AA52" s="236">
        <f t="shared" si="2"/>
        <v>15000000</v>
      </c>
      <c r="AB52" s="263"/>
      <c r="AC52" s="20"/>
      <c r="AD52" s="18"/>
      <c r="AE52" s="18"/>
      <c r="AF52" s="18"/>
      <c r="AG52" s="18"/>
      <c r="AH52" s="18"/>
      <c r="AI52" s="18"/>
      <c r="AJ52" s="484"/>
      <c r="AK52" s="484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232"/>
      <c r="AW52" s="232"/>
      <c r="AX52" s="232"/>
      <c r="AY52" s="232"/>
      <c r="AZ52" s="232"/>
      <c r="BA52" s="232"/>
      <c r="BB52" s="232"/>
      <c r="BC52" s="232"/>
      <c r="BD52" s="312"/>
      <c r="BE52" s="312"/>
      <c r="BF52" s="312"/>
      <c r="BG52" s="312"/>
      <c r="BH52" s="312"/>
      <c r="BI52" s="312"/>
      <c r="BJ52" s="312"/>
      <c r="BK52" s="312"/>
      <c r="BL52" s="312"/>
    </row>
    <row r="53" spans="1:64" s="499" customFormat="1" ht="15" hidden="1" customHeight="1">
      <c r="A53" s="650"/>
      <c r="B53" s="388"/>
      <c r="C53" s="656"/>
      <c r="D53" s="650">
        <f>SUM(L52:O52)</f>
        <v>404874756</v>
      </c>
      <c r="E53" s="650"/>
      <c r="F53" s="650">
        <f>D52-E52</f>
        <v>56805898</v>
      </c>
      <c r="G53" s="650"/>
      <c r="H53" s="650"/>
      <c r="I53" s="650"/>
      <c r="J53" s="650"/>
      <c r="K53" s="650"/>
      <c r="L53" s="650">
        <f>H52+K52</f>
        <v>117073226</v>
      </c>
      <c r="M53" s="650">
        <f>P52+S52</f>
        <v>8413801</v>
      </c>
      <c r="N53" s="650"/>
      <c r="O53" s="650"/>
      <c r="P53" s="650">
        <f>G52-L53</f>
        <v>4762801</v>
      </c>
      <c r="Q53" s="11">
        <f>'ריכוז אגפים 2024'!AV7</f>
        <v>600000</v>
      </c>
      <c r="R53" s="11">
        <f>'עדכוני תקציב 2024'!AE35</f>
        <v>3401000</v>
      </c>
      <c r="S53" s="650"/>
      <c r="T53" s="650">
        <f>P53+S52-M52</f>
        <v>525000</v>
      </c>
      <c r="U53" s="650">
        <f>N52-T53</f>
        <v>29570000</v>
      </c>
      <c r="V53" s="650"/>
      <c r="W53" s="650"/>
      <c r="X53" s="650"/>
      <c r="Y53" s="650"/>
      <c r="Z53" s="650"/>
      <c r="AA53" s="650"/>
      <c r="AB53" s="661"/>
      <c r="AC53" s="388"/>
      <c r="AD53" s="18"/>
      <c r="AE53" s="522"/>
      <c r="AF53" s="522"/>
      <c r="AG53" s="522"/>
      <c r="AH53" s="522"/>
      <c r="AI53" s="522"/>
      <c r="AJ53" s="606"/>
      <c r="AK53" s="606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59"/>
      <c r="AW53" s="559"/>
      <c r="AX53" s="559"/>
      <c r="AY53" s="559"/>
      <c r="AZ53" s="559"/>
      <c r="BA53" s="559"/>
      <c r="BB53" s="559"/>
      <c r="BC53" s="559"/>
      <c r="BD53" s="652"/>
      <c r="BE53" s="652"/>
      <c r="BF53" s="652"/>
      <c r="BG53" s="652"/>
      <c r="BH53" s="652"/>
      <c r="BI53" s="652"/>
      <c r="BJ53" s="652"/>
      <c r="BK53" s="652"/>
      <c r="BL53" s="652"/>
    </row>
    <row r="54" spans="1:64" s="40" customFormat="1" ht="15" hidden="1" customHeight="1">
      <c r="A54" s="335"/>
      <c r="B54" s="333"/>
      <c r="C54" s="657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11">
        <f>Q52-Q53</f>
        <v>-350000</v>
      </c>
      <c r="R54" s="11">
        <f>R52-R53</f>
        <v>0</v>
      </c>
      <c r="S54" s="335"/>
      <c r="T54" s="335"/>
      <c r="U54" s="335"/>
      <c r="V54" s="335"/>
      <c r="W54" s="335"/>
      <c r="X54" s="335"/>
      <c r="Y54" s="335"/>
      <c r="Z54" s="335"/>
      <c r="AA54" s="335"/>
      <c r="AB54" s="662"/>
      <c r="AC54" s="333"/>
      <c r="AD54" s="18"/>
      <c r="AE54" s="18"/>
      <c r="AF54" s="18"/>
      <c r="AG54" s="18"/>
      <c r="AH54" s="18"/>
      <c r="AI54" s="18"/>
      <c r="AJ54" s="484"/>
      <c r="AK54" s="484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32"/>
      <c r="AW54" s="232"/>
      <c r="AX54" s="232"/>
      <c r="AY54" s="232"/>
      <c r="AZ54" s="232"/>
      <c r="BA54" s="232"/>
      <c r="BB54" s="232"/>
      <c r="BC54" s="232"/>
      <c r="BD54" s="312"/>
      <c r="BE54" s="312"/>
      <c r="BF54" s="312"/>
      <c r="BG54" s="312"/>
      <c r="BH54" s="312"/>
      <c r="BI54" s="312"/>
      <c r="BJ54" s="312"/>
      <c r="BK54" s="312"/>
      <c r="BL54" s="312"/>
    </row>
    <row r="55" spans="1:64" s="40" customFormat="1" ht="15" hidden="1" customHeight="1">
      <c r="A55" s="335"/>
      <c r="B55" s="333"/>
      <c r="C55" s="657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11" t="s">
        <v>1303</v>
      </c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662"/>
      <c r="AC55" s="333"/>
      <c r="AD55" s="18"/>
      <c r="AE55" s="18"/>
      <c r="AF55" s="18"/>
      <c r="AG55" s="18"/>
      <c r="AH55" s="18"/>
      <c r="AI55" s="18"/>
      <c r="AJ55" s="484"/>
      <c r="AK55" s="484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232"/>
      <c r="AW55" s="232"/>
      <c r="AX55" s="232"/>
      <c r="AY55" s="232"/>
      <c r="AZ55" s="232"/>
      <c r="BA55" s="232"/>
      <c r="BB55" s="232"/>
      <c r="BC55" s="232"/>
      <c r="BD55" s="312"/>
      <c r="BE55" s="312"/>
      <c r="BF55" s="312"/>
      <c r="BG55" s="312"/>
      <c r="BH55" s="312"/>
      <c r="BI55" s="312"/>
      <c r="BJ55" s="312"/>
      <c r="BK55" s="312"/>
      <c r="BL55" s="312"/>
    </row>
    <row r="94" spans="3:45" s="10" customFormat="1" ht="37.9" customHeight="1">
      <c r="C94" s="658"/>
      <c r="M94" s="606"/>
      <c r="AB94" s="658"/>
      <c r="AD94" s="18"/>
      <c r="AE94" s="18"/>
      <c r="AF94" s="18"/>
      <c r="AG94" s="18"/>
      <c r="AH94" s="18"/>
      <c r="AI94" s="18"/>
      <c r="AJ94" s="484"/>
      <c r="AK94" s="484"/>
      <c r="AL94" s="18"/>
      <c r="AM94" s="18"/>
      <c r="AN94" s="18"/>
      <c r="AO94" s="18"/>
      <c r="AP94" s="18"/>
      <c r="AQ94" s="18"/>
      <c r="AR94" s="18"/>
      <c r="AS94" s="18"/>
    </row>
    <row r="97" spans="3:45" s="10" customFormat="1" ht="70.900000000000006" customHeight="1">
      <c r="C97" s="658"/>
      <c r="M97" s="606"/>
      <c r="AB97" s="658"/>
      <c r="AD97" s="18"/>
      <c r="AE97" s="18"/>
      <c r="AF97" s="18"/>
      <c r="AG97" s="18"/>
      <c r="AH97" s="18"/>
      <c r="AI97" s="18"/>
      <c r="AJ97" s="484"/>
      <c r="AK97" s="484"/>
      <c r="AL97" s="18"/>
      <c r="AM97" s="18"/>
      <c r="AN97" s="18"/>
      <c r="AO97" s="18"/>
      <c r="AP97" s="18"/>
      <c r="AQ97" s="18"/>
      <c r="AR97" s="18"/>
      <c r="AS97" s="18"/>
    </row>
    <row r="100" spans="3:45" s="10" customFormat="1" ht="72" customHeight="1">
      <c r="C100" s="658"/>
      <c r="M100" s="606"/>
      <c r="AB100" s="658"/>
      <c r="AD100" s="18"/>
      <c r="AE100" s="18"/>
      <c r="AF100" s="18"/>
      <c r="AG100" s="18"/>
      <c r="AH100" s="18"/>
      <c r="AI100" s="18"/>
      <c r="AJ100" s="484"/>
      <c r="AK100" s="484"/>
      <c r="AL100" s="18"/>
      <c r="AM100" s="18"/>
      <c r="AN100" s="18"/>
      <c r="AO100" s="18"/>
      <c r="AP100" s="18"/>
      <c r="AQ100" s="18"/>
      <c r="AR100" s="18"/>
      <c r="AS100" s="18"/>
    </row>
    <row r="102" spans="3:45" s="10" customFormat="1" ht="43.9" customHeight="1">
      <c r="C102" s="658"/>
      <c r="M102" s="606"/>
      <c r="AB102" s="658"/>
      <c r="AD102" s="18"/>
      <c r="AE102" s="18"/>
      <c r="AF102" s="18"/>
      <c r="AG102" s="18"/>
      <c r="AH102" s="18"/>
      <c r="AI102" s="18"/>
      <c r="AJ102" s="484"/>
      <c r="AK102" s="484"/>
      <c r="AL102" s="18"/>
      <c r="AM102" s="18"/>
      <c r="AN102" s="18"/>
      <c r="AO102" s="18"/>
      <c r="AP102" s="18"/>
      <c r="AQ102" s="18"/>
      <c r="AR102" s="18"/>
      <c r="AS102" s="18"/>
    </row>
    <row r="104" spans="3:45" s="10" customFormat="1" ht="30" customHeight="1">
      <c r="C104" s="658"/>
      <c r="M104" s="606"/>
      <c r="AB104" s="658"/>
      <c r="AD104" s="18"/>
      <c r="AE104" s="18"/>
      <c r="AF104" s="18"/>
      <c r="AG104" s="18"/>
      <c r="AH104" s="18"/>
      <c r="AI104" s="18"/>
      <c r="AJ104" s="484"/>
      <c r="AK104" s="484"/>
      <c r="AL104" s="18"/>
      <c r="AM104" s="18"/>
      <c r="AN104" s="18"/>
      <c r="AO104" s="18"/>
      <c r="AP104" s="18"/>
      <c r="AQ104" s="18"/>
      <c r="AR104" s="18"/>
      <c r="AS104" s="18"/>
    </row>
  </sheetData>
  <conditionalFormatting sqref="O1:O4 O56:O1048576">
    <cfRule type="cellIs" dxfId="429" priority="1" operator="lessThan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1EE0-8355-4EC3-8B0B-B935B6FDE3E0}">
  <dimension ref="A1:BL112"/>
  <sheetViews>
    <sheetView showZeros="0" rightToLeft="1" zoomScaleNormal="100" workbookViewId="0">
      <pane xSplit="4" ySplit="4" topLeftCell="N53" activePane="bottomRight" state="frozen"/>
      <selection activeCell="AB20" sqref="AB20"/>
      <selection pane="topRight" activeCell="AB20" sqref="AB20"/>
      <selection pane="bottomLeft" activeCell="AB20" sqref="AB20"/>
      <selection pane="bottomRight" activeCell="AD71" sqref="AD71"/>
    </sheetView>
  </sheetViews>
  <sheetFormatPr defaultColWidth="8.85546875" defaultRowHeight="15"/>
  <cols>
    <col min="1" max="1" width="3.7109375" style="10" customWidth="1"/>
    <col min="2" max="2" width="5.7109375" style="10" customWidth="1"/>
    <col min="3" max="3" width="19.28515625" style="655" customWidth="1"/>
    <col min="4" max="4" width="11.140625" style="11" customWidth="1"/>
    <col min="5" max="5" width="11.140625" style="11" hidden="1" customWidth="1"/>
    <col min="6" max="6" width="12.42578125" style="502" hidden="1" customWidth="1"/>
    <col min="7" max="8" width="11.140625" style="11" hidden="1" customWidth="1"/>
    <col min="9" max="10" width="10.42578125" style="11" hidden="1" customWidth="1"/>
    <col min="11" max="11" width="11.140625" style="11" hidden="1" customWidth="1"/>
    <col min="12" max="12" width="11.140625" style="11" customWidth="1"/>
    <col min="13" max="13" width="9.42578125" style="502" customWidth="1"/>
    <col min="14" max="15" width="11.140625" style="11" customWidth="1"/>
    <col min="16" max="19" width="10.42578125" style="11" hidden="1" customWidth="1"/>
    <col min="20" max="20" width="8" style="502" customWidth="1"/>
    <col min="21" max="21" width="11.140625" style="10" bestFit="1" customWidth="1"/>
    <col min="22" max="22" width="10.85546875" style="10" customWidth="1"/>
    <col min="23" max="23" width="9.28515625" style="10" hidden="1" customWidth="1"/>
    <col min="24" max="24" width="6.42578125" style="10" hidden="1" customWidth="1"/>
    <col min="25" max="25" width="9.140625" style="10" hidden="1" customWidth="1"/>
    <col min="26" max="26" width="9.5703125" style="10" hidden="1" customWidth="1"/>
    <col min="27" max="27" width="10.28515625" style="10" customWidth="1"/>
    <col min="28" max="28" width="31.28515625" style="655" customWidth="1"/>
    <col min="29" max="29" width="8.85546875" style="10" customWidth="1"/>
    <col min="30" max="30" width="11.140625" style="18" customWidth="1"/>
    <col min="31" max="31" width="18.85546875" style="18" customWidth="1"/>
    <col min="32" max="33" width="14" style="18" customWidth="1"/>
    <col min="34" max="34" width="18.85546875" style="18" customWidth="1"/>
    <col min="35" max="35" width="8.7109375" style="18" customWidth="1"/>
    <col min="36" max="36" width="33.140625" style="484" customWidth="1"/>
    <col min="37" max="37" width="39.5703125" style="484" customWidth="1"/>
    <col min="38" max="38" width="13.5703125" style="18" customWidth="1"/>
    <col min="39" max="39" width="11.28515625" style="18" customWidth="1"/>
    <col min="40" max="40" width="18.85546875" style="18" customWidth="1"/>
    <col min="41" max="41" width="11.28515625" style="18" customWidth="1"/>
    <col min="42" max="42" width="18.85546875" style="18" customWidth="1"/>
    <col min="43" max="43" width="14" style="18" customWidth="1"/>
    <col min="44" max="44" width="18.85546875" style="18" customWidth="1"/>
    <col min="45" max="45" width="14" style="18" customWidth="1"/>
    <col min="46" max="46" width="12.42578125" style="18" customWidth="1"/>
    <col min="47" max="55" width="10.7109375" style="18" customWidth="1"/>
    <col min="56" max="56" width="15" style="18" customWidth="1"/>
    <col min="57" max="16384" width="8.85546875" style="10"/>
  </cols>
  <sheetData>
    <row r="1" spans="1:64" s="481" customFormat="1" ht="18.75">
      <c r="C1" s="653"/>
      <c r="F1" s="313"/>
      <c r="J1" s="11"/>
      <c r="M1" s="482"/>
      <c r="T1" s="482"/>
      <c r="V1" s="481" t="s">
        <v>610</v>
      </c>
      <c r="W1" s="483"/>
      <c r="X1" s="483"/>
      <c r="Y1" s="483"/>
      <c r="Z1" s="483"/>
      <c r="AA1" s="483"/>
      <c r="AB1" s="659"/>
      <c r="AD1" s="18"/>
      <c r="AE1" s="18"/>
      <c r="AF1" s="18"/>
      <c r="AG1" s="18"/>
      <c r="AH1" s="18"/>
      <c r="AI1" s="18"/>
      <c r="AJ1" s="484"/>
      <c r="AK1" s="484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</row>
    <row r="2" spans="1:64" ht="18.75">
      <c r="A2" s="41" t="s">
        <v>260</v>
      </c>
      <c r="B2" s="481"/>
      <c r="C2" s="654"/>
      <c r="D2" s="481"/>
      <c r="E2" s="481"/>
      <c r="F2" s="313"/>
      <c r="K2" s="481"/>
      <c r="M2" s="486"/>
      <c r="N2" s="487"/>
      <c r="O2" s="487"/>
      <c r="P2" s="487"/>
      <c r="Q2" s="487"/>
      <c r="R2" s="487"/>
      <c r="S2" s="487"/>
      <c r="T2" s="486"/>
      <c r="U2" s="483"/>
      <c r="V2" s="483"/>
      <c r="W2" s="483"/>
      <c r="X2" s="483"/>
      <c r="Z2" s="483"/>
      <c r="AA2" s="483"/>
      <c r="AB2" s="658"/>
    </row>
    <row r="3" spans="1:64" ht="24.6" customHeight="1">
      <c r="D3" s="488"/>
      <c r="E3" s="489"/>
      <c r="F3" s="490"/>
      <c r="G3" s="491"/>
      <c r="H3" s="489"/>
      <c r="I3" s="489"/>
      <c r="J3" s="489"/>
      <c r="K3" s="489"/>
      <c r="L3" s="488"/>
      <c r="M3" s="492"/>
      <c r="N3" s="488"/>
      <c r="O3" s="488"/>
      <c r="P3" s="488"/>
      <c r="Q3" s="488"/>
      <c r="R3" s="488"/>
      <c r="S3" s="488"/>
      <c r="T3" s="493"/>
      <c r="U3" s="488"/>
    </row>
    <row r="4" spans="1:64" s="18" customFormat="1" ht="75">
      <c r="A4" s="2" t="s">
        <v>0</v>
      </c>
      <c r="B4" s="2" t="s">
        <v>1</v>
      </c>
      <c r="C4" s="2" t="s">
        <v>2</v>
      </c>
      <c r="D4" s="2" t="s">
        <v>72</v>
      </c>
      <c r="E4" s="2" t="s">
        <v>4</v>
      </c>
      <c r="F4" s="494" t="s">
        <v>5</v>
      </c>
      <c r="G4" s="2" t="s">
        <v>6</v>
      </c>
      <c r="H4" s="2" t="s">
        <v>7</v>
      </c>
      <c r="I4" s="2" t="s">
        <v>9</v>
      </c>
      <c r="J4" s="2" t="s">
        <v>101</v>
      </c>
      <c r="K4" s="2" t="s">
        <v>10</v>
      </c>
      <c r="L4" s="2" t="s">
        <v>11</v>
      </c>
      <c r="M4" s="494" t="s">
        <v>793</v>
      </c>
      <c r="N4" s="2" t="s">
        <v>794</v>
      </c>
      <c r="O4" s="2" t="s">
        <v>795</v>
      </c>
      <c r="P4" s="2" t="s">
        <v>12</v>
      </c>
      <c r="Q4" s="2" t="s">
        <v>796</v>
      </c>
      <c r="R4" s="2" t="s">
        <v>797</v>
      </c>
      <c r="S4" s="2" t="s">
        <v>798</v>
      </c>
      <c r="T4" s="494" t="s">
        <v>799</v>
      </c>
      <c r="U4" s="494" t="s">
        <v>800</v>
      </c>
      <c r="V4" s="2" t="s">
        <v>13</v>
      </c>
      <c r="W4" s="2" t="s">
        <v>14</v>
      </c>
      <c r="X4" s="2" t="s">
        <v>15</v>
      </c>
      <c r="Y4" s="2" t="s">
        <v>185</v>
      </c>
      <c r="Z4" s="2" t="s">
        <v>385</v>
      </c>
      <c r="AA4" s="2" t="s">
        <v>67</v>
      </c>
      <c r="AB4" s="13" t="s">
        <v>207</v>
      </c>
      <c r="AC4" s="2" t="s">
        <v>16</v>
      </c>
      <c r="AJ4" s="484"/>
      <c r="AK4" s="484"/>
    </row>
    <row r="5" spans="1:64" s="18" customFormat="1" ht="20.100000000000001" customHeight="1">
      <c r="A5" s="2"/>
      <c r="B5" s="2"/>
      <c r="C5" s="8">
        <v>73</v>
      </c>
      <c r="D5" s="2"/>
      <c r="E5" s="2"/>
      <c r="F5" s="494"/>
      <c r="G5" s="2"/>
      <c r="H5" s="2"/>
      <c r="I5" s="2"/>
      <c r="J5" s="2"/>
      <c r="K5" s="2"/>
      <c r="L5" s="2"/>
      <c r="M5" s="494"/>
      <c r="N5" s="2"/>
      <c r="O5" s="2"/>
      <c r="P5" s="2"/>
      <c r="Q5" s="2"/>
      <c r="R5" s="2"/>
      <c r="S5" s="2"/>
      <c r="T5" s="494"/>
      <c r="U5" s="494"/>
      <c r="V5" s="2"/>
      <c r="W5" s="2"/>
      <c r="X5" s="2"/>
      <c r="Y5" s="2"/>
      <c r="Z5" s="2"/>
      <c r="AA5" s="2"/>
      <c r="AB5" s="13"/>
      <c r="AC5" s="2"/>
      <c r="AJ5" s="484"/>
      <c r="AK5" s="484"/>
    </row>
    <row r="6" spans="1:64" s="5" customFormat="1" ht="50.25" customHeight="1">
      <c r="A6" s="3">
        <v>1</v>
      </c>
      <c r="B6" s="3">
        <f>'תקציב הנדסה 2025 '!B7</f>
        <v>626</v>
      </c>
      <c r="C6" s="202" t="str">
        <f>'תקציב הנדסה 2025 '!C7</f>
        <v xml:space="preserve">תכנון וביצוע  תוכנית אב לשבילי אופניים </v>
      </c>
      <c r="D6" s="4">
        <f>'תקציב הנדסה 2025 '!D7</f>
        <v>76233898</v>
      </c>
      <c r="E6" s="4">
        <f>'תקציב הנדסה 2025 '!E7</f>
        <v>34775000</v>
      </c>
      <c r="F6" s="495">
        <f>'תקציב הנדסה 2025 '!F7</f>
        <v>41458898</v>
      </c>
      <c r="G6" s="4">
        <f>'תקציב הנדסה 2025 '!G7</f>
        <v>20233898</v>
      </c>
      <c r="H6" s="4">
        <f>'תקציב הנדסה 2025 '!H7</f>
        <v>18190513</v>
      </c>
      <c r="I6" s="4">
        <f>'תקציב הנדסה 2025 '!I7</f>
        <v>148175</v>
      </c>
      <c r="J6" s="4">
        <f>'תקציב הנדסה 2025 '!J7</f>
        <v>860630</v>
      </c>
      <c r="K6" s="4">
        <f>'תקציב הנדסה 2025 '!K7</f>
        <v>1008805</v>
      </c>
      <c r="L6" s="4">
        <f>'תקציב הנדסה 2025 '!L7</f>
        <v>19199318</v>
      </c>
      <c r="M6" s="495">
        <f>'תקציב הנדסה 2025 '!M7</f>
        <v>1034580</v>
      </c>
      <c r="N6" s="4">
        <f>'תקציב הנדסה 2025 '!N7</f>
        <v>18000000</v>
      </c>
      <c r="O6" s="4">
        <f>'תקציב הנדסה 2025 '!O7</f>
        <v>38000000</v>
      </c>
      <c r="P6" s="4">
        <f>'תקציב הנדסה 2025 '!P7</f>
        <v>1034580</v>
      </c>
      <c r="Q6" s="4">
        <f>'תקציב הנדסה 2025 '!Q7</f>
        <v>0</v>
      </c>
      <c r="R6" s="4">
        <f>'תקציב הנדסה 2025 '!R7</f>
        <v>0</v>
      </c>
      <c r="S6" s="4">
        <f>'תקציב הנדסה 2025 '!S7</f>
        <v>0</v>
      </c>
      <c r="T6" s="495">
        <f>'תקציב הנדסה 2025 '!T7</f>
        <v>0</v>
      </c>
      <c r="U6" s="4">
        <f>'תקציב הנדסה 2025 '!U7</f>
        <v>18000000</v>
      </c>
      <c r="V6" s="4">
        <f>'תקציב הנדסה 2025 '!V7</f>
        <v>3000000</v>
      </c>
      <c r="W6" s="4">
        <f>'תקציב הנדסה 2025 '!W7</f>
        <v>0</v>
      </c>
      <c r="X6" s="4">
        <f>'תקציב הנדסה 2025 '!X7</f>
        <v>0</v>
      </c>
      <c r="Y6" s="4">
        <f>'תקציב הנדסה 2025 '!Y7</f>
        <v>0</v>
      </c>
      <c r="Z6" s="4">
        <f>'תקציב הנדסה 2025 '!Z7</f>
        <v>0</v>
      </c>
      <c r="AA6" s="4">
        <f>'תקציב הנדסה 2025 '!AA7</f>
        <v>15000000</v>
      </c>
      <c r="AB6" s="496" t="str">
        <f>'תקציב הנדסה 2025 '!AB7</f>
        <v>תכנון וביצוע שבילי אופנים ברחבי העיר. מימון מפעל הפיס.</v>
      </c>
      <c r="AC6" s="3">
        <f>'תקציב הנדסה 2025 '!AC7</f>
        <v>732000</v>
      </c>
      <c r="AD6" s="18"/>
      <c r="AE6" s="18"/>
      <c r="AF6" s="18"/>
      <c r="AG6" s="18"/>
      <c r="AH6" s="18"/>
      <c r="AI6" s="18"/>
      <c r="AJ6" s="484"/>
      <c r="AK6" s="484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</row>
    <row r="7" spans="1:64" s="5" customFormat="1" ht="75.75" customHeight="1">
      <c r="A7" s="3">
        <f t="shared" ref="A7:A29" si="0">A6+1</f>
        <v>2</v>
      </c>
      <c r="B7" s="3">
        <f>'תקציב הנדסה 2025 '!B9</f>
        <v>1100</v>
      </c>
      <c r="C7" s="202" t="str">
        <f>'תקציב הנדסה 2025 '!C9</f>
        <v>תכנון מתחם הר' 2200</v>
      </c>
      <c r="D7" s="4">
        <f>'תקציב הנדסה 2025 '!D9</f>
        <v>6637000</v>
      </c>
      <c r="E7" s="4">
        <f>'תקציב הנדסה 2025 '!E9</f>
        <v>6637000</v>
      </c>
      <c r="F7" s="495">
        <f>'תקציב הנדסה 2025 '!F9</f>
        <v>0</v>
      </c>
      <c r="G7" s="4">
        <f>'תקציב הנדסה 2025 '!G9</f>
        <v>6650000</v>
      </c>
      <c r="H7" s="4">
        <f>'תקציב הנדסה 2025 '!H9</f>
        <v>6636801</v>
      </c>
      <c r="I7" s="4">
        <f>'תקציב הנדסה 2025 '!I9</f>
        <v>0</v>
      </c>
      <c r="J7" s="4">
        <f>'תקציב הנדסה 2025 '!J9</f>
        <v>0</v>
      </c>
      <c r="K7" s="4">
        <f>'תקציב הנדסה 2025 '!K9</f>
        <v>0</v>
      </c>
      <c r="L7" s="4">
        <f>'תקציב הנדסה 2025 '!L9</f>
        <v>6636801</v>
      </c>
      <c r="M7" s="495">
        <f>'תקציב הנדסה 2025 '!M9</f>
        <v>199</v>
      </c>
      <c r="N7" s="497">
        <f>'תקציב הנדסה 2025 '!N9</f>
        <v>0</v>
      </c>
      <c r="O7" s="4">
        <f>'תקציב הנדסה 2025 '!O9</f>
        <v>0</v>
      </c>
      <c r="P7" s="4">
        <f>'תקציב הנדסה 2025 '!P9</f>
        <v>13199</v>
      </c>
      <c r="Q7" s="310">
        <f>'תקציב הנדסה 2025 '!Q9</f>
        <v>0</v>
      </c>
      <c r="R7" s="4">
        <f>'תקציב הנדסה 2025 '!R9</f>
        <v>-13000</v>
      </c>
      <c r="S7" s="4">
        <f>'תקציב הנדסה 2025 '!S9</f>
        <v>-13000</v>
      </c>
      <c r="T7" s="495">
        <f>'תקציב הנדסה 2025 '!T9</f>
        <v>0</v>
      </c>
      <c r="U7" s="4">
        <f>'תקציב הנדסה 2025 '!U9</f>
        <v>0</v>
      </c>
      <c r="V7" s="4">
        <f>'תקציב הנדסה 2025 '!V9</f>
        <v>0</v>
      </c>
      <c r="W7" s="4">
        <f>'תקציב הנדסה 2025 '!W9</f>
        <v>0</v>
      </c>
      <c r="X7" s="4">
        <f>'תקציב הנדסה 2025 '!X9</f>
        <v>0</v>
      </c>
      <c r="Y7" s="4">
        <f>'תקציב הנדסה 2025 '!Y9</f>
        <v>0</v>
      </c>
      <c r="Z7" s="4">
        <f>'תקציב הנדסה 2025 '!Z9</f>
        <v>0</v>
      </c>
      <c r="AA7" s="3">
        <f>'תקציב הנדסה 2025 '!AA9</f>
        <v>0</v>
      </c>
      <c r="AB7" s="202" t="str">
        <f>'תקציב הנדסה 2025 '!AB9</f>
        <v xml:space="preserve"> תכנון מתחם חוף התכלת. מימון רמ"י.(ממתין  לתקבול רמ"י) .התב"ר לסגירה.</v>
      </c>
      <c r="AC7" s="3">
        <f>'תקציב הנדסה 2025 '!AC9</f>
        <v>732000</v>
      </c>
      <c r="AD7" s="18"/>
      <c r="AE7" s="18"/>
      <c r="AF7" s="18"/>
      <c r="AG7" s="18"/>
      <c r="AH7" s="18"/>
      <c r="AI7" s="18"/>
      <c r="AJ7" s="484"/>
      <c r="AK7" s="484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</row>
    <row r="8" spans="1:64" s="5" customFormat="1" ht="30">
      <c r="A8" s="3">
        <f t="shared" si="0"/>
        <v>3</v>
      </c>
      <c r="B8" s="3">
        <f>'תקציב הנדסה 2025 '!B11</f>
        <v>1220</v>
      </c>
      <c r="C8" s="202" t="str">
        <f>'תקציב הנדסה 2025 '!C11</f>
        <v>תכנונים כלליים</v>
      </c>
      <c r="D8" s="4">
        <f>'תקציב הנדסה 2025 '!D11</f>
        <v>8260000</v>
      </c>
      <c r="E8" s="4">
        <f>'תקציב הנדסה 2025 '!E11</f>
        <v>7260000</v>
      </c>
      <c r="F8" s="495">
        <f>'תקציב הנדסה 2025 '!F11</f>
        <v>1000000</v>
      </c>
      <c r="G8" s="4">
        <f>'תקציב הנדסה 2025 '!G11</f>
        <v>6671000</v>
      </c>
      <c r="H8" s="4">
        <f>'תקציב הנדסה 2025 '!H11</f>
        <v>6259382</v>
      </c>
      <c r="I8" s="4">
        <f>'תקציב הנדסה 2025 '!I11</f>
        <v>6436</v>
      </c>
      <c r="J8" s="4">
        <f>'תקציב הנדסה 2025 '!J11</f>
        <v>373994</v>
      </c>
      <c r="K8" s="4">
        <f>'תקציב הנדסה 2025 '!K11</f>
        <v>380430</v>
      </c>
      <c r="L8" s="4">
        <f>'תקציב הנדסה 2025 '!L11</f>
        <v>6639812</v>
      </c>
      <c r="M8" s="495">
        <f>'תקציב הנדסה 2025 '!M11</f>
        <v>231188</v>
      </c>
      <c r="N8" s="4">
        <f>'תקציב הנדסה 2025 '!N11</f>
        <v>500000</v>
      </c>
      <c r="O8" s="4">
        <f>'תקציב הנדסה 2025 '!O11</f>
        <v>889000</v>
      </c>
      <c r="P8" s="4">
        <f>'תקציב הנדסה 2025 '!P11</f>
        <v>31188</v>
      </c>
      <c r="Q8" s="310">
        <f>'תקציב הנדסה 2025 '!Q11</f>
        <v>0</v>
      </c>
      <c r="R8" s="4">
        <f>'תקציב הנדסה 2025 '!R11</f>
        <v>200000</v>
      </c>
      <c r="S8" s="4">
        <f>'תקציב הנדסה 2025 '!S11</f>
        <v>200000</v>
      </c>
      <c r="T8" s="495">
        <f>'תקציב הנדסה 2025 '!T11</f>
        <v>0</v>
      </c>
      <c r="U8" s="4">
        <f>'תקציב הנדסה 2025 '!U11</f>
        <v>500000</v>
      </c>
      <c r="V8" s="4">
        <f>'תקציב הנדסה 2025 '!V11</f>
        <v>500000</v>
      </c>
      <c r="W8" s="4">
        <f>'תקציב הנדסה 2025 '!W11</f>
        <v>0</v>
      </c>
      <c r="X8" s="4">
        <f>'תקציב הנדסה 2025 '!X11</f>
        <v>0</v>
      </c>
      <c r="Y8" s="4">
        <f>'תקציב הנדסה 2025 '!Y11</f>
        <v>0</v>
      </c>
      <c r="Z8" s="4">
        <f>'תקציב הנדסה 2025 '!Z11</f>
        <v>0</v>
      </c>
      <c r="AA8" s="3">
        <f>'תקציב הנדסה 2025 '!AA11</f>
        <v>0</v>
      </c>
      <c r="AB8" s="202" t="str">
        <f>'תקציב הנדסה 2025 '!AB11</f>
        <v>סל תכנון של תוכניות ופרויקטים, מדידות ותכנון ראשוני.</v>
      </c>
      <c r="AC8" s="3">
        <f>'תקציב הנדסה 2025 '!AC11</f>
        <v>732000</v>
      </c>
      <c r="AD8" s="18"/>
      <c r="AE8" s="18"/>
      <c r="AF8" s="18"/>
      <c r="AG8" s="18"/>
      <c r="AH8" s="18"/>
      <c r="AI8" s="18"/>
      <c r="AJ8" s="484"/>
      <c r="AK8" s="484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</row>
    <row r="9" spans="1:64" s="6" customFormat="1" ht="43.5" customHeight="1">
      <c r="A9" s="3">
        <f t="shared" si="0"/>
        <v>4</v>
      </c>
      <c r="B9" s="3">
        <f>'תקציב הנדסה 2025 '!B13</f>
        <v>1406</v>
      </c>
      <c r="C9" s="202" t="str">
        <f>'תקציב הנדסה 2025 '!C13</f>
        <v>שימור אתרים</v>
      </c>
      <c r="D9" s="4">
        <f>'תקציב הנדסה 2025 '!D13</f>
        <v>1250000</v>
      </c>
      <c r="E9" s="4">
        <f>'תקציב הנדסה 2025 '!E13</f>
        <v>1250000</v>
      </c>
      <c r="F9" s="495">
        <f>'תקציב הנדסה 2025 '!F13</f>
        <v>0</v>
      </c>
      <c r="G9" s="4">
        <f>'תקציב הנדסה 2025 '!G13</f>
        <v>1250000</v>
      </c>
      <c r="H9" s="4">
        <f>'תקציב הנדסה 2025 '!H13</f>
        <v>1225877</v>
      </c>
      <c r="I9" s="4">
        <f>'תקציב הנדסה 2025 '!I13</f>
        <v>0</v>
      </c>
      <c r="J9" s="4">
        <f>'תקציב הנדסה 2025 '!J13</f>
        <v>24123</v>
      </c>
      <c r="K9" s="4">
        <f>'תקציב הנדסה 2025 '!K13</f>
        <v>24123</v>
      </c>
      <c r="L9" s="4">
        <f>'תקציב הנדסה 2025 '!L13</f>
        <v>1250000</v>
      </c>
      <c r="M9" s="495">
        <f>'תקציב הנדסה 2025 '!M13</f>
        <v>0</v>
      </c>
      <c r="N9" s="4">
        <f>'תקציב הנדסה 2025 '!N13</f>
        <v>0</v>
      </c>
      <c r="O9" s="4">
        <f>'תקציב הנדסה 2025 '!O13</f>
        <v>0</v>
      </c>
      <c r="P9" s="4">
        <f>'תקציב הנדסה 2025 '!P13</f>
        <v>0</v>
      </c>
      <c r="Q9" s="310">
        <f>'תקציב הנדסה 2025 '!Q13</f>
        <v>0</v>
      </c>
      <c r="R9" s="4">
        <f>'תקציב הנדסה 2025 '!R13</f>
        <v>0</v>
      </c>
      <c r="S9" s="4">
        <f>'תקציב הנדסה 2025 '!S13</f>
        <v>0</v>
      </c>
      <c r="T9" s="495">
        <f>'תקציב הנדסה 2025 '!T13</f>
        <v>0</v>
      </c>
      <c r="U9" s="4">
        <f>'תקציב הנדסה 2025 '!U13</f>
        <v>0</v>
      </c>
      <c r="V9" s="4">
        <f>'תקציב הנדסה 2025 '!V13</f>
        <v>0</v>
      </c>
      <c r="W9" s="4">
        <f>'תקציב הנדסה 2025 '!W13</f>
        <v>0</v>
      </c>
      <c r="X9" s="4">
        <f>'תקציב הנדסה 2025 '!X13</f>
        <v>0</v>
      </c>
      <c r="Y9" s="4">
        <f>'תקציב הנדסה 2025 '!Y13</f>
        <v>0</v>
      </c>
      <c r="Z9" s="4">
        <f>'תקציב הנדסה 2025 '!Z13</f>
        <v>0</v>
      </c>
      <c r="AA9" s="3">
        <f>'תקציב הנדסה 2025 '!AA13</f>
        <v>0</v>
      </c>
      <c r="AB9" s="202" t="str">
        <f>'תקציב הנדסה 2025 '!AB13</f>
        <v>סל תכנון הכנת תב"עות לשימור אתרים, תיקי תיעוד. השלמת תנאים למתן תוקף.  חן סופיים. התב"ר לסגירה.</v>
      </c>
      <c r="AC9" s="3">
        <f>'תקציב הנדסה 2025 '!AC13</f>
        <v>732000</v>
      </c>
      <c r="AD9" s="18"/>
      <c r="AE9" s="18"/>
      <c r="AF9" s="18"/>
      <c r="AG9" s="18"/>
      <c r="AH9" s="18"/>
      <c r="AI9" s="18"/>
      <c r="AJ9" s="484"/>
      <c r="AK9" s="484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23"/>
      <c r="AW9" s="123"/>
      <c r="AX9" s="123"/>
      <c r="AY9" s="123"/>
      <c r="AZ9" s="123"/>
      <c r="BA9" s="123"/>
      <c r="BB9" s="123"/>
      <c r="BC9" s="123"/>
      <c r="BD9" s="256"/>
      <c r="BE9" s="256"/>
      <c r="BF9" s="256"/>
      <c r="BG9" s="256"/>
      <c r="BH9" s="256"/>
      <c r="BI9" s="256"/>
      <c r="BJ9" s="256"/>
      <c r="BK9" s="256"/>
      <c r="BL9" s="256"/>
    </row>
    <row r="10" spans="1:64" s="5" customFormat="1" ht="45">
      <c r="A10" s="3">
        <f t="shared" si="0"/>
        <v>5</v>
      </c>
      <c r="B10" s="3">
        <f>'תקציב הנדסה 2025 '!B14</f>
        <v>1407</v>
      </c>
      <c r="C10" s="202" t="str">
        <f>'תקציב הנדסה 2025 '!C14</f>
        <v>תב"עות קטנות</v>
      </c>
      <c r="D10" s="4">
        <f>'תקציב הנדסה 2025 '!D14</f>
        <v>5295000</v>
      </c>
      <c r="E10" s="4">
        <f>'תקציב הנדסה 2025 '!E14</f>
        <v>5295000</v>
      </c>
      <c r="F10" s="495">
        <f>'תקציב הנדסה 2025 '!F14</f>
        <v>0</v>
      </c>
      <c r="G10" s="4">
        <f>'תקציב הנדסה 2025 '!G14</f>
        <v>3965000</v>
      </c>
      <c r="H10" s="4">
        <f>'תקציב הנדסה 2025 '!H14</f>
        <v>3185955</v>
      </c>
      <c r="I10" s="4">
        <f>'תקציב הנדסה 2025 '!I14</f>
        <v>81274</v>
      </c>
      <c r="J10" s="4">
        <f>'תקציב הנדסה 2025 '!J14</f>
        <v>685358</v>
      </c>
      <c r="K10" s="4">
        <f>'תקציב הנדסה 2025 '!K14</f>
        <v>766632</v>
      </c>
      <c r="L10" s="4">
        <f>'תקציב הנדסה 2025 '!L14</f>
        <v>3952587</v>
      </c>
      <c r="M10" s="495">
        <f>'תקציב הנדסה 2025 '!M14</f>
        <v>76413</v>
      </c>
      <c r="N10" s="4">
        <f>'תקציב הנדסה 2025 '!N14</f>
        <v>500000</v>
      </c>
      <c r="O10" s="4">
        <f>'תקציב הנדסה 2025 '!O14</f>
        <v>766000</v>
      </c>
      <c r="P10" s="4">
        <f>'תקציב הנדסה 2025 '!P14</f>
        <v>12413</v>
      </c>
      <c r="Q10" s="310">
        <f>'תקציב הנדסה 2025 '!Q14</f>
        <v>0</v>
      </c>
      <c r="R10" s="4">
        <f>'תקציב הנדסה 2025 '!R14</f>
        <v>64000</v>
      </c>
      <c r="S10" s="4">
        <f>'תקציב הנדסה 2025 '!S14</f>
        <v>64000</v>
      </c>
      <c r="T10" s="495">
        <f>'תקציב הנדסה 2025 '!T14</f>
        <v>0</v>
      </c>
      <c r="U10" s="4">
        <f>'תקציב הנדסה 2025 '!U14</f>
        <v>500000</v>
      </c>
      <c r="V10" s="4">
        <f>'תקציב הנדסה 2025 '!V14</f>
        <v>500000</v>
      </c>
      <c r="W10" s="4">
        <f>'תקציב הנדסה 2025 '!W14</f>
        <v>0</v>
      </c>
      <c r="X10" s="4">
        <f>'תקציב הנדסה 2025 '!X14</f>
        <v>0</v>
      </c>
      <c r="Y10" s="4">
        <f>'תקציב הנדסה 2025 '!Y14</f>
        <v>0</v>
      </c>
      <c r="Z10" s="4">
        <f>'תקציב הנדסה 2025 '!Z14</f>
        <v>0</v>
      </c>
      <c r="AA10" s="3">
        <f>'תקציב הנדסה 2025 '!AA14</f>
        <v>0</v>
      </c>
      <c r="AB10" s="202" t="str">
        <f>'תקציב הנדסה 2025 '!AB14</f>
        <v>סל תכנון של תב"עות הנדרשות במהלך השנה כולל  תוכניות גגות מרתפים מבנים ציבוריים.</v>
      </c>
      <c r="AC10" s="3">
        <f>'תקציב הנדסה 2025 '!AC14</f>
        <v>732000</v>
      </c>
      <c r="AD10" s="18"/>
      <c r="AE10" s="18"/>
      <c r="AF10" s="18"/>
      <c r="AG10" s="18"/>
      <c r="AH10" s="18"/>
      <c r="AI10" s="18"/>
      <c r="AJ10" s="484"/>
      <c r="AK10" s="484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6"/>
      <c r="BF10" s="6"/>
      <c r="BG10" s="6"/>
      <c r="BH10" s="6"/>
      <c r="BI10" s="6"/>
      <c r="BJ10" s="6"/>
      <c r="BK10" s="6"/>
      <c r="BL10" s="6"/>
    </row>
    <row r="11" spans="1:64" s="5" customFormat="1" ht="45" customHeight="1">
      <c r="A11" s="3">
        <f t="shared" si="0"/>
        <v>6</v>
      </c>
      <c r="B11" s="3">
        <f>'תקציב הנדסה 2025 '!B15</f>
        <v>1409</v>
      </c>
      <c r="C11" s="496" t="str">
        <f>'תקציב הנדסה 2025 '!C15</f>
        <v xml:space="preserve">תוכנית המתאר הכוללנית </v>
      </c>
      <c r="D11" s="4">
        <f>'תקציב הנדסה 2025 '!D15</f>
        <v>7680000</v>
      </c>
      <c r="E11" s="4">
        <f>'תקציב הנדסה 2025 '!E15</f>
        <v>7680000</v>
      </c>
      <c r="F11" s="495">
        <f>'תקציב הנדסה 2025 '!F15</f>
        <v>0</v>
      </c>
      <c r="G11" s="4">
        <f>'תקציב הנדסה 2025 '!G15</f>
        <v>6515000</v>
      </c>
      <c r="H11" s="4">
        <f>'תקציב הנדסה 2025 '!H15</f>
        <v>5099564</v>
      </c>
      <c r="I11" s="4">
        <f>'תקציב הנדסה 2025 '!I15</f>
        <v>1314720</v>
      </c>
      <c r="J11" s="4">
        <f>'תקציב הנדסה 2025 '!J15</f>
        <v>0</v>
      </c>
      <c r="K11" s="4">
        <f>'תקציב הנדסה 2025 '!K15</f>
        <v>1314720</v>
      </c>
      <c r="L11" s="4">
        <f>'תקציב הנדסה 2025 '!L15</f>
        <v>6414284</v>
      </c>
      <c r="M11" s="605">
        <f>'תקציב הנדסה 2025 '!M15</f>
        <v>100716</v>
      </c>
      <c r="N11" s="4">
        <f>'תקציב הנדסה 2025 '!N15</f>
        <v>950000</v>
      </c>
      <c r="O11" s="4">
        <f>'תקציב הנדסה 2025 '!O15</f>
        <v>215000</v>
      </c>
      <c r="P11" s="4">
        <f>'תקציב הנדסה 2025 '!P15</f>
        <v>100716</v>
      </c>
      <c r="Q11" s="310">
        <f>'תקציב הנדסה 2025 '!Q15</f>
        <v>0</v>
      </c>
      <c r="R11" s="4">
        <f>'תקציב הנדסה 2025 '!R15</f>
        <v>0</v>
      </c>
      <c r="S11" s="4">
        <f>'תקציב הנדסה 2025 '!S15</f>
        <v>0</v>
      </c>
      <c r="T11" s="495">
        <f>'תקציב הנדסה 2025 '!T15</f>
        <v>0</v>
      </c>
      <c r="U11" s="4">
        <f>'תקציב הנדסה 2025 '!U15</f>
        <v>950000</v>
      </c>
      <c r="V11" s="4">
        <f>'תקציב הנדסה 2025 '!V15</f>
        <v>950000</v>
      </c>
      <c r="W11" s="4">
        <f>'תקציב הנדסה 2025 '!W15</f>
        <v>0</v>
      </c>
      <c r="X11" s="4">
        <f>'תקציב הנדסה 2025 '!X15</f>
        <v>0</v>
      </c>
      <c r="Y11" s="4">
        <f>'תקציב הנדסה 2025 '!Y15</f>
        <v>0</v>
      </c>
      <c r="Z11" s="4">
        <f>'תקציב הנדסה 2025 '!Z15</f>
        <v>0</v>
      </c>
      <c r="AA11" s="3">
        <f>'תקציב הנדסה 2025 '!AA15</f>
        <v>0</v>
      </c>
      <c r="AB11" s="202" t="str">
        <f>'תקציב הנדסה 2025 '!AB15</f>
        <v xml:space="preserve">הכנת תוכנית מתאר כוללנית על מנת לאפשר לעיריה לתכנן תוכניות בסמכות וועדה מקומית. </v>
      </c>
      <c r="AC11" s="3">
        <f>'תקציב הנדסה 2025 '!AC15</f>
        <v>732000</v>
      </c>
      <c r="AD11" s="18"/>
      <c r="AE11" s="18"/>
      <c r="AF11" s="18"/>
      <c r="AG11" s="18"/>
      <c r="AH11" s="18"/>
      <c r="AI11" s="18"/>
      <c r="AJ11" s="484"/>
      <c r="AK11" s="484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</row>
    <row r="12" spans="1:64" s="6" customFormat="1" ht="27.75" customHeight="1">
      <c r="A12" s="3">
        <f t="shared" si="0"/>
        <v>7</v>
      </c>
      <c r="B12" s="3">
        <f>'תקציב הנדסה 2025 '!B16</f>
        <v>1466</v>
      </c>
      <c r="C12" s="202" t="str">
        <f>'תקציב הנדסה 2025 '!C16</f>
        <v>תמ"א 38</v>
      </c>
      <c r="D12" s="4">
        <f>'תקציב הנדסה 2025 '!D16</f>
        <v>2200000</v>
      </c>
      <c r="E12" s="4">
        <f>'תקציב הנדסה 2025 '!E16</f>
        <v>2200000</v>
      </c>
      <c r="F12" s="495">
        <f>'תקציב הנדסה 2025 '!F16</f>
        <v>0</v>
      </c>
      <c r="G12" s="4">
        <f>'תקציב הנדסה 2025 '!G16</f>
        <v>1600000</v>
      </c>
      <c r="H12" s="4">
        <f>'תקציב הנדסה 2025 '!H16</f>
        <v>1382248</v>
      </c>
      <c r="I12" s="4">
        <f>'תקציב הנדסה 2025 '!I16</f>
        <v>0</v>
      </c>
      <c r="J12" s="4">
        <f>'תקציב הנדסה 2025 '!J16</f>
        <v>196475</v>
      </c>
      <c r="K12" s="4">
        <f>'תקציב הנדסה 2025 '!K16</f>
        <v>196475</v>
      </c>
      <c r="L12" s="4">
        <f>'תקציב הנדסה 2025 '!L16</f>
        <v>1578723</v>
      </c>
      <c r="M12" s="495">
        <f>'תקציב הנדסה 2025 '!M16</f>
        <v>1277</v>
      </c>
      <c r="N12" s="4">
        <f>'תקציב הנדסה 2025 '!N16</f>
        <v>70000</v>
      </c>
      <c r="O12" s="4">
        <f>'תקציב הנדסה 2025 '!O16</f>
        <v>550000</v>
      </c>
      <c r="P12" s="4">
        <f>'תקציב הנדסה 2025 '!P16</f>
        <v>21277</v>
      </c>
      <c r="Q12" s="310">
        <f>'תקציב הנדסה 2025 '!Q16</f>
        <v>0</v>
      </c>
      <c r="R12" s="4">
        <f>'תקציב הנדסה 2025 '!R16</f>
        <v>0</v>
      </c>
      <c r="S12" s="4">
        <f>'תקציב הנדסה 2025 '!S16</f>
        <v>0</v>
      </c>
      <c r="T12" s="495">
        <f>'תקציב הנדסה 2025 '!T16</f>
        <v>20000</v>
      </c>
      <c r="U12" s="4">
        <f>'תקציב הנדסה 2025 '!U16</f>
        <v>50000</v>
      </c>
      <c r="V12" s="4">
        <f>'תקציב הנדסה 2025 '!V16</f>
        <v>50000</v>
      </c>
      <c r="W12" s="4">
        <f>'תקציב הנדסה 2025 '!W16</f>
        <v>0</v>
      </c>
      <c r="X12" s="4">
        <f>'תקציב הנדסה 2025 '!X16</f>
        <v>0</v>
      </c>
      <c r="Y12" s="4">
        <f>'תקציב הנדסה 2025 '!Y16</f>
        <v>0</v>
      </c>
      <c r="Z12" s="4">
        <f>'תקציב הנדסה 2025 '!Z16</f>
        <v>0</v>
      </c>
      <c r="AA12" s="3">
        <f>'תקציב הנדסה 2025 '!AA16</f>
        <v>0</v>
      </c>
      <c r="AB12" s="202" t="str">
        <f>'תקציב הנדסה 2025 '!AB16</f>
        <v>העצמת הזכויות הנוספות לבנינים לצורך הגברת הכדאיות של ביצוע חיזוק מבנים. בדיקת מבנים קיימים להיתכנות תמ"א.</v>
      </c>
      <c r="AC12" s="3">
        <f>'תקציב הנדסה 2025 '!AC16</f>
        <v>732000</v>
      </c>
      <c r="AD12" s="18"/>
      <c r="AE12" s="18"/>
      <c r="AF12" s="18"/>
      <c r="AG12" s="18"/>
      <c r="AH12" s="18"/>
      <c r="AI12" s="18"/>
      <c r="AJ12" s="484"/>
      <c r="AK12" s="484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</row>
    <row r="13" spans="1:64" s="5" customFormat="1" ht="47.25" customHeight="1">
      <c r="A13" s="3">
        <f t="shared" si="0"/>
        <v>8</v>
      </c>
      <c r="B13" s="3">
        <f>'תקציב הנדסה 2025 '!B18</f>
        <v>1551</v>
      </c>
      <c r="C13" s="202" t="str">
        <f>'תקציב הנדסה 2025 '!C18</f>
        <v xml:space="preserve">צפון הרצליה תמ"ל 3006 </v>
      </c>
      <c r="D13" s="4">
        <f>'תקציב הנדסה 2025 '!D18</f>
        <v>525240</v>
      </c>
      <c r="E13" s="4">
        <f>'תקציב הנדסה 2025 '!E18</f>
        <v>525240</v>
      </c>
      <c r="F13" s="495">
        <f>'תקציב הנדסה 2025 '!F18</f>
        <v>0</v>
      </c>
      <c r="G13" s="4">
        <f>'תקציב הנדסה 2025 '!G18</f>
        <v>275240</v>
      </c>
      <c r="H13" s="4">
        <f>'תקציב הנדסה 2025 '!H18</f>
        <v>237203</v>
      </c>
      <c r="I13" s="4">
        <f>'תקציב הנדסה 2025 '!I18</f>
        <v>7492</v>
      </c>
      <c r="J13" s="4">
        <f>'תקציב הנדסה 2025 '!J18</f>
        <v>0</v>
      </c>
      <c r="K13" s="4">
        <f>'תקציב הנדסה 2025 '!K18</f>
        <v>7492</v>
      </c>
      <c r="L13" s="4">
        <f>'תקציב הנדסה 2025 '!L18</f>
        <v>244695</v>
      </c>
      <c r="M13" s="495">
        <f>'תקציב הנדסה 2025 '!M18</f>
        <v>30545</v>
      </c>
      <c r="N13" s="4">
        <f>'תקציב הנדסה 2025 '!N18</f>
        <v>100000</v>
      </c>
      <c r="O13" s="4">
        <f>'תקציב הנדסה 2025 '!O18</f>
        <v>150000</v>
      </c>
      <c r="P13" s="4">
        <f>'תקציב הנדסה 2025 '!P18</f>
        <v>30545</v>
      </c>
      <c r="Q13" s="310">
        <f>'תקציב הנדסה 2025 '!Q18</f>
        <v>0</v>
      </c>
      <c r="R13" s="4">
        <f>'תקציב הנדסה 2025 '!R18</f>
        <v>0</v>
      </c>
      <c r="S13" s="4">
        <f>'תקציב הנדסה 2025 '!S18</f>
        <v>0</v>
      </c>
      <c r="T13" s="495">
        <f>'תקציב הנדסה 2025 '!T18</f>
        <v>0</v>
      </c>
      <c r="U13" s="4">
        <f>'תקציב הנדסה 2025 '!U18</f>
        <v>100000</v>
      </c>
      <c r="V13" s="4">
        <f>'תקציב הנדסה 2025 '!V18</f>
        <v>100000</v>
      </c>
      <c r="W13" s="4">
        <f>'תקציב הנדסה 2025 '!W18</f>
        <v>0</v>
      </c>
      <c r="X13" s="4">
        <f>'תקציב הנדסה 2025 '!X18</f>
        <v>0</v>
      </c>
      <c r="Y13" s="4">
        <f>'תקציב הנדסה 2025 '!Y18</f>
        <v>0</v>
      </c>
      <c r="Z13" s="4">
        <f>'תקציב הנדסה 2025 '!Z18</f>
        <v>0</v>
      </c>
      <c r="AA13" s="3">
        <f>'תקציב הנדסה 2025 '!AA18</f>
        <v>0</v>
      </c>
      <c r="AB13" s="202" t="str">
        <f>'תקציב הנדסה 2025 '!AB18</f>
        <v xml:space="preserve">הכנת חוו"ד תכנונית והערכות להתנגדות לתוכנית שמקדם מינהל התכנון והועדה המחוזית לכל צפון הרצליה ללא שיתוף העירייה. </v>
      </c>
      <c r="AC13" s="3">
        <f>'תקציב הנדסה 2025 '!AC18</f>
        <v>732000</v>
      </c>
      <c r="AD13" s="18"/>
      <c r="AE13" s="18"/>
      <c r="AF13" s="18"/>
      <c r="AG13" s="18"/>
      <c r="AH13" s="18"/>
      <c r="AI13" s="18"/>
      <c r="AJ13" s="484"/>
      <c r="AK13" s="484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</row>
    <row r="14" spans="1:64" s="6" customFormat="1" ht="75">
      <c r="A14" s="3">
        <f t="shared" si="0"/>
        <v>9</v>
      </c>
      <c r="B14" s="3">
        <f>'תקציב הנדסה 2025 '!B21</f>
        <v>1660</v>
      </c>
      <c r="C14" s="202" t="str">
        <f>'תקציב הנדסה 2025 '!C21</f>
        <v>תכנון פרויקטים פינוי בינוי</v>
      </c>
      <c r="D14" s="4">
        <f>'תקציב הנדסה 2025 '!D21</f>
        <v>2082000</v>
      </c>
      <c r="E14" s="4">
        <f>'תקציב הנדסה 2025 '!E21</f>
        <v>2000000</v>
      </c>
      <c r="F14" s="495">
        <f>'תקציב הנדסה 2025 '!F21</f>
        <v>82000</v>
      </c>
      <c r="G14" s="4">
        <f>'תקציב הנדסה 2025 '!G21</f>
        <v>1182000</v>
      </c>
      <c r="H14" s="4">
        <f>'תקציב הנדסה 2025 '!H21</f>
        <v>449003</v>
      </c>
      <c r="I14" s="4">
        <f>'תקציב הנדסה 2025 '!I21</f>
        <v>102960</v>
      </c>
      <c r="J14" s="4">
        <f>'תקציב הנדסה 2025 '!J21</f>
        <v>624257</v>
      </c>
      <c r="K14" s="4">
        <f>'תקציב הנדסה 2025 '!K21</f>
        <v>727217</v>
      </c>
      <c r="L14" s="4">
        <f>'תקציב הנדסה 2025 '!L21</f>
        <v>1176220</v>
      </c>
      <c r="M14" s="495">
        <f>'תקציב הנדסה 2025 '!M21</f>
        <v>155780</v>
      </c>
      <c r="N14" s="4">
        <f>'תקציב הנדסה 2025 '!N21</f>
        <v>500000</v>
      </c>
      <c r="O14" s="4">
        <f>'תקציב הנדסה 2025 '!O21</f>
        <v>250000</v>
      </c>
      <c r="P14" s="4">
        <f>'תקציב הנדסה 2025 '!P21</f>
        <v>5780</v>
      </c>
      <c r="Q14" s="310">
        <f>'תקציב הנדסה 2025 '!Q21</f>
        <v>0</v>
      </c>
      <c r="R14" s="4">
        <f>'תקציב הנדסה 2025 '!R21</f>
        <v>150000</v>
      </c>
      <c r="S14" s="4">
        <f>'תקציב הנדסה 2025 '!S21</f>
        <v>150000</v>
      </c>
      <c r="T14" s="495">
        <f>'תקציב הנדסה 2025 '!T21</f>
        <v>0</v>
      </c>
      <c r="U14" s="4">
        <f>'תקציב הנדסה 2025 '!U21</f>
        <v>500000</v>
      </c>
      <c r="V14" s="4">
        <f>'תקציב הנדסה 2025 '!V21</f>
        <v>500000</v>
      </c>
      <c r="W14" s="4">
        <f>'תקציב הנדסה 2025 '!W21</f>
        <v>0</v>
      </c>
      <c r="X14" s="4">
        <f>'תקציב הנדסה 2025 '!X21</f>
        <v>0</v>
      </c>
      <c r="Y14" s="4">
        <f>'תקציב הנדסה 2025 '!Y21</f>
        <v>0</v>
      </c>
      <c r="Z14" s="4">
        <f>'תקציב הנדסה 2025 '!Z21</f>
        <v>0</v>
      </c>
      <c r="AA14" s="3">
        <f>'תקציב הנדסה 2025 '!AA21</f>
        <v>0</v>
      </c>
      <c r="AB14" s="202" t="str">
        <f>'תקציב הנדסה 2025 '!AB21</f>
        <v>בדיקת התכנות מתחמי פינוי בינוי ותכנון פרויקטים להתחדשות עירונית ופינוי בינוי.  לווי ובקרת העיריה ליוזמות ותכניות שמקודמות ע"י חברות פרטיות.</v>
      </c>
      <c r="AC14" s="3">
        <f>'תקציב הנדסה 2025 '!AC21</f>
        <v>732000</v>
      </c>
      <c r="AD14" s="18"/>
      <c r="AE14" s="18"/>
      <c r="AF14" s="18"/>
      <c r="AG14" s="18"/>
      <c r="AH14" s="18"/>
      <c r="AI14" s="18"/>
      <c r="AJ14" s="484"/>
      <c r="AK14" s="484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5"/>
      <c r="BF14" s="5"/>
      <c r="BG14" s="5"/>
      <c r="BH14" s="5"/>
      <c r="BI14" s="5"/>
      <c r="BJ14" s="5"/>
      <c r="BK14" s="5"/>
      <c r="BL14" s="5"/>
    </row>
    <row r="15" spans="1:64" s="6" customFormat="1" ht="51.75" customHeight="1">
      <c r="A15" s="3">
        <f t="shared" si="0"/>
        <v>10</v>
      </c>
      <c r="B15" s="3">
        <f>'תקציב הנדסה 2025 '!B22</f>
        <v>1701</v>
      </c>
      <c r="C15" s="202" t="str">
        <f>'תקציב הנדסה 2025 '!C22</f>
        <v>תב"ע הר' 2394 (לשעבר הר  2159 ) (*) עדכון רמת רזיאל</v>
      </c>
      <c r="D15" s="4">
        <f>'תקציב הנדסה 2025 '!D22</f>
        <v>1250000</v>
      </c>
      <c r="E15" s="4">
        <f>'תקציב הנדסה 2025 '!E22</f>
        <v>1250000</v>
      </c>
      <c r="F15" s="495">
        <f>'תקציב הנדסה 2025 '!F22</f>
        <v>0</v>
      </c>
      <c r="G15" s="4">
        <f>'תקציב הנדסה 2025 '!G22</f>
        <v>268000</v>
      </c>
      <c r="H15" s="4">
        <f>'תקציב הנדסה 2025 '!H22</f>
        <v>149316</v>
      </c>
      <c r="I15" s="4">
        <f>'תקציב הנדסה 2025 '!I22</f>
        <v>75117</v>
      </c>
      <c r="J15" s="4">
        <f>'תקציב הנדסה 2025 '!J22</f>
        <v>43110</v>
      </c>
      <c r="K15" s="4">
        <f>'תקציב הנדסה 2025 '!K22</f>
        <v>118227</v>
      </c>
      <c r="L15" s="4">
        <f>'תקציב הנדסה 2025 '!L22</f>
        <v>267543</v>
      </c>
      <c r="M15" s="495">
        <f>'תקציב הנדסה 2025 '!M22</f>
        <v>457</v>
      </c>
      <c r="N15" s="4">
        <f>'תקציב הנדסה 2025 '!N22</f>
        <v>100000</v>
      </c>
      <c r="O15" s="4">
        <f>'תקציב הנדסה 2025 '!O22</f>
        <v>882000</v>
      </c>
      <c r="P15" s="4">
        <f>'תקציב הנדסה 2025 '!P22</f>
        <v>457</v>
      </c>
      <c r="Q15" s="310">
        <f>'תקציב הנדסה 2025 '!Q22</f>
        <v>0</v>
      </c>
      <c r="R15" s="4">
        <f>'תקציב הנדסה 2025 '!R22</f>
        <v>0</v>
      </c>
      <c r="S15" s="4">
        <f>'תקציב הנדסה 2025 '!S22</f>
        <v>0</v>
      </c>
      <c r="T15" s="495">
        <f>'תקציב הנדסה 2025 '!T22</f>
        <v>0</v>
      </c>
      <c r="U15" s="4">
        <f>'תקציב הנדסה 2025 '!U22</f>
        <v>100000</v>
      </c>
      <c r="V15" s="4">
        <f>'תקציב הנדסה 2025 '!V22</f>
        <v>100000</v>
      </c>
      <c r="W15" s="4">
        <f>'תקציב הנדסה 2025 '!W22</f>
        <v>0</v>
      </c>
      <c r="X15" s="4">
        <f>'תקציב הנדסה 2025 '!X22</f>
        <v>0</v>
      </c>
      <c r="Y15" s="4">
        <f>'תקציב הנדסה 2025 '!Y22</f>
        <v>0</v>
      </c>
      <c r="Z15" s="4">
        <f>'תקציב הנדסה 2025 '!Z22</f>
        <v>0</v>
      </c>
      <c r="AA15" s="3">
        <f>'תקציב הנדסה 2025 '!AA22</f>
        <v>0</v>
      </c>
      <c r="AB15" s="202" t="str">
        <f>'תקציב הנדסה 2025 '!AB22</f>
        <v>תכנון תב"ע לשכונה חדשה בהרצליה הצעירה. שטח בגודל של כ - 50 דונם , כ - 300 יח"ד.  עדכון שם.</v>
      </c>
      <c r="AC15" s="3">
        <f>'תקציב הנדסה 2025 '!AC22</f>
        <v>732000</v>
      </c>
      <c r="AD15" s="18"/>
      <c r="AE15" s="18"/>
      <c r="AF15" s="18"/>
      <c r="AG15" s="18"/>
      <c r="AH15" s="18"/>
      <c r="AI15" s="18"/>
      <c r="AJ15" s="484"/>
      <c r="AK15" s="484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499"/>
      <c r="BF15" s="499"/>
      <c r="BG15" s="499"/>
      <c r="BH15" s="499"/>
      <c r="BI15" s="499"/>
      <c r="BJ15" s="499"/>
      <c r="BK15" s="499"/>
      <c r="BL15" s="499"/>
    </row>
    <row r="16" spans="1:64" s="6" customFormat="1" ht="64.5" customHeight="1">
      <c r="A16" s="3">
        <f t="shared" si="0"/>
        <v>11</v>
      </c>
      <c r="B16" s="3">
        <f>'תקציב הנדסה 2025 '!B24</f>
        <v>1756</v>
      </c>
      <c r="C16" s="202" t="str">
        <f>'תקציב הנדסה 2025 '!C24</f>
        <v xml:space="preserve">מסמכי מדיניות  ותוכניות אסטרטגיות להתחדשות עירונית בשכונות </v>
      </c>
      <c r="D16" s="4">
        <f>'תקציב הנדסה 2025 '!D24</f>
        <v>710000</v>
      </c>
      <c r="E16" s="4">
        <f>'תקציב הנדסה 2025 '!E24</f>
        <v>1700000</v>
      </c>
      <c r="F16" s="495">
        <f>'תקציב הנדסה 2025 '!F24</f>
        <v>-990000</v>
      </c>
      <c r="G16" s="4">
        <f>'תקציב הנדסה 2025 '!G24</f>
        <v>710000</v>
      </c>
      <c r="H16" s="4">
        <f>'תקציב הנדסה 2025 '!H24</f>
        <v>511535</v>
      </c>
      <c r="I16" s="4">
        <f>'תקציב הנדסה 2025 '!I24</f>
        <v>0</v>
      </c>
      <c r="J16" s="4">
        <f>'תקציב הנדסה 2025 '!J24</f>
        <v>192863</v>
      </c>
      <c r="K16" s="4">
        <f>'תקציב הנדסה 2025 '!K24</f>
        <v>192863</v>
      </c>
      <c r="L16" s="4">
        <f>'תקציב הנדסה 2025 '!L24</f>
        <v>704398</v>
      </c>
      <c r="M16" s="495">
        <f>'תקציב הנדסה 2025 '!M24</f>
        <v>5602</v>
      </c>
      <c r="N16" s="497">
        <f>'תקציב הנדסה 2025 '!N24</f>
        <v>0</v>
      </c>
      <c r="O16" s="4">
        <f>'תקציב הנדסה 2025 '!O24</f>
        <v>0</v>
      </c>
      <c r="P16" s="4">
        <f>'תקציב הנדסה 2025 '!P24</f>
        <v>5602</v>
      </c>
      <c r="Q16" s="310">
        <f>'תקציב הנדסה 2025 '!Q24</f>
        <v>0</v>
      </c>
      <c r="R16" s="4">
        <f>'תקציב הנדסה 2025 '!R24</f>
        <v>0</v>
      </c>
      <c r="S16" s="4">
        <f>'תקציב הנדסה 2025 '!S24</f>
        <v>0</v>
      </c>
      <c r="T16" s="495">
        <f>'תקציב הנדסה 2025 '!T24</f>
        <v>0</v>
      </c>
      <c r="U16" s="4">
        <f>'תקציב הנדסה 2025 '!U24</f>
        <v>0</v>
      </c>
      <c r="V16" s="4">
        <f>'תקציב הנדסה 2025 '!V24</f>
        <v>0</v>
      </c>
      <c r="W16" s="4">
        <f>'תקציב הנדסה 2025 '!W24</f>
        <v>0</v>
      </c>
      <c r="X16" s="4">
        <f>'תקציב הנדסה 2025 '!X24</f>
        <v>0</v>
      </c>
      <c r="Y16" s="4">
        <f>'תקציב הנדסה 2025 '!Y24</f>
        <v>0</v>
      </c>
      <c r="Z16" s="4">
        <f>'תקציב הנדסה 2025 '!Z24</f>
        <v>0</v>
      </c>
      <c r="AA16" s="3">
        <f>'תקציב הנדסה 2025 '!AA24</f>
        <v>0</v>
      </c>
      <c r="AB16" s="496" t="str">
        <f>'תקציב הנדסה 2025 '!AB24</f>
        <v>הכנת מסמכי מדיניות ותוכניות אסטרטגיה להתחדשות עירונית .</v>
      </c>
      <c r="AC16" s="3">
        <f>'תקציב הנדסה 2025 '!AC24</f>
        <v>732000</v>
      </c>
      <c r="AD16" s="18"/>
      <c r="AE16" s="18"/>
      <c r="AF16" s="18"/>
      <c r="AG16" s="18"/>
      <c r="AH16" s="18"/>
      <c r="AI16" s="18"/>
      <c r="AJ16" s="484"/>
      <c r="AK16" s="484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23"/>
      <c r="AW16" s="123"/>
      <c r="AX16" s="123"/>
      <c r="AY16" s="123"/>
      <c r="AZ16" s="123"/>
      <c r="BA16" s="123"/>
      <c r="BB16" s="123"/>
      <c r="BC16" s="123"/>
      <c r="BD16" s="256"/>
      <c r="BE16" s="256"/>
      <c r="BF16" s="256"/>
      <c r="BG16" s="256"/>
      <c r="BH16" s="256"/>
      <c r="BI16" s="256"/>
      <c r="BJ16" s="256"/>
      <c r="BK16" s="256"/>
      <c r="BL16" s="256"/>
    </row>
    <row r="17" spans="1:64" s="5" customFormat="1" ht="37.5" customHeight="1">
      <c r="A17" s="3">
        <f t="shared" si="0"/>
        <v>12</v>
      </c>
      <c r="B17" s="3">
        <f>'תקציב הנדסה 2025 '!B26</f>
        <v>2112</v>
      </c>
      <c r="C17" s="202" t="str">
        <f>'תקציב הנדסה 2025 '!C26</f>
        <v>סקר חריגות בניה ברחבי העיר</v>
      </c>
      <c r="D17" s="4">
        <f>'תקציב הנדסה 2025 '!D26</f>
        <v>7650000</v>
      </c>
      <c r="E17" s="4">
        <f>'תקציב הנדסה 2025 '!E26</f>
        <v>7650000</v>
      </c>
      <c r="F17" s="495">
        <f>'תקציב הנדסה 2025 '!F26</f>
        <v>0</v>
      </c>
      <c r="G17" s="4">
        <f>'תקציב הנדסה 2025 '!G26</f>
        <v>560000</v>
      </c>
      <c r="H17" s="4">
        <f>'תקציב הנדסה 2025 '!H26</f>
        <v>511352</v>
      </c>
      <c r="I17" s="4">
        <f>'תקציב הנדסה 2025 '!I26</f>
        <v>0</v>
      </c>
      <c r="J17" s="4">
        <f>'תקציב הנדסה 2025 '!J26</f>
        <v>11700</v>
      </c>
      <c r="K17" s="4">
        <f>'תקציב הנדסה 2025 '!K26</f>
        <v>11700</v>
      </c>
      <c r="L17" s="4">
        <f>'תקציב הנדסה 2025 '!L26</f>
        <v>523052</v>
      </c>
      <c r="M17" s="495">
        <f>'תקציב הנדסה 2025 '!M26</f>
        <v>36948</v>
      </c>
      <c r="N17" s="4">
        <f>'תקציב הנדסה 2025 '!N26</f>
        <v>100000</v>
      </c>
      <c r="O17" s="4">
        <f>'תקציב הנדסה 2025 '!O26</f>
        <v>6990000</v>
      </c>
      <c r="P17" s="4">
        <f>'תקציב הנדסה 2025 '!P26</f>
        <v>36948</v>
      </c>
      <c r="Q17" s="310">
        <f>'תקציב הנדסה 2025 '!Q26</f>
        <v>0</v>
      </c>
      <c r="R17" s="4">
        <f>'תקציב הנדסה 2025 '!R26</f>
        <v>0</v>
      </c>
      <c r="S17" s="4">
        <f>'תקציב הנדסה 2025 '!S26</f>
        <v>0</v>
      </c>
      <c r="T17" s="495">
        <f>'תקציב הנדסה 2025 '!T26</f>
        <v>0</v>
      </c>
      <c r="U17" s="4">
        <f>'תקציב הנדסה 2025 '!U26</f>
        <v>100000</v>
      </c>
      <c r="V17" s="4">
        <f>'תקציב הנדסה 2025 '!V26</f>
        <v>100000</v>
      </c>
      <c r="W17" s="4">
        <f>'תקציב הנדסה 2025 '!W26</f>
        <v>0</v>
      </c>
      <c r="X17" s="4">
        <f>'תקציב הנדסה 2025 '!X26</f>
        <v>0</v>
      </c>
      <c r="Y17" s="4">
        <f>'תקציב הנדסה 2025 '!Y26</f>
        <v>0</v>
      </c>
      <c r="Z17" s="4">
        <f>'תקציב הנדסה 2025 '!Z26</f>
        <v>0</v>
      </c>
      <c r="AA17" s="3">
        <f>'תקציב הנדסה 2025 '!AA26</f>
        <v>0</v>
      </c>
      <c r="AB17" s="202" t="str">
        <f>'תקציב הנדסה 2025 '!AB26</f>
        <v>ביצוע סקר חריגות בנייה עפ"י תיקון לחוק הרשויות. 2025 : פיענוח תצ"אות.</v>
      </c>
      <c r="AC17" s="3">
        <f>'תקציב הנדסה 2025 '!AC26</f>
        <v>732000</v>
      </c>
      <c r="AD17" s="18"/>
      <c r="AE17" s="18"/>
      <c r="AF17" s="18"/>
      <c r="AG17" s="18"/>
      <c r="AH17" s="18"/>
      <c r="AI17" s="18"/>
      <c r="AJ17" s="484"/>
      <c r="AK17" s="484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</row>
    <row r="18" spans="1:64" s="5" customFormat="1" ht="45">
      <c r="A18" s="3">
        <f t="shared" si="0"/>
        <v>13</v>
      </c>
      <c r="B18" s="3">
        <f>'תקציב הנדסה 2025 '!B27</f>
        <v>2113</v>
      </c>
      <c r="C18" s="202" t="str">
        <f>'תקציב הנדסה 2025 '!C27</f>
        <v>ביצוע הריסות עפ"י צווים</v>
      </c>
      <c r="D18" s="4">
        <f>'תקציב הנדסה 2025 '!D27</f>
        <v>2550000</v>
      </c>
      <c r="E18" s="4">
        <f>'תקציב הנדסה 2025 '!E27</f>
        <v>2550000</v>
      </c>
      <c r="F18" s="495">
        <f>'תקציב הנדסה 2025 '!F27</f>
        <v>0</v>
      </c>
      <c r="G18" s="4">
        <f>'תקציב הנדסה 2025 '!G27</f>
        <v>220000</v>
      </c>
      <c r="H18" s="4">
        <f>'תקציב הנדסה 2025 '!H27</f>
        <v>116513</v>
      </c>
      <c r="I18" s="4">
        <f>'תקציב הנדסה 2025 '!I27</f>
        <v>0</v>
      </c>
      <c r="J18" s="4">
        <f>'תקציב הנדסה 2025 '!J27</f>
        <v>14625</v>
      </c>
      <c r="K18" s="4">
        <f>'תקציב הנדסה 2025 '!K27</f>
        <v>14625</v>
      </c>
      <c r="L18" s="4">
        <f>'תקציב הנדסה 2025 '!L27</f>
        <v>131138</v>
      </c>
      <c r="M18" s="495">
        <f>'תקציב הנדסה 2025 '!M27</f>
        <v>88862</v>
      </c>
      <c r="N18" s="4">
        <f>'תקציב הנדסה 2025 '!N27</f>
        <v>200000</v>
      </c>
      <c r="O18" s="4">
        <f>'תקציב הנדסה 2025 '!O27</f>
        <v>2130000</v>
      </c>
      <c r="P18" s="4">
        <f>'תקציב הנדסה 2025 '!P27</f>
        <v>88862</v>
      </c>
      <c r="Q18" s="4">
        <f>'תקציב הנדסה 2025 '!Q27</f>
        <v>0</v>
      </c>
      <c r="R18" s="4">
        <f>'תקציב הנדסה 2025 '!R27</f>
        <v>0</v>
      </c>
      <c r="S18" s="4">
        <f>'תקציב הנדסה 2025 '!S27</f>
        <v>0</v>
      </c>
      <c r="T18" s="495">
        <f>'תקציב הנדסה 2025 '!T27</f>
        <v>0</v>
      </c>
      <c r="U18" s="4">
        <f>'תקציב הנדסה 2025 '!U27</f>
        <v>200000</v>
      </c>
      <c r="V18" s="4">
        <f>'תקציב הנדסה 2025 '!V27</f>
        <v>200000</v>
      </c>
      <c r="W18" s="4">
        <f>'תקציב הנדסה 2025 '!W27</f>
        <v>0</v>
      </c>
      <c r="X18" s="4">
        <f>'תקציב הנדסה 2025 '!X27</f>
        <v>0</v>
      </c>
      <c r="Y18" s="4">
        <f>'תקציב הנדסה 2025 '!Y27</f>
        <v>0</v>
      </c>
      <c r="Z18" s="4">
        <f>'תקציב הנדסה 2025 '!Z27</f>
        <v>0</v>
      </c>
      <c r="AA18" s="3">
        <f>'תקציב הנדסה 2025 '!AA27</f>
        <v>0</v>
      </c>
      <c r="AB18" s="202" t="str">
        <f>'תקציב הנדסה 2025 '!AB27</f>
        <v xml:space="preserve"> ביצוע צווים שיפוטיים וביצוע הריסות במקרים בהם לא בוצעו, ככל שיידרש בהמשך לסקר חריגות הבניה.</v>
      </c>
      <c r="AC18" s="3">
        <f>'תקציב הנדסה 2025 '!AC27</f>
        <v>732000</v>
      </c>
      <c r="AD18" s="18"/>
      <c r="AE18" s="18"/>
      <c r="AF18" s="18"/>
      <c r="AG18" s="18"/>
      <c r="AH18" s="18"/>
      <c r="AI18" s="18"/>
      <c r="AJ18" s="484"/>
      <c r="AK18" s="484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6"/>
      <c r="BF18" s="6"/>
      <c r="BG18" s="6"/>
      <c r="BH18" s="6"/>
      <c r="BI18" s="6"/>
      <c r="BJ18" s="6"/>
      <c r="BK18" s="6"/>
      <c r="BL18" s="6"/>
    </row>
    <row r="19" spans="1:64" s="5" customFormat="1" ht="45">
      <c r="A19" s="3">
        <f t="shared" si="0"/>
        <v>14</v>
      </c>
      <c r="B19" s="3">
        <f>'תקציב הנדסה 2025 '!B28</f>
        <v>2117</v>
      </c>
      <c r="C19" s="202" t="str">
        <f>'תקציב הנדסה 2025 '!C28</f>
        <v>שינוי תוכנית גליל ים א' ב' (=ט')</v>
      </c>
      <c r="D19" s="4">
        <f>'תקציב הנדסה 2025 '!D28</f>
        <v>750000</v>
      </c>
      <c r="E19" s="4">
        <f>'תקציב הנדסה 2025 '!E28</f>
        <v>750000</v>
      </c>
      <c r="F19" s="495">
        <f>'תקציב הנדסה 2025 '!F28</f>
        <v>0</v>
      </c>
      <c r="G19" s="4">
        <f>'תקציב הנדסה 2025 '!G28</f>
        <v>270000</v>
      </c>
      <c r="H19" s="4">
        <f>'תקציב הנדסה 2025 '!H28</f>
        <v>92721</v>
      </c>
      <c r="I19" s="4">
        <f>'תקציב הנדסה 2025 '!I28</f>
        <v>0</v>
      </c>
      <c r="J19" s="4">
        <f>'תקציב הנדסה 2025 '!J28</f>
        <v>119817</v>
      </c>
      <c r="K19" s="4">
        <f>'תקציב הנדסה 2025 '!K28</f>
        <v>119817</v>
      </c>
      <c r="L19" s="4">
        <f>'תקציב הנדסה 2025 '!L28</f>
        <v>212538</v>
      </c>
      <c r="M19" s="495">
        <f>'תקציב הנדסה 2025 '!M28</f>
        <v>7462</v>
      </c>
      <c r="N19" s="497">
        <f>'תקציב הנדסה 2025 '!N28</f>
        <v>50000</v>
      </c>
      <c r="O19" s="4">
        <f>'תקציב הנדסה 2025 '!O28</f>
        <v>480000</v>
      </c>
      <c r="P19" s="4">
        <f>'תקציב הנדסה 2025 '!P28</f>
        <v>57462</v>
      </c>
      <c r="Q19" s="310">
        <f>'תקציב הנדסה 2025 '!Q28</f>
        <v>0</v>
      </c>
      <c r="R19" s="4">
        <f>'תקציב הנדסה 2025 '!R28</f>
        <v>0</v>
      </c>
      <c r="S19" s="4">
        <f>'תקציב הנדסה 2025 '!S28</f>
        <v>0</v>
      </c>
      <c r="T19" s="495">
        <f>'תקציב הנדסה 2025 '!T28</f>
        <v>50000</v>
      </c>
      <c r="U19" s="4">
        <f>'תקציב הנדסה 2025 '!U28</f>
        <v>0</v>
      </c>
      <c r="V19" s="4">
        <f>'תקציב הנדסה 2025 '!V28</f>
        <v>0</v>
      </c>
      <c r="W19" s="4">
        <f>'תקציב הנדסה 2025 '!W28</f>
        <v>0</v>
      </c>
      <c r="X19" s="4">
        <f>'תקציב הנדסה 2025 '!X28</f>
        <v>0</v>
      </c>
      <c r="Y19" s="4">
        <f>'תקציב הנדסה 2025 '!Y28</f>
        <v>0</v>
      </c>
      <c r="Z19" s="4">
        <f>'תקציב הנדסה 2025 '!Z28</f>
        <v>0</v>
      </c>
      <c r="AA19" s="3">
        <f>'תקציב הנדסה 2025 '!AA28</f>
        <v>0</v>
      </c>
      <c r="AB19" s="202" t="str">
        <f>'תקציב הנדסה 2025 '!AB28</f>
        <v xml:space="preserve">שינוי לתוכנית הר' 1985 ב' עקב ריבוי יח"ד והצורך לספק שטחים ציבוריים בגינם. </v>
      </c>
      <c r="AC19" s="3">
        <f>'תקציב הנדסה 2025 '!AC28</f>
        <v>732000</v>
      </c>
      <c r="AD19" s="18"/>
      <c r="AE19" s="18"/>
      <c r="AF19" s="18"/>
      <c r="AG19" s="18"/>
      <c r="AH19" s="18"/>
      <c r="AI19" s="18"/>
      <c r="AJ19" s="484"/>
      <c r="AK19" s="484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6"/>
      <c r="BF19" s="6"/>
      <c r="BG19" s="6"/>
      <c r="BH19" s="6"/>
      <c r="BI19" s="6"/>
      <c r="BJ19" s="6"/>
      <c r="BK19" s="6"/>
      <c r="BL19" s="6"/>
    </row>
    <row r="20" spans="1:64" s="5" customFormat="1" ht="30.75" customHeight="1">
      <c r="A20" s="3">
        <f t="shared" si="0"/>
        <v>15</v>
      </c>
      <c r="B20" s="19">
        <f>'תקציב הנדסה 2025 '!B30</f>
        <v>2143</v>
      </c>
      <c r="C20" s="202" t="str">
        <f>'תקציב הנדסה 2025 '!C30</f>
        <v>סקר תשתיות קיימות</v>
      </c>
      <c r="D20" s="4">
        <f>'תקציב הנדסה 2025 '!D30</f>
        <v>850000</v>
      </c>
      <c r="E20" s="4">
        <f>'תקציב הנדסה 2025 '!E30</f>
        <v>850000</v>
      </c>
      <c r="F20" s="495">
        <f>'תקציב הנדסה 2025 '!F30</f>
        <v>0</v>
      </c>
      <c r="G20" s="4">
        <f>'תקציב הנדסה 2025 '!G30</f>
        <v>850000</v>
      </c>
      <c r="H20" s="4">
        <f>'תקציב הנדסה 2025 '!H30</f>
        <v>690172</v>
      </c>
      <c r="I20" s="4">
        <f>'תקציב הנדסה 2025 '!I30</f>
        <v>0</v>
      </c>
      <c r="J20" s="4">
        <f>'תקציב הנדסה 2025 '!J30</f>
        <v>153069</v>
      </c>
      <c r="K20" s="4">
        <f>'תקציב הנדסה 2025 '!K30</f>
        <v>153069</v>
      </c>
      <c r="L20" s="4">
        <f>'תקציב הנדסה 2025 '!L30</f>
        <v>843241</v>
      </c>
      <c r="M20" s="495">
        <f>'תקציב הנדסה 2025 '!M30</f>
        <v>6759</v>
      </c>
      <c r="N20" s="497">
        <f>'תקציב הנדסה 2025 '!N30</f>
        <v>0</v>
      </c>
      <c r="O20" s="4">
        <f>'תקציב הנדסה 2025 '!O30</f>
        <v>0</v>
      </c>
      <c r="P20" s="4">
        <f>'תקציב הנדסה 2025 '!P30</f>
        <v>6759</v>
      </c>
      <c r="Q20" s="310">
        <f>'תקציב הנדסה 2025 '!Q30</f>
        <v>0</v>
      </c>
      <c r="R20" s="4">
        <f>'תקציב הנדסה 2025 '!R30</f>
        <v>0</v>
      </c>
      <c r="S20" s="4">
        <f>'תקציב הנדסה 2025 '!S30</f>
        <v>0</v>
      </c>
      <c r="T20" s="495">
        <f>'תקציב הנדסה 2025 '!T30</f>
        <v>0</v>
      </c>
      <c r="U20" s="4">
        <f>'תקציב הנדסה 2025 '!U30</f>
        <v>0</v>
      </c>
      <c r="V20" s="4">
        <f>'תקציב הנדסה 2025 '!V30</f>
        <v>0</v>
      </c>
      <c r="W20" s="4">
        <f>'תקציב הנדסה 2025 '!W30</f>
        <v>0</v>
      </c>
      <c r="X20" s="4">
        <f>'תקציב הנדסה 2025 '!X30</f>
        <v>0</v>
      </c>
      <c r="Y20" s="4">
        <f>'תקציב הנדסה 2025 '!Y30</f>
        <v>0</v>
      </c>
      <c r="Z20" s="4">
        <f>'תקציב הנדסה 2025 '!Z30</f>
        <v>0</v>
      </c>
      <c r="AA20" s="3">
        <f>'תקציב הנדסה 2025 '!AA30</f>
        <v>0</v>
      </c>
      <c r="AB20" s="202" t="str">
        <f>'תקציב הנדסה 2025 '!AB30</f>
        <v xml:space="preserve">מיחשוב כלל התשתיות הקיימות במרחב הציבורי. </v>
      </c>
      <c r="AC20" s="3">
        <f>'תקציב הנדסה 2025 '!AC30</f>
        <v>732000</v>
      </c>
      <c r="AD20" s="18"/>
      <c r="AE20" s="18"/>
      <c r="AF20" s="18"/>
      <c r="AG20" s="18"/>
      <c r="AH20" s="18"/>
      <c r="AI20" s="18"/>
      <c r="AJ20" s="484"/>
      <c r="AK20" s="484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</row>
    <row r="21" spans="1:64" s="5" customFormat="1" ht="60" customHeight="1">
      <c r="A21" s="3">
        <f t="shared" si="0"/>
        <v>16</v>
      </c>
      <c r="B21" s="19">
        <f>'תקציב הנדסה 2025 '!B33</f>
        <v>2199</v>
      </c>
      <c r="C21" s="202" t="str">
        <f>'תקציב הנדסה 2025 '!C33</f>
        <v>ליווי תוכניות ארציות</v>
      </c>
      <c r="D21" s="4">
        <f>'תקציב הנדסה 2025 '!D33</f>
        <v>1000000</v>
      </c>
      <c r="E21" s="4">
        <f>'תקציב הנדסה 2025 '!E33</f>
        <v>1000000</v>
      </c>
      <c r="F21" s="495">
        <f>'תקציב הנדסה 2025 '!F33</f>
        <v>0</v>
      </c>
      <c r="G21" s="4">
        <f>'תקציב הנדסה 2025 '!G33</f>
        <v>109000</v>
      </c>
      <c r="H21" s="4">
        <f>'תקציב הנדסה 2025 '!H33</f>
        <v>58970</v>
      </c>
      <c r="I21" s="4">
        <f>'תקציב הנדסה 2025 '!I33</f>
        <v>0</v>
      </c>
      <c r="J21" s="4">
        <f>'תקציב הנדסה 2025 '!J33</f>
        <v>0</v>
      </c>
      <c r="K21" s="4">
        <f>'תקציב הנדסה 2025 '!K33</f>
        <v>0</v>
      </c>
      <c r="L21" s="4">
        <f>'תקציב הנדסה 2025 '!L33</f>
        <v>58970</v>
      </c>
      <c r="M21" s="495">
        <f>'תקציב הנדסה 2025 '!M33</f>
        <v>30</v>
      </c>
      <c r="N21" s="497">
        <f>'תקציב הנדסה 2025 '!N33</f>
        <v>50000</v>
      </c>
      <c r="O21" s="4">
        <f>'תקציב הנדסה 2025 '!O33</f>
        <v>891000</v>
      </c>
      <c r="P21" s="4">
        <f>'תקציב הנדסה 2025 '!P33</f>
        <v>50030</v>
      </c>
      <c r="Q21" s="310">
        <f>'תקציב הנדסה 2025 '!Q33</f>
        <v>0</v>
      </c>
      <c r="R21" s="4">
        <f>'תקציב הנדסה 2025 '!R33</f>
        <v>0</v>
      </c>
      <c r="S21" s="4">
        <f>'תקציב הנדסה 2025 '!S33</f>
        <v>0</v>
      </c>
      <c r="T21" s="495">
        <f>'תקציב הנדסה 2025 '!T33</f>
        <v>50000</v>
      </c>
      <c r="U21" s="4">
        <f>'תקציב הנדסה 2025 '!U33</f>
        <v>0</v>
      </c>
      <c r="V21" s="4">
        <f>'תקציב הנדסה 2025 '!V33</f>
        <v>0</v>
      </c>
      <c r="W21" s="4">
        <f>'תקציב הנדסה 2025 '!W33</f>
        <v>0</v>
      </c>
      <c r="X21" s="4">
        <f>'תקציב הנדסה 2025 '!X33</f>
        <v>0</v>
      </c>
      <c r="Y21" s="4">
        <f>'תקציב הנדסה 2025 '!Y33</f>
        <v>0</v>
      </c>
      <c r="Z21" s="4">
        <f>'תקציב הנדסה 2025 '!Z33</f>
        <v>0</v>
      </c>
      <c r="AA21" s="3">
        <f>'תקציב הנדסה 2025 '!AA33</f>
        <v>0</v>
      </c>
      <c r="AB21" s="202" t="str">
        <f>'תקציב הנדסה 2025 '!AB33</f>
        <v>ליווי של יועצים ,מתכננים , אגרונום למגוון תוכניות ארציות (תמ"א,תמ"ל).</v>
      </c>
      <c r="AC21" s="3">
        <f>'תקציב הנדסה 2025 '!AC33</f>
        <v>732000</v>
      </c>
      <c r="AD21" s="18"/>
      <c r="AE21" s="18"/>
      <c r="AF21" s="18"/>
      <c r="AG21" s="18"/>
      <c r="AH21" s="18"/>
      <c r="AI21" s="18"/>
      <c r="AJ21" s="484"/>
      <c r="AK21" s="484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</row>
    <row r="22" spans="1:64" s="6" customFormat="1" ht="47.25" customHeight="1">
      <c r="A22" s="3">
        <f t="shared" si="0"/>
        <v>17</v>
      </c>
      <c r="B22" s="19">
        <f>'תקציב הנדסה 2025 '!B34</f>
        <v>2200</v>
      </c>
      <c r="C22" s="202" t="str">
        <f>'תקציב הנדסה 2025 '!C34</f>
        <v>פיתוח קיימות סביבה וחדשנות</v>
      </c>
      <c r="D22" s="4">
        <f>'תקציב הנדסה 2025 '!D34</f>
        <v>1700000</v>
      </c>
      <c r="E22" s="4">
        <f>'תקציב הנדסה 2025 '!E34</f>
        <v>1700000</v>
      </c>
      <c r="F22" s="495">
        <f>'תקציב הנדסה 2025 '!F34</f>
        <v>0</v>
      </c>
      <c r="G22" s="4">
        <f>'תקציב הנדסה 2025 '!G34</f>
        <v>173000</v>
      </c>
      <c r="H22" s="4">
        <f>'תקציב הנדסה 2025 '!H34</f>
        <v>23158</v>
      </c>
      <c r="I22" s="4">
        <f>'תקציב הנדסה 2025 '!I34</f>
        <v>0</v>
      </c>
      <c r="J22" s="4">
        <f>'תקציב הנדסה 2025 '!J34</f>
        <v>49309</v>
      </c>
      <c r="K22" s="4">
        <f>'תקציב הנדסה 2025 '!K34</f>
        <v>49309</v>
      </c>
      <c r="L22" s="4">
        <f>'תקציב הנדסה 2025 '!L34</f>
        <v>72467</v>
      </c>
      <c r="M22" s="495">
        <f>'תקציב הנדסה 2025 '!M34</f>
        <v>100533</v>
      </c>
      <c r="N22" s="4">
        <f>'תקציב הנדסה 2025 '!N34</f>
        <v>200000</v>
      </c>
      <c r="O22" s="4">
        <f>'תקציב הנדסה 2025 '!O34</f>
        <v>1327000</v>
      </c>
      <c r="P22" s="4">
        <f>'תקציב הנדסה 2025 '!P34</f>
        <v>100533</v>
      </c>
      <c r="Q22" s="310">
        <f>'תקציב הנדסה 2025 '!Q34</f>
        <v>0</v>
      </c>
      <c r="R22" s="4">
        <f>'תקציב הנדסה 2025 '!R34</f>
        <v>0</v>
      </c>
      <c r="S22" s="4">
        <f>'תקציב הנדסה 2025 '!S34</f>
        <v>0</v>
      </c>
      <c r="T22" s="495">
        <f>'תקציב הנדסה 2025 '!T34</f>
        <v>0</v>
      </c>
      <c r="U22" s="4">
        <f>'תקציב הנדסה 2025 '!U34</f>
        <v>200000</v>
      </c>
      <c r="V22" s="4">
        <f>'תקציב הנדסה 2025 '!V34</f>
        <v>200000</v>
      </c>
      <c r="W22" s="4">
        <f>'תקציב הנדסה 2025 '!W34</f>
        <v>0</v>
      </c>
      <c r="X22" s="4">
        <f>'תקציב הנדסה 2025 '!X34</f>
        <v>0</v>
      </c>
      <c r="Y22" s="4">
        <f>'תקציב הנדסה 2025 '!Y34</f>
        <v>0</v>
      </c>
      <c r="Z22" s="4">
        <f>'תקציב הנדסה 2025 '!Z34</f>
        <v>0</v>
      </c>
      <c r="AA22" s="3">
        <f>'תקציב הנדסה 2025 '!AA34</f>
        <v>0</v>
      </c>
      <c r="AB22" s="202" t="str">
        <f>'תקציב הנדסה 2025 '!AB34</f>
        <v>יועצי סביבה וקיימות בהיבטים תכנוניים במסגרת בקשות להיתרים ותכנון תב"עות. גיבוש מדיניות של תכנון בר קיימא כמענה לשינויי האקלים לצד ציפוף עירוני מוגבר.</v>
      </c>
      <c r="AC22" s="3">
        <f>'תקציב הנדסה 2025 '!AC34</f>
        <v>732000</v>
      </c>
      <c r="AD22" s="18"/>
      <c r="AE22" s="18"/>
      <c r="AF22" s="18"/>
      <c r="AG22" s="18"/>
      <c r="AH22" s="18"/>
      <c r="AI22" s="18"/>
      <c r="AJ22" s="484"/>
      <c r="AK22" s="484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5"/>
      <c r="BF22" s="5"/>
      <c r="BG22" s="5"/>
      <c r="BH22" s="5"/>
      <c r="BI22" s="5"/>
      <c r="BJ22" s="5"/>
      <c r="BK22" s="5"/>
      <c r="BL22" s="5"/>
    </row>
    <row r="23" spans="1:64" s="5" customFormat="1" ht="55.5" customHeight="1">
      <c r="A23" s="3">
        <f t="shared" si="0"/>
        <v>18</v>
      </c>
      <c r="B23" s="19">
        <f>'תקציב הנדסה 2025 '!B35</f>
        <v>20000</v>
      </c>
      <c r="C23" s="202" t="str">
        <f>'תקציב הנדסה 2025 '!C35</f>
        <v>תכנית מתאר להתחדשות עירונית</v>
      </c>
      <c r="D23" s="4">
        <f>'תקציב הנדסה 2025 '!D35</f>
        <v>5200000</v>
      </c>
      <c r="E23" s="4">
        <f>'תקציב הנדסה 2025 '!E35</f>
        <v>2500000</v>
      </c>
      <c r="F23" s="495">
        <f>'תקציב הנדסה 2025 '!F35</f>
        <v>2700000</v>
      </c>
      <c r="G23" s="4">
        <f>'תקציב הנדסה 2025 '!G35</f>
        <v>100000</v>
      </c>
      <c r="H23" s="4">
        <f>'תקציב הנדסה 2025 '!H35</f>
        <v>0</v>
      </c>
      <c r="I23" s="4">
        <f>'תקציב הנדסה 2025 '!I35</f>
        <v>0</v>
      </c>
      <c r="J23" s="4">
        <f>'תקציב הנדסה 2025 '!J35</f>
        <v>0</v>
      </c>
      <c r="K23" s="4">
        <f>'תקציב הנדסה 2025 '!K35</f>
        <v>0</v>
      </c>
      <c r="L23" s="4">
        <f>'תקציב הנדסה 2025 '!L35</f>
        <v>0</v>
      </c>
      <c r="M23" s="495">
        <f>'תקציב הנדסה 2025 '!M35</f>
        <v>0</v>
      </c>
      <c r="N23" s="4">
        <f>'תקציב הנדסה 2025 '!N35</f>
        <v>500000</v>
      </c>
      <c r="O23" s="4">
        <f>'תקציב הנדסה 2025 '!O35</f>
        <v>4700000</v>
      </c>
      <c r="P23" s="4">
        <f>'תקציב הנדסה 2025 '!P35</f>
        <v>100000</v>
      </c>
      <c r="Q23" s="310">
        <f>'תקציב הנדסה 2025 '!Q35</f>
        <v>0</v>
      </c>
      <c r="R23" s="4">
        <f>'תקציב הנדסה 2025 '!R35</f>
        <v>0</v>
      </c>
      <c r="S23" s="4">
        <f>'תקציב הנדסה 2025 '!S35</f>
        <v>0</v>
      </c>
      <c r="T23" s="495">
        <f>'תקציב הנדסה 2025 '!T35</f>
        <v>100000</v>
      </c>
      <c r="U23" s="4">
        <f>'תקציב הנדסה 2025 '!U35</f>
        <v>400000</v>
      </c>
      <c r="V23" s="4">
        <f>'תקציב הנדסה 2025 '!V35</f>
        <v>400000</v>
      </c>
      <c r="W23" s="4">
        <f>'תקציב הנדסה 2025 '!W35</f>
        <v>0</v>
      </c>
      <c r="X23" s="4">
        <f>'תקציב הנדסה 2025 '!X35</f>
        <v>0</v>
      </c>
      <c r="Y23" s="4">
        <f>'תקציב הנדסה 2025 '!Y35</f>
        <v>0</v>
      </c>
      <c r="Z23" s="4">
        <f>'תקציב הנדסה 2025 '!Z35</f>
        <v>0</v>
      </c>
      <c r="AA23" s="3">
        <f>'תקציב הנדסה 2025 '!AA35</f>
        <v>0</v>
      </c>
      <c r="AB23" s="202" t="str">
        <f>'תקציב הנדסה 2025 '!AB35</f>
        <v>הכנת תוכנית כוללת להתחדשות עירונית. תוכנית עם תוקף סטטוטורי להבטחת יישום החזון והמדיניות להתחדשות ופיתוח מרכז העיר.</v>
      </c>
      <c r="AC23" s="3">
        <f>'תקציב הנדסה 2025 '!AC35</f>
        <v>732000</v>
      </c>
      <c r="AD23" s="18"/>
      <c r="AE23" s="18"/>
      <c r="AF23" s="18"/>
      <c r="AG23" s="18"/>
      <c r="AH23" s="18"/>
      <c r="AI23" s="18"/>
      <c r="AJ23" s="484"/>
      <c r="AK23" s="484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</row>
    <row r="24" spans="1:64" s="6" customFormat="1" ht="69" customHeight="1">
      <c r="A24" s="3">
        <f t="shared" si="0"/>
        <v>19</v>
      </c>
      <c r="B24" s="19">
        <f>'תקציב הנדסה 2025 '!B40</f>
        <v>20058</v>
      </c>
      <c r="C24" s="202" t="str">
        <f>'תקציב הנדסה 2025 '!C40</f>
        <v>ליווי תהליכי שימור בעיר</v>
      </c>
      <c r="D24" s="4">
        <f>'תקציב הנדסה 2025 '!D40</f>
        <v>800000</v>
      </c>
      <c r="E24" s="4">
        <f>'תקציב הנדסה 2025 '!E40</f>
        <v>800000</v>
      </c>
      <c r="F24" s="495">
        <f>'תקציב הנדסה 2025 '!F40</f>
        <v>0</v>
      </c>
      <c r="G24" s="4">
        <f>'תקציב הנדסה 2025 '!G40</f>
        <v>165500</v>
      </c>
      <c r="H24" s="4">
        <f>'תקציב הנדסה 2025 '!H40</f>
        <v>40313</v>
      </c>
      <c r="I24" s="4">
        <f>'תקציב הנדסה 2025 '!I40</f>
        <v>0</v>
      </c>
      <c r="J24" s="4">
        <f>'תקציב הנדסה 2025 '!J40</f>
        <v>61069</v>
      </c>
      <c r="K24" s="4">
        <f>'תקציב הנדסה 2025 '!K40</f>
        <v>61069</v>
      </c>
      <c r="L24" s="4">
        <f>'תקציב הנדסה 2025 '!L40</f>
        <v>101382</v>
      </c>
      <c r="M24" s="495">
        <f>'תקציב הנדסה 2025 '!M40</f>
        <v>64118</v>
      </c>
      <c r="N24" s="4">
        <f>'תקציב הנדסה 2025 '!N40</f>
        <v>150000</v>
      </c>
      <c r="O24" s="4">
        <f>'תקציב הנדסה 2025 '!O40</f>
        <v>484500</v>
      </c>
      <c r="P24" s="4">
        <f>'תקציב הנדסה 2025 '!P40</f>
        <v>64118</v>
      </c>
      <c r="Q24" s="4">
        <f>'תקציב הנדסה 2025 '!Q40</f>
        <v>0</v>
      </c>
      <c r="R24" s="4">
        <f>'תקציב הנדסה 2025 '!R40</f>
        <v>0</v>
      </c>
      <c r="S24" s="4">
        <f>'תקציב הנדסה 2025 '!S40</f>
        <v>0</v>
      </c>
      <c r="T24" s="495">
        <f>'תקציב הנדסה 2025 '!T40</f>
        <v>0</v>
      </c>
      <c r="U24" s="4">
        <f>'תקציב הנדסה 2025 '!U40</f>
        <v>150000</v>
      </c>
      <c r="V24" s="4">
        <f>'תקציב הנדסה 2025 '!V40</f>
        <v>150000</v>
      </c>
      <c r="W24" s="4">
        <f>'תקציב הנדסה 2025 '!W40</f>
        <v>0</v>
      </c>
      <c r="X24" s="4">
        <f>'תקציב הנדסה 2025 '!X40</f>
        <v>0</v>
      </c>
      <c r="Y24" s="4">
        <f>'תקציב הנדסה 2025 '!Y40</f>
        <v>0</v>
      </c>
      <c r="Z24" s="4">
        <f>'תקציב הנדסה 2025 '!Z40</f>
        <v>0</v>
      </c>
      <c r="AA24" s="3">
        <f>'תקציב הנדסה 2025 '!AA40</f>
        <v>0</v>
      </c>
      <c r="AB24" s="202" t="str">
        <f>'תקציב הנדסה 2025 '!AB40</f>
        <v>לאור אישור תוכנית שימור ל - 70 אתרים , תקציב מסגרת ליועצים ,מתכננים וסקריי שימור ושילוט פרויקטים לשימור.</v>
      </c>
      <c r="AC24" s="3">
        <f>'תקציב הנדסה 2025 '!AC40</f>
        <v>732000</v>
      </c>
      <c r="AD24" s="18"/>
      <c r="AE24" s="18"/>
      <c r="AF24" s="18"/>
      <c r="AG24" s="18"/>
      <c r="AH24" s="18"/>
      <c r="AI24" s="18"/>
      <c r="AJ24" s="484"/>
      <c r="AK24" s="484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5"/>
      <c r="BF24" s="5"/>
      <c r="BG24" s="5"/>
      <c r="BH24" s="5"/>
      <c r="BI24" s="5"/>
      <c r="BJ24" s="5"/>
      <c r="BK24" s="5"/>
      <c r="BL24" s="5"/>
    </row>
    <row r="25" spans="1:64" s="5" customFormat="1" ht="30">
      <c r="A25" s="3">
        <f t="shared" si="0"/>
        <v>20</v>
      </c>
      <c r="B25" s="19">
        <f>'תקציב הנדסה 2025 '!B41</f>
        <v>20060</v>
      </c>
      <c r="C25" s="202" t="str">
        <f>'תקציב הנדסה 2025 '!C41</f>
        <v>תיקון תכנית הר 2029 - נווה עמל</v>
      </c>
      <c r="D25" s="4">
        <f>'תקציב הנדסה 2025 '!D41</f>
        <v>1400000</v>
      </c>
      <c r="E25" s="4">
        <f>'תקציב הנדסה 2025 '!E41</f>
        <v>640000</v>
      </c>
      <c r="F25" s="495">
        <f>'תקציב הנדסה 2025 '!F41</f>
        <v>760000</v>
      </c>
      <c r="G25" s="4">
        <f>'תקציב הנדסה 2025 '!G41</f>
        <v>100000</v>
      </c>
      <c r="H25" s="4">
        <f>'תקציב הנדסה 2025 '!H41</f>
        <v>0</v>
      </c>
      <c r="I25" s="4">
        <f>'תקציב הנדסה 2025 '!I41</f>
        <v>0</v>
      </c>
      <c r="J25" s="4">
        <f>'תקציב הנדסה 2025 '!J41</f>
        <v>0</v>
      </c>
      <c r="K25" s="4">
        <f>'תקציב הנדסה 2025 '!K41</f>
        <v>0</v>
      </c>
      <c r="L25" s="4">
        <f>'תקציב הנדסה 2025 '!L41</f>
        <v>0</v>
      </c>
      <c r="M25" s="495">
        <f>'תקציב הנדסה 2025 '!M41</f>
        <v>100000</v>
      </c>
      <c r="N25" s="4">
        <f>'תקציב הנדסה 2025 '!N41</f>
        <v>750000</v>
      </c>
      <c r="O25" s="4">
        <f>'תקציב הנדסה 2025 '!O41</f>
        <v>550000</v>
      </c>
      <c r="P25" s="4">
        <f>'תקציב הנדסה 2025 '!P41</f>
        <v>100000</v>
      </c>
      <c r="Q25" s="310">
        <f>'תקציב הנדסה 2025 '!Q41</f>
        <v>0</v>
      </c>
      <c r="R25" s="4">
        <f>'תקציב הנדסה 2025 '!R41</f>
        <v>0</v>
      </c>
      <c r="S25" s="4">
        <f>'תקציב הנדסה 2025 '!S41</f>
        <v>0</v>
      </c>
      <c r="T25" s="495">
        <f>'תקציב הנדסה 2025 '!T41</f>
        <v>0</v>
      </c>
      <c r="U25" s="4">
        <f>'תקציב הנדסה 2025 '!U41</f>
        <v>750000</v>
      </c>
      <c r="V25" s="4">
        <f>'תקציב הנדסה 2025 '!V41</f>
        <v>750000</v>
      </c>
      <c r="W25" s="4">
        <f>'תקציב הנדסה 2025 '!W41</f>
        <v>0</v>
      </c>
      <c r="X25" s="4">
        <f>'תקציב הנדסה 2025 '!X41</f>
        <v>0</v>
      </c>
      <c r="Y25" s="4">
        <f>'תקציב הנדסה 2025 '!Y41</f>
        <v>0</v>
      </c>
      <c r="Z25" s="4">
        <f>'תקציב הנדסה 2025 '!Z41</f>
        <v>0</v>
      </c>
      <c r="AA25" s="4">
        <f>'תקציב הנדסה 2025 '!AA41</f>
        <v>0</v>
      </c>
      <c r="AB25" s="202" t="str">
        <f>'תקציב הנדסה 2025 '!AB41</f>
        <v>תיקון מסמכי התוכנית לרבות בחינת טיפוסי הבינוי המאושרים.</v>
      </c>
      <c r="AC25" s="3">
        <f>'תקציב הנדסה 2025 '!AC41</f>
        <v>732000</v>
      </c>
      <c r="AD25" s="18"/>
      <c r="AE25" s="18"/>
      <c r="AF25" s="18"/>
      <c r="AG25" s="18"/>
      <c r="AH25" s="18"/>
      <c r="AI25" s="18"/>
      <c r="AJ25" s="484"/>
      <c r="AK25" s="484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</row>
    <row r="26" spans="1:64" s="5" customFormat="1" ht="60.75" customHeight="1">
      <c r="A26" s="3">
        <f t="shared" si="0"/>
        <v>21</v>
      </c>
      <c r="B26" s="19">
        <f>'תקציב הנדסה 2025 '!B42</f>
        <v>20061</v>
      </c>
      <c r="C26" s="202" t="str">
        <f>'תקציב הנדסה 2025 '!C42</f>
        <v>סקר מבנים מסוכנים</v>
      </c>
      <c r="D26" s="4">
        <f>'תקציב הנדסה 2025 '!D42</f>
        <v>700000</v>
      </c>
      <c r="E26" s="4">
        <f>'תקציב הנדסה 2025 '!E42</f>
        <v>700000</v>
      </c>
      <c r="F26" s="495">
        <f>'תקציב הנדסה 2025 '!F42</f>
        <v>0</v>
      </c>
      <c r="G26" s="4">
        <f>'תקציב הנדסה 2025 '!G42</f>
        <v>0</v>
      </c>
      <c r="H26" s="4">
        <f>'תקציב הנדסה 2025 '!H42</f>
        <v>0</v>
      </c>
      <c r="I26" s="4">
        <f>'תקציב הנדסה 2025 '!I42</f>
        <v>0</v>
      </c>
      <c r="J26" s="4">
        <f>'תקציב הנדסה 2025 '!J42</f>
        <v>0</v>
      </c>
      <c r="K26" s="4">
        <f>'תקציב הנדסה 2025 '!K42</f>
        <v>0</v>
      </c>
      <c r="L26" s="4">
        <f>'תקציב הנדסה 2025 '!L42</f>
        <v>0</v>
      </c>
      <c r="M26" s="495">
        <f>'תקציב הנדסה 2025 '!M42</f>
        <v>0</v>
      </c>
      <c r="N26" s="4">
        <f>'תקציב הנדסה 2025 '!N42</f>
        <v>50000</v>
      </c>
      <c r="O26" s="4">
        <f>'תקציב הנדסה 2025 '!O42</f>
        <v>650000</v>
      </c>
      <c r="P26" s="4">
        <f>'תקציב הנדסה 2025 '!P42</f>
        <v>0</v>
      </c>
      <c r="Q26" s="310">
        <f>'תקציב הנדסה 2025 '!Q42</f>
        <v>0</v>
      </c>
      <c r="R26" s="4">
        <f>'תקציב הנדסה 2025 '!R42</f>
        <v>0</v>
      </c>
      <c r="S26" s="4">
        <f>'תקציב הנדסה 2025 '!S42</f>
        <v>0</v>
      </c>
      <c r="T26" s="495">
        <f>'תקציב הנדסה 2025 '!T42</f>
        <v>0</v>
      </c>
      <c r="U26" s="4">
        <f>'תקציב הנדסה 2025 '!U42</f>
        <v>50000</v>
      </c>
      <c r="V26" s="4">
        <f>'תקציב הנדסה 2025 '!V42</f>
        <v>50000</v>
      </c>
      <c r="W26" s="4">
        <f>'תקציב הנדסה 2025 '!W42</f>
        <v>0</v>
      </c>
      <c r="X26" s="4">
        <f>'תקציב הנדסה 2025 '!X42</f>
        <v>0</v>
      </c>
      <c r="Y26" s="4">
        <f>'תקציב הנדסה 2025 '!Y42</f>
        <v>0</v>
      </c>
      <c r="Z26" s="4">
        <f>'תקציב הנדסה 2025 '!Z42</f>
        <v>0</v>
      </c>
      <c r="AA26" s="4">
        <f>'תקציב הנדסה 2025 '!AA42</f>
        <v>0</v>
      </c>
      <c r="AB26" s="496" t="str">
        <f>'תקציב הנדסה 2025 '!AB42</f>
        <v>עריכת סקר מבנים מסוכנים הנדרש בהתאם לחוק עזר למבנים מסוכנים.</v>
      </c>
      <c r="AC26" s="3">
        <f>'תקציב הנדסה 2025 '!AC42</f>
        <v>732000</v>
      </c>
      <c r="AD26" s="18"/>
      <c r="AE26" s="18"/>
      <c r="AF26" s="18"/>
      <c r="AG26" s="18"/>
      <c r="AH26" s="18"/>
      <c r="AI26" s="18"/>
      <c r="AJ26" s="484"/>
      <c r="AK26" s="484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</row>
    <row r="27" spans="1:64" s="6" customFormat="1" ht="45">
      <c r="A27" s="3">
        <f t="shared" si="0"/>
        <v>22</v>
      </c>
      <c r="B27" s="19">
        <f>'תקציב הנדסה 2025 '!B43</f>
        <v>20062</v>
      </c>
      <c r="C27" s="202" t="str">
        <f>'תקציב הנדסה 2025 '!C43</f>
        <v>יעודי קרקע -מפת בסיס</v>
      </c>
      <c r="D27" s="4">
        <f>'תקציב הנדסה 2025 '!D43</f>
        <v>300000</v>
      </c>
      <c r="E27" s="4">
        <f>'תקציב הנדסה 2025 '!E43</f>
        <v>300000</v>
      </c>
      <c r="F27" s="495">
        <f>'תקציב הנדסה 2025 '!F43</f>
        <v>0</v>
      </c>
      <c r="G27" s="4">
        <f>'תקציב הנדסה 2025 '!G43</f>
        <v>66000</v>
      </c>
      <c r="H27" s="4">
        <f>'תקציב הנדסה 2025 '!H43</f>
        <v>20227</v>
      </c>
      <c r="I27" s="4">
        <f>'תקציב הנדסה 2025 '!I43</f>
        <v>0</v>
      </c>
      <c r="J27" s="4">
        <f>'תקציב הנדסה 2025 '!J43</f>
        <v>45270</v>
      </c>
      <c r="K27" s="4">
        <f>'תקציב הנדסה 2025 '!K43</f>
        <v>45270</v>
      </c>
      <c r="L27" s="4">
        <f>'תקציב הנדסה 2025 '!L43</f>
        <v>65497</v>
      </c>
      <c r="M27" s="495">
        <f>'תקציב הנדסה 2025 '!M43</f>
        <v>503</v>
      </c>
      <c r="N27" s="4">
        <f>'תקציב הנדסה 2025 '!N43</f>
        <v>120000</v>
      </c>
      <c r="O27" s="4">
        <f>'תקציב הנדסה 2025 '!O43</f>
        <v>114000</v>
      </c>
      <c r="P27" s="4">
        <f>'תקציב הנדסה 2025 '!P43</f>
        <v>503</v>
      </c>
      <c r="Q27" s="310">
        <f>'תקציב הנדסה 2025 '!Q43</f>
        <v>0</v>
      </c>
      <c r="R27" s="4">
        <f>'תקציב הנדסה 2025 '!R43</f>
        <v>0</v>
      </c>
      <c r="S27" s="4">
        <f>'תקציב הנדסה 2025 '!S43</f>
        <v>0</v>
      </c>
      <c r="T27" s="495">
        <f>'תקציב הנדסה 2025 '!T43</f>
        <v>0</v>
      </c>
      <c r="U27" s="4">
        <f>'תקציב הנדסה 2025 '!U43</f>
        <v>120000</v>
      </c>
      <c r="V27" s="4">
        <f>'תקציב הנדסה 2025 '!V43</f>
        <v>120000</v>
      </c>
      <c r="W27" s="4">
        <f>'תקציב הנדסה 2025 '!W43</f>
        <v>0</v>
      </c>
      <c r="X27" s="4">
        <f>'תקציב הנדסה 2025 '!X43</f>
        <v>0</v>
      </c>
      <c r="Y27" s="4">
        <f>'תקציב הנדסה 2025 '!Y43</f>
        <v>0</v>
      </c>
      <c r="Z27" s="4">
        <f>'תקציב הנדסה 2025 '!Z43</f>
        <v>0</v>
      </c>
      <c r="AA27" s="4">
        <f>'תקציב הנדסה 2025 '!AA43</f>
        <v>0</v>
      </c>
      <c r="AB27" s="202" t="str">
        <f>'תקציב הנדסה 2025 '!AB43</f>
        <v>עדכון מע. מידע הנדסי כתוצאה משינוי ייעודי קרקע עקב החלטות ועדות התכנון.</v>
      </c>
      <c r="AC27" s="3">
        <f>'תקציב הנדסה 2025 '!AC43</f>
        <v>732000</v>
      </c>
      <c r="AD27" s="18"/>
      <c r="AE27" s="18"/>
      <c r="AF27" s="18"/>
      <c r="AG27" s="18"/>
      <c r="AH27" s="18"/>
      <c r="AI27" s="18"/>
      <c r="AJ27" s="484"/>
      <c r="AK27" s="484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5"/>
      <c r="BF27" s="5"/>
      <c r="BG27" s="5"/>
      <c r="BH27" s="5"/>
      <c r="BI27" s="5"/>
      <c r="BJ27" s="5"/>
      <c r="BK27" s="5"/>
      <c r="BL27" s="5"/>
    </row>
    <row r="28" spans="1:64" s="5" customFormat="1" ht="82.5" customHeight="1">
      <c r="A28" s="3">
        <f t="shared" si="0"/>
        <v>23</v>
      </c>
      <c r="B28" s="19">
        <f>'תקציב הנדסה 2025 '!B48</f>
        <v>20144</v>
      </c>
      <c r="C28" s="222" t="str">
        <f>'תקציב הנדסה 2025 '!C48</f>
        <v>תוכניות מפורטות דרום מערב העיר</v>
      </c>
      <c r="D28" s="112">
        <f>'תקציב הנדסה 2025 '!D48</f>
        <v>1000000</v>
      </c>
      <c r="E28" s="112">
        <f>'תקציב הנדסה 2025 '!E48</f>
        <v>0</v>
      </c>
      <c r="F28" s="257">
        <f>'תקציב הנדסה 2025 '!F48</f>
        <v>1000000</v>
      </c>
      <c r="G28" s="112">
        <f>'תקציב הנדסה 2025 '!G48</f>
        <v>0</v>
      </c>
      <c r="H28" s="112">
        <f>'תקציב הנדסה 2025 '!H48</f>
        <v>0</v>
      </c>
      <c r="I28" s="112">
        <f>'תקציב הנדסה 2025 '!I48</f>
        <v>0</v>
      </c>
      <c r="J28" s="112">
        <f>'תקציב הנדסה 2025 '!J48</f>
        <v>0</v>
      </c>
      <c r="K28" s="112">
        <f>'תקציב הנדסה 2025 '!K48</f>
        <v>0</v>
      </c>
      <c r="L28" s="112">
        <f>'תקציב הנדסה 2025 '!L48</f>
        <v>0</v>
      </c>
      <c r="M28" s="257">
        <f>'תקציב הנדסה 2025 '!M48</f>
        <v>0</v>
      </c>
      <c r="N28" s="112">
        <f>'תקציב הנדסה 2025 '!N48</f>
        <v>200000</v>
      </c>
      <c r="O28" s="112">
        <f>'תקציב הנדסה 2025 '!O48</f>
        <v>800000</v>
      </c>
      <c r="P28" s="112">
        <f>'תקציב הנדסה 2025 '!P48</f>
        <v>0</v>
      </c>
      <c r="Q28" s="112">
        <f>'תקציב הנדסה 2025 '!Q48</f>
        <v>0</v>
      </c>
      <c r="R28" s="112">
        <f>'תקציב הנדסה 2025 '!R48</f>
        <v>0</v>
      </c>
      <c r="S28" s="112">
        <f>'תקציב הנדסה 2025 '!S48</f>
        <v>0</v>
      </c>
      <c r="T28" s="112">
        <f>'תקציב הנדסה 2025 '!T48</f>
        <v>0</v>
      </c>
      <c r="U28" s="112">
        <f>'תקציב הנדסה 2025 '!U48</f>
        <v>200000</v>
      </c>
      <c r="V28" s="4">
        <f>'תקציב הנדסה 2025 '!V48</f>
        <v>200000</v>
      </c>
      <c r="W28" s="112">
        <f>'תקציב הנדסה 2025 '!W48</f>
        <v>0</v>
      </c>
      <c r="X28" s="112">
        <f>'תקציב הנדסה 2025 '!X48</f>
        <v>0</v>
      </c>
      <c r="Y28" s="112">
        <f>'תקציב הנדסה 2025 '!Y48</f>
        <v>0</v>
      </c>
      <c r="Z28" s="112">
        <f>'תקציב הנדסה 2025 '!Z48</f>
        <v>0</v>
      </c>
      <c r="AA28" s="112">
        <f>'תקציב הנדסה 2025 '!AA48</f>
        <v>0</v>
      </c>
      <c r="AB28" s="202" t="str">
        <f>'תקציב הנדסה 2025 '!AB48</f>
        <v>ליווי יועצים לפי הצורך לתוכניות מפורטות בדרום מערב העיר (חוף התכלת).</v>
      </c>
      <c r="AC28" s="3">
        <f>'תקציב הנדסה 2025 '!AC48</f>
        <v>732000</v>
      </c>
      <c r="AD28" s="18"/>
      <c r="AE28" s="18"/>
      <c r="AF28" s="18"/>
      <c r="AG28" s="18"/>
      <c r="AH28" s="18"/>
      <c r="AI28" s="18"/>
      <c r="AJ28" s="484"/>
      <c r="AK28" s="484"/>
      <c r="AL28" s="18"/>
      <c r="AM28" s="18"/>
      <c r="AN28" s="18"/>
      <c r="AO28" s="18"/>
      <c r="AP28" s="18"/>
      <c r="AQ28" s="18"/>
      <c r="AR28" s="18"/>
      <c r="AS28" s="18"/>
      <c r="AT28" s="123"/>
      <c r="AU28" s="123"/>
      <c r="AV28" s="123"/>
      <c r="AW28" s="123"/>
      <c r="AX28" s="123"/>
      <c r="AY28" s="256"/>
      <c r="AZ28" s="256"/>
      <c r="BA28" s="256"/>
      <c r="BB28" s="256"/>
      <c r="BC28" s="256"/>
      <c r="BD28" s="256"/>
      <c r="BE28" s="256"/>
      <c r="BF28" s="256"/>
      <c r="BG28" s="256"/>
    </row>
    <row r="29" spans="1:64" s="499" customFormat="1" ht="30">
      <c r="A29" s="3">
        <f t="shared" si="0"/>
        <v>24</v>
      </c>
      <c r="B29" s="19">
        <f>'תקציב הנדסה 2025 '!B50</f>
        <v>20146</v>
      </c>
      <c r="C29" s="496" t="str">
        <f>'תקציב הנדסה 2025 '!C50</f>
        <v>תוכנית תפעולית לניידות עירונית</v>
      </c>
      <c r="D29" s="112">
        <f>'תקציב הנדסה 2025 '!D50</f>
        <v>400000</v>
      </c>
      <c r="E29" s="434">
        <f>'תקציב הנדסה 2025 '!E50</f>
        <v>0</v>
      </c>
      <c r="F29" s="257">
        <f>'תקציב הנדסה 2025 '!F50</f>
        <v>400000</v>
      </c>
      <c r="G29" s="112">
        <f>'תקציב הנדסה 2025 '!G50</f>
        <v>0</v>
      </c>
      <c r="H29" s="112">
        <f>'תקציב הנדסה 2025 '!H50</f>
        <v>0</v>
      </c>
      <c r="I29" s="112">
        <f>'תקציב הנדסה 2025 '!I50</f>
        <v>0</v>
      </c>
      <c r="J29" s="112">
        <f>'תקציב הנדסה 2025 '!J50</f>
        <v>0</v>
      </c>
      <c r="K29" s="112">
        <f>'תקציב הנדסה 2025 '!K50</f>
        <v>0</v>
      </c>
      <c r="L29" s="112">
        <f>'תקציב הנדסה 2025 '!L50</f>
        <v>0</v>
      </c>
      <c r="M29" s="257">
        <f>'תקציב הנדסה 2025 '!M50</f>
        <v>0</v>
      </c>
      <c r="N29" s="112">
        <f>'תקציב הנדסה 2025 '!N50</f>
        <v>100000</v>
      </c>
      <c r="O29" s="112">
        <f>'תקציב הנדסה 2025 '!O50</f>
        <v>300000</v>
      </c>
      <c r="P29" s="112">
        <f>'תקציב הנדסה 2025 '!P50</f>
        <v>0</v>
      </c>
      <c r="Q29" s="112">
        <f>'תקציב הנדסה 2025 '!Q50</f>
        <v>0</v>
      </c>
      <c r="R29" s="112">
        <f>'תקציב הנדסה 2025 '!R50</f>
        <v>0</v>
      </c>
      <c r="S29" s="112">
        <f>'תקציב הנדסה 2025 '!S50</f>
        <v>0</v>
      </c>
      <c r="T29" s="112">
        <f>'תקציב הנדסה 2025 '!T50</f>
        <v>0</v>
      </c>
      <c r="U29" s="112">
        <f>'תקציב הנדסה 2025 '!U50</f>
        <v>100000</v>
      </c>
      <c r="V29" s="4">
        <f>'תקציב הנדסה 2025 '!V50</f>
        <v>100000</v>
      </c>
      <c r="W29" s="112">
        <f>'תקציב הנדסה 2025 '!W50</f>
        <v>0</v>
      </c>
      <c r="X29" s="112">
        <f>'תקציב הנדסה 2025 '!X50</f>
        <v>0</v>
      </c>
      <c r="Y29" s="112">
        <f>'תקציב הנדסה 2025 '!Y50</f>
        <v>0</v>
      </c>
      <c r="Z29" s="112">
        <f>'תקציב הנדסה 2025 '!Z50</f>
        <v>0</v>
      </c>
      <c r="AA29" s="112">
        <f>'תקציב הנדסה 2025 '!AA50</f>
        <v>0</v>
      </c>
      <c r="AB29" s="202" t="str">
        <f>'תקציב הנדסה 2025 '!AB50</f>
        <v>הכנת תוכנית מתווה הניידות והתחבורה החכמה בעיר.</v>
      </c>
      <c r="AC29" s="3">
        <f>'תקציב הנדסה 2025 '!AC50</f>
        <v>732000</v>
      </c>
      <c r="AD29" s="18"/>
      <c r="AE29" s="18"/>
      <c r="AF29" s="18"/>
      <c r="AG29" s="18"/>
      <c r="AH29" s="18"/>
      <c r="AI29" s="18"/>
      <c r="AJ29" s="484"/>
      <c r="AK29" s="484"/>
      <c r="AL29" s="18"/>
      <c r="AM29" s="18"/>
      <c r="AN29" s="18"/>
      <c r="AO29" s="18"/>
      <c r="AP29" s="18"/>
      <c r="AQ29" s="18"/>
      <c r="AR29" s="18"/>
      <c r="AS29" s="18"/>
      <c r="AT29" s="205"/>
      <c r="AU29" s="205"/>
      <c r="AV29" s="205"/>
      <c r="AW29" s="205"/>
      <c r="AX29" s="205"/>
      <c r="AY29" s="374"/>
      <c r="AZ29" s="374"/>
      <c r="BA29" s="374"/>
      <c r="BB29" s="374"/>
      <c r="BC29" s="374"/>
      <c r="BD29" s="374"/>
      <c r="BE29" s="374"/>
      <c r="BF29" s="374"/>
      <c r="BG29" s="374"/>
      <c r="BH29" s="5"/>
      <c r="BI29" s="5"/>
      <c r="BJ29" s="5"/>
      <c r="BK29" s="5"/>
      <c r="BL29" s="5"/>
    </row>
    <row r="30" spans="1:64" s="40" customFormat="1">
      <c r="A30" s="20"/>
      <c r="B30" s="20"/>
      <c r="C30" s="263" t="s">
        <v>1330</v>
      </c>
      <c r="D30" s="236">
        <f>SUM(D6:D29)</f>
        <v>136423138</v>
      </c>
      <c r="E30" s="236">
        <f t="shared" ref="E30:AA30" si="1">SUM(E6:E29)</f>
        <v>90012240</v>
      </c>
      <c r="F30" s="236">
        <f t="shared" si="1"/>
        <v>46410898</v>
      </c>
      <c r="G30" s="236">
        <f t="shared" si="1"/>
        <v>51933638</v>
      </c>
      <c r="H30" s="236">
        <f t="shared" si="1"/>
        <v>44880823</v>
      </c>
      <c r="I30" s="236">
        <f t="shared" si="1"/>
        <v>1736174</v>
      </c>
      <c r="J30" s="236">
        <f t="shared" si="1"/>
        <v>3455669</v>
      </c>
      <c r="K30" s="236">
        <f t="shared" si="1"/>
        <v>5191843</v>
      </c>
      <c r="L30" s="236">
        <f t="shared" si="1"/>
        <v>50072666</v>
      </c>
      <c r="M30" s="236">
        <f t="shared" si="1"/>
        <v>2041972</v>
      </c>
      <c r="N30" s="236">
        <f t="shared" si="1"/>
        <v>23190000</v>
      </c>
      <c r="O30" s="236">
        <f t="shared" si="1"/>
        <v>61118500</v>
      </c>
      <c r="P30" s="236">
        <f t="shared" si="1"/>
        <v>1860972</v>
      </c>
      <c r="Q30" s="236">
        <f t="shared" si="1"/>
        <v>0</v>
      </c>
      <c r="R30" s="236">
        <f t="shared" si="1"/>
        <v>401000</v>
      </c>
      <c r="S30" s="236">
        <f t="shared" si="1"/>
        <v>401000</v>
      </c>
      <c r="T30" s="236">
        <f t="shared" si="1"/>
        <v>220000</v>
      </c>
      <c r="U30" s="236">
        <f t="shared" si="1"/>
        <v>22970000</v>
      </c>
      <c r="V30" s="236">
        <f t="shared" si="1"/>
        <v>7970000</v>
      </c>
      <c r="W30" s="236">
        <f t="shared" si="1"/>
        <v>0</v>
      </c>
      <c r="X30" s="236">
        <f t="shared" si="1"/>
        <v>0</v>
      </c>
      <c r="Y30" s="236">
        <f t="shared" si="1"/>
        <v>0</v>
      </c>
      <c r="Z30" s="236">
        <f t="shared" si="1"/>
        <v>0</v>
      </c>
      <c r="AA30" s="236">
        <f t="shared" si="1"/>
        <v>15000000</v>
      </c>
      <c r="AB30" s="263"/>
      <c r="AC30" s="20"/>
      <c r="AD30" s="318"/>
      <c r="AE30" s="318"/>
      <c r="AF30" s="318"/>
      <c r="AG30" s="318"/>
      <c r="AH30" s="318"/>
      <c r="AI30" s="318"/>
      <c r="AJ30" s="484"/>
      <c r="AK30" s="484"/>
      <c r="AL30" s="318"/>
      <c r="AM30" s="318"/>
      <c r="AN30" s="318"/>
      <c r="AO30" s="318"/>
      <c r="AP30" s="318"/>
      <c r="AQ30" s="318"/>
      <c r="AR30" s="318"/>
      <c r="AS30" s="318"/>
      <c r="AT30" s="663"/>
      <c r="AU30" s="663"/>
      <c r="AV30" s="663"/>
      <c r="AW30" s="663"/>
      <c r="AX30" s="663"/>
      <c r="AY30" s="664"/>
      <c r="AZ30" s="664"/>
      <c r="BA30" s="664"/>
      <c r="BB30" s="664"/>
      <c r="BC30" s="664"/>
      <c r="BD30" s="664"/>
      <c r="BE30" s="664"/>
      <c r="BF30" s="664"/>
      <c r="BG30" s="664"/>
    </row>
    <row r="31" spans="1:64" s="40" customFormat="1">
      <c r="A31" s="20"/>
      <c r="B31" s="20"/>
      <c r="C31" s="20">
        <v>74</v>
      </c>
      <c r="D31" s="236"/>
      <c r="E31" s="271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42"/>
      <c r="W31" s="236"/>
      <c r="X31" s="236"/>
      <c r="Y31" s="236"/>
      <c r="Z31" s="236"/>
      <c r="AA31" s="236"/>
      <c r="AB31" s="263"/>
      <c r="AC31" s="20"/>
      <c r="AD31" s="318"/>
      <c r="AE31" s="318"/>
      <c r="AF31" s="318"/>
      <c r="AG31" s="318"/>
      <c r="AH31" s="318"/>
      <c r="AI31" s="318"/>
      <c r="AJ31" s="484"/>
      <c r="AK31" s="484"/>
      <c r="AL31" s="318"/>
      <c r="AM31" s="318"/>
      <c r="AN31" s="318"/>
      <c r="AO31" s="318"/>
      <c r="AP31" s="318"/>
      <c r="AQ31" s="318"/>
      <c r="AR31" s="318"/>
      <c r="AS31" s="318"/>
      <c r="AT31" s="663"/>
      <c r="AU31" s="663"/>
      <c r="AV31" s="663"/>
      <c r="AW31" s="663"/>
      <c r="AX31" s="663"/>
      <c r="AY31" s="664"/>
      <c r="AZ31" s="664"/>
      <c r="BA31" s="664"/>
      <c r="BB31" s="664"/>
      <c r="BC31" s="664"/>
      <c r="BD31" s="664"/>
      <c r="BE31" s="664"/>
      <c r="BF31" s="664"/>
      <c r="BG31" s="664"/>
    </row>
    <row r="32" spans="1:64" s="6" customFormat="1" ht="51" customHeight="1">
      <c r="A32" s="3">
        <v>1</v>
      </c>
      <c r="B32" s="3">
        <f>'תקציב הנדסה 2025 '!B5</f>
        <v>592</v>
      </c>
      <c r="C32" s="202" t="str">
        <f>'תקציב הנדסה 2025 '!C5</f>
        <v>מתחם הבריגדה מתחם הר' 1960</v>
      </c>
      <c r="D32" s="4">
        <f>'תקציב הנדסה 2025 '!D5</f>
        <v>54893000</v>
      </c>
      <c r="E32" s="4">
        <f>'תקציב הנדסה 2025 '!E5</f>
        <v>54893000</v>
      </c>
      <c r="F32" s="495">
        <f>'תקציב הנדסה 2025 '!F5</f>
        <v>0</v>
      </c>
      <c r="G32" s="4">
        <f>'תקציב הנדסה 2025 '!G5</f>
        <v>21120000</v>
      </c>
      <c r="H32" s="4">
        <f>'תקציב הנדסה 2025 '!H5</f>
        <v>19882849</v>
      </c>
      <c r="I32" s="4">
        <f>'תקציב הנדסה 2025 '!I5</f>
        <v>0</v>
      </c>
      <c r="J32" s="4">
        <f>'תקציב הנדסה 2025 '!J5</f>
        <v>1069838</v>
      </c>
      <c r="K32" s="4">
        <f>'תקציב הנדסה 2025 '!K5</f>
        <v>1069838</v>
      </c>
      <c r="L32" s="4">
        <f>'תקציב הנדסה 2025 '!L5</f>
        <v>20952687</v>
      </c>
      <c r="M32" s="495">
        <f>'תקציב הנדסה 2025 '!M5</f>
        <v>167313</v>
      </c>
      <c r="N32" s="4">
        <f>'תקציב הנדסה 2025 '!N5</f>
        <v>0</v>
      </c>
      <c r="O32" s="4">
        <f>'תקציב הנדסה 2025 '!O5</f>
        <v>33773000</v>
      </c>
      <c r="P32" s="4">
        <f>'תקציב הנדסה 2025 '!P5</f>
        <v>167313</v>
      </c>
      <c r="Q32" s="310">
        <f>'תקציב הנדסה 2025 '!Q5</f>
        <v>0</v>
      </c>
      <c r="R32" s="4">
        <f>'תקציב הנדסה 2025 '!R5</f>
        <v>0</v>
      </c>
      <c r="S32" s="4">
        <f>'תקציב הנדסה 2025 '!S5</f>
        <v>0</v>
      </c>
      <c r="T32" s="495">
        <f>'תקציב הנדסה 2025 '!T5</f>
        <v>0</v>
      </c>
      <c r="U32" s="4">
        <f>'תקציב הנדסה 2025 '!U5</f>
        <v>0</v>
      </c>
      <c r="V32" s="4">
        <f>'תקציב הנדסה 2025 '!V5</f>
        <v>0</v>
      </c>
      <c r="W32" s="4">
        <f>'תקציב הנדסה 2025 '!W5</f>
        <v>0</v>
      </c>
      <c r="X32" s="4">
        <f>'תקציב הנדסה 2025 '!X5</f>
        <v>0</v>
      </c>
      <c r="Y32" s="4">
        <f>'תקציב הנדסה 2025 '!Y5</f>
        <v>0</v>
      </c>
      <c r="Z32" s="4">
        <f>'תקציב הנדסה 2025 '!Z5</f>
        <v>0</v>
      </c>
      <c r="AA32" s="3">
        <f>'תקציב הנדסה 2025 '!AA5</f>
        <v>0</v>
      </c>
      <c r="AB32" s="202" t="str">
        <f>'תקציב הנדסה 2025 '!AB5</f>
        <v xml:space="preserve">השלמת ביצוע  עבודות סלילה ופיתוח . </v>
      </c>
      <c r="AC32" s="3">
        <f>'תקציב הנדסה 2025 '!AC5</f>
        <v>742000</v>
      </c>
      <c r="AD32" s="18"/>
      <c r="AE32" s="18"/>
      <c r="AF32" s="18"/>
      <c r="AG32" s="18"/>
      <c r="AH32" s="18"/>
      <c r="AI32" s="18"/>
      <c r="AJ32" s="484"/>
      <c r="AK32" s="484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5"/>
      <c r="BF32" s="5"/>
      <c r="BG32" s="5"/>
      <c r="BH32" s="5"/>
      <c r="BI32" s="5"/>
      <c r="BJ32" s="5"/>
      <c r="BK32" s="5"/>
      <c r="BL32" s="5"/>
    </row>
    <row r="33" spans="1:64" s="5" customFormat="1" ht="53.25" customHeight="1">
      <c r="A33" s="3">
        <f t="shared" ref="A33:A51" si="2">A32+1</f>
        <v>2</v>
      </c>
      <c r="B33" s="3">
        <f>'תקציב הנדסה 2025 '!B8</f>
        <v>1018</v>
      </c>
      <c r="C33" s="202" t="str">
        <f>'תקציב הנדסה 2025 '!C8</f>
        <v>מחלף הרב מכר</v>
      </c>
      <c r="D33" s="4">
        <f>'תקציב הנדסה 2025 '!D8</f>
        <v>31900000</v>
      </c>
      <c r="E33" s="4">
        <f>'תקציב הנדסה 2025 '!E8</f>
        <v>31900000</v>
      </c>
      <c r="F33" s="495">
        <f>'תקציב הנדסה 2025 '!F8</f>
        <v>0</v>
      </c>
      <c r="G33" s="4">
        <f>'תקציב הנדסה 2025 '!G8</f>
        <v>3150000</v>
      </c>
      <c r="H33" s="4">
        <f>'תקציב הנדסה 2025 '!H8</f>
        <v>3059847</v>
      </c>
      <c r="I33" s="4">
        <f>'תקציב הנדסה 2025 '!I8</f>
        <v>84894</v>
      </c>
      <c r="J33" s="4">
        <f>'תקציב הנדסה 2025 '!J8</f>
        <v>0</v>
      </c>
      <c r="K33" s="4">
        <f>'תקציב הנדסה 2025 '!K8</f>
        <v>84894</v>
      </c>
      <c r="L33" s="4">
        <f>'תקציב הנדסה 2025 '!L8</f>
        <v>3144741</v>
      </c>
      <c r="M33" s="495">
        <f>'תקציב הנדסה 2025 '!M8</f>
        <v>259</v>
      </c>
      <c r="N33" s="4">
        <f>'תקציב הנדסה 2025 '!N8</f>
        <v>5000</v>
      </c>
      <c r="O33" s="4">
        <f>'תקציב הנדסה 2025 '!O8</f>
        <v>28750000</v>
      </c>
      <c r="P33" s="4">
        <f>'תקציב הנדסה 2025 '!P8</f>
        <v>5259</v>
      </c>
      <c r="Q33" s="310">
        <f>'תקציב הנדסה 2025 '!Q8</f>
        <v>0</v>
      </c>
      <c r="R33" s="4">
        <f>'תקציב הנדסה 2025 '!R8</f>
        <v>0</v>
      </c>
      <c r="S33" s="4">
        <f>'תקציב הנדסה 2025 '!S8</f>
        <v>0</v>
      </c>
      <c r="T33" s="495">
        <f>'תקציב הנדסה 2025 '!T8</f>
        <v>5000</v>
      </c>
      <c r="U33" s="4">
        <f>'תקציב הנדסה 2025 '!U8</f>
        <v>0</v>
      </c>
      <c r="V33" s="4">
        <f>'תקציב הנדסה 2025 '!V8</f>
        <v>0</v>
      </c>
      <c r="W33" s="4">
        <f>'תקציב הנדסה 2025 '!W8</f>
        <v>0</v>
      </c>
      <c r="X33" s="4">
        <f>'תקציב הנדסה 2025 '!X8</f>
        <v>0</v>
      </c>
      <c r="Y33" s="4">
        <f>'תקציב הנדסה 2025 '!Y8</f>
        <v>0</v>
      </c>
      <c r="Z33" s="4">
        <f>'תקציב הנדסה 2025 '!Z8</f>
        <v>0</v>
      </c>
      <c r="AA33" s="3">
        <f>'תקציב הנדסה 2025 '!AA8</f>
        <v>0</v>
      </c>
      <c r="AB33" s="202" t="str">
        <f>'תקציב הנדסה 2025 '!AB8</f>
        <v>פרויקט ממשלתי המתוקצב ע"י המדינה במקביל לרשות. תכנון שבוצע ע"י העיריה. (הרשאה רמ"י לנת"א 28 מלשח).</v>
      </c>
      <c r="AC33" s="3">
        <f>'תקציב הנדסה 2025 '!AC8</f>
        <v>742000</v>
      </c>
      <c r="AD33" s="18"/>
      <c r="AE33" s="18"/>
      <c r="AF33" s="18"/>
      <c r="AG33" s="18"/>
      <c r="AH33" s="18"/>
      <c r="AI33" s="18"/>
      <c r="AJ33" s="484"/>
      <c r="AK33" s="484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</row>
    <row r="34" spans="1:64" s="6" customFormat="1" ht="54" customHeight="1">
      <c r="A34" s="3">
        <f t="shared" si="2"/>
        <v>3</v>
      </c>
      <c r="B34" s="3">
        <f>'תקציב הנדסה 2025 '!B10</f>
        <v>1129</v>
      </c>
      <c r="C34" s="202" t="str">
        <f>'תקציב הנדסה 2025 '!C10</f>
        <v>עבודות פיתוח ותשתיות קטנות</v>
      </c>
      <c r="D34" s="4">
        <f>'תקציב הנדסה 2025 '!D10</f>
        <v>7500000</v>
      </c>
      <c r="E34" s="4">
        <f>'תקציב הנדסה 2025 '!E10</f>
        <v>7500000</v>
      </c>
      <c r="F34" s="495">
        <f>'תקציב הנדסה 2025 '!F10</f>
        <v>0</v>
      </c>
      <c r="G34" s="4">
        <f>'תקציב הנדסה 2025 '!G10</f>
        <v>6681771</v>
      </c>
      <c r="H34" s="4">
        <f>'תקציב הנדסה 2025 '!H10</f>
        <v>6552365</v>
      </c>
      <c r="I34" s="4">
        <f>'תקציב הנדסה 2025 '!I10</f>
        <v>0</v>
      </c>
      <c r="J34" s="4">
        <f>'תקציב הנדסה 2025 '!J10</f>
        <v>84923</v>
      </c>
      <c r="K34" s="4">
        <f>'תקציב הנדסה 2025 '!K10</f>
        <v>84923</v>
      </c>
      <c r="L34" s="4">
        <f>'תקציב הנדסה 2025 '!L10</f>
        <v>6637288</v>
      </c>
      <c r="M34" s="495">
        <f>'תקציב הנדסה 2025 '!M10</f>
        <v>94483</v>
      </c>
      <c r="N34" s="4">
        <f>'תקציב הנדסה 2025 '!N10</f>
        <v>300000</v>
      </c>
      <c r="O34" s="4">
        <f>'תקציב הנדסה 2025 '!O10</f>
        <v>468229</v>
      </c>
      <c r="P34" s="4">
        <f>'תקציב הנדסה 2025 '!P10</f>
        <v>44483</v>
      </c>
      <c r="Q34" s="310">
        <f>'תקציב הנדסה 2025 '!Q10</f>
        <v>0</v>
      </c>
      <c r="R34" s="4">
        <f>'תקציב הנדסה 2025 '!R10</f>
        <v>50000</v>
      </c>
      <c r="S34" s="4">
        <f>'תקציב הנדסה 2025 '!S10</f>
        <v>50000</v>
      </c>
      <c r="T34" s="495">
        <f>'תקציב הנדסה 2025 '!T10</f>
        <v>0</v>
      </c>
      <c r="U34" s="4">
        <f>'תקציב הנדסה 2025 '!U10</f>
        <v>300000</v>
      </c>
      <c r="V34" s="4">
        <f>'תקציב הנדסה 2025 '!V10</f>
        <v>300000</v>
      </c>
      <c r="W34" s="4">
        <f>'תקציב הנדסה 2025 '!W10</f>
        <v>0</v>
      </c>
      <c r="X34" s="4">
        <f>'תקציב הנדסה 2025 '!X10</f>
        <v>0</v>
      </c>
      <c r="Y34" s="4">
        <f>'תקציב הנדסה 2025 '!Y10</f>
        <v>0</v>
      </c>
      <c r="Z34" s="4">
        <f>'תקציב הנדסה 2025 '!Z10</f>
        <v>0</v>
      </c>
      <c r="AA34" s="3">
        <f>'תקציב הנדסה 2025 '!AA10</f>
        <v>0</v>
      </c>
      <c r="AB34" s="202" t="str">
        <f>'תקציב הנדסה 2025 '!AB10</f>
        <v>סל עבודות פיתוח קטנות מזדמנות הנדרשות במהלך השנה.</v>
      </c>
      <c r="AC34" s="3">
        <f>'תקציב הנדסה 2025 '!AC10</f>
        <v>742000</v>
      </c>
      <c r="AD34" s="18"/>
      <c r="AE34" s="18"/>
      <c r="AF34" s="18"/>
      <c r="AG34" s="18"/>
      <c r="AH34" s="18"/>
      <c r="AI34" s="18"/>
      <c r="AJ34" s="484"/>
      <c r="AK34" s="484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5"/>
      <c r="BF34" s="5"/>
      <c r="BG34" s="5"/>
      <c r="BH34" s="5"/>
      <c r="BI34" s="5"/>
      <c r="BJ34" s="5"/>
      <c r="BK34" s="5"/>
      <c r="BL34" s="5"/>
    </row>
    <row r="35" spans="1:64" s="6" customFormat="1" ht="47.25" customHeight="1">
      <c r="A35" s="3">
        <f t="shared" si="2"/>
        <v>4</v>
      </c>
      <c r="B35" s="3">
        <f>'תקציב הנדסה 2025 '!B12</f>
        <v>1366</v>
      </c>
      <c r="C35" s="202" t="str">
        <f>'תקציב הנדסה 2025 '!C12</f>
        <v>ליווי תשתיות לאומיות</v>
      </c>
      <c r="D35" s="4">
        <f>'תקציב הנדסה 2025 '!D12</f>
        <v>1576000</v>
      </c>
      <c r="E35" s="4">
        <f>'תקציב הנדסה 2025 '!E12</f>
        <v>1576000</v>
      </c>
      <c r="F35" s="495">
        <f>'תקציב הנדסה 2025 '!F12</f>
        <v>0</v>
      </c>
      <c r="G35" s="4">
        <f>'תקציב הנדסה 2025 '!G12</f>
        <v>1376000</v>
      </c>
      <c r="H35" s="4">
        <f>'תקציב הנדסה 2025 '!H12</f>
        <v>1073615</v>
      </c>
      <c r="I35" s="4">
        <f>'תקציב הנדסה 2025 '!I12</f>
        <v>0</v>
      </c>
      <c r="J35" s="4">
        <f>'תקציב הנדסה 2025 '!J12</f>
        <v>41533</v>
      </c>
      <c r="K35" s="4">
        <f>'תקציב הנדסה 2025 '!K12</f>
        <v>41533</v>
      </c>
      <c r="L35" s="4">
        <f>'תקציב הנדסה 2025 '!L12</f>
        <v>1115148</v>
      </c>
      <c r="M35" s="495">
        <f>'תקציב הנדסה 2025 '!M12</f>
        <v>852</v>
      </c>
      <c r="N35" s="4">
        <f>'תקציב הנדסה 2025 '!N12</f>
        <v>260000</v>
      </c>
      <c r="O35" s="4">
        <f>'תקציב הנדסה 2025 '!O12</f>
        <v>200000</v>
      </c>
      <c r="P35" s="4">
        <f>'תקציב הנדסה 2025 '!P12</f>
        <v>260852</v>
      </c>
      <c r="Q35" s="310">
        <f>'תקציב הנדסה 2025 '!Q12</f>
        <v>0</v>
      </c>
      <c r="R35" s="4">
        <f>'תקציב הנדסה 2025 '!R12</f>
        <v>0</v>
      </c>
      <c r="S35" s="4">
        <f>'תקציב הנדסה 2025 '!S12</f>
        <v>0</v>
      </c>
      <c r="T35" s="495">
        <f>'תקציב הנדסה 2025 '!T12</f>
        <v>260000</v>
      </c>
      <c r="U35" s="4">
        <f>'תקציב הנדסה 2025 '!U12</f>
        <v>0</v>
      </c>
      <c r="V35" s="4">
        <f>'תקציב הנדסה 2025 '!V12</f>
        <v>0</v>
      </c>
      <c r="W35" s="4">
        <f>'תקציב הנדסה 2025 '!W12</f>
        <v>0</v>
      </c>
      <c r="X35" s="4">
        <f>'תקציב הנדסה 2025 '!X12</f>
        <v>0</v>
      </c>
      <c r="Y35" s="4">
        <f>'תקציב הנדסה 2025 '!Y12</f>
        <v>0</v>
      </c>
      <c r="Z35" s="4">
        <f>'תקציב הנדסה 2025 '!Z12</f>
        <v>0</v>
      </c>
      <c r="AA35" s="3">
        <f>'תקציב הנדסה 2025 '!AA12</f>
        <v>0</v>
      </c>
      <c r="AB35" s="202" t="str">
        <f>'תקציב הנדסה 2025 '!AB12</f>
        <v>ליווי תוכנית הקו הירוק , קו המטרו , מהיר לעיר ואחרים המבוצעים ע"י מ. התחבורה. יועצי תנועה, מפקחים, יועצי בטיחות. מסגרת.</v>
      </c>
      <c r="AC35" s="3">
        <f>'תקציב הנדסה 2025 '!AC12</f>
        <v>742000</v>
      </c>
      <c r="AD35" s="18"/>
      <c r="AE35" s="18"/>
      <c r="AF35" s="18"/>
      <c r="AG35" s="18"/>
      <c r="AH35" s="18"/>
      <c r="AI35" s="18"/>
      <c r="AJ35" s="484"/>
      <c r="AK35" s="484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5"/>
      <c r="BF35" s="5"/>
      <c r="BG35" s="5"/>
      <c r="BH35" s="5"/>
      <c r="BI35" s="5"/>
      <c r="BJ35" s="5"/>
      <c r="BK35" s="5"/>
      <c r="BL35" s="5"/>
    </row>
    <row r="36" spans="1:64" s="5" customFormat="1" ht="61.5" customHeight="1">
      <c r="A36" s="3">
        <f t="shared" si="2"/>
        <v>5</v>
      </c>
      <c r="B36" s="3">
        <f>'תקציב הנדסה 2025 '!B19</f>
        <v>1587</v>
      </c>
      <c r="C36" s="202" t="str">
        <f>'תקציב הנדסה 2025 '!C19</f>
        <v>פיתוח מתחם המכללות הר' 1920/1</v>
      </c>
      <c r="D36" s="4">
        <f>'תקציב הנדסה 2025 '!D19</f>
        <v>34200000</v>
      </c>
      <c r="E36" s="4">
        <f>'תקציב הנדסה 2025 '!E19</f>
        <v>34200000</v>
      </c>
      <c r="F36" s="495">
        <f>'תקציב הנדסה 2025 '!F19</f>
        <v>0</v>
      </c>
      <c r="G36" s="4">
        <f>'תקציב הנדסה 2025 '!G19</f>
        <v>13910000</v>
      </c>
      <c r="H36" s="4">
        <f>'תקציב הנדסה 2025 '!H19</f>
        <v>12263788</v>
      </c>
      <c r="I36" s="4">
        <f>'תקציב הנדסה 2025 '!I19</f>
        <v>1016811</v>
      </c>
      <c r="J36" s="4">
        <f>'תקציב הנדסה 2025 '!J19</f>
        <v>209271</v>
      </c>
      <c r="K36" s="4">
        <f>'תקציב הנדסה 2025 '!K19</f>
        <v>1226082</v>
      </c>
      <c r="L36" s="4">
        <f>'תקציב הנדסה 2025 '!L19</f>
        <v>13489870</v>
      </c>
      <c r="M36" s="495">
        <f>'תקציב הנדסה 2025 '!M19</f>
        <v>20130</v>
      </c>
      <c r="N36" s="4">
        <f>'תקציב הנדסה 2025 '!N19</f>
        <v>200000</v>
      </c>
      <c r="O36" s="4">
        <f>'תקציב הנדסה 2025 '!O19</f>
        <v>20490000</v>
      </c>
      <c r="P36" s="4">
        <f>'תקציב הנדסה 2025 '!P19</f>
        <v>420130</v>
      </c>
      <c r="Q36" s="310">
        <f>'תקציב הנדסה 2025 '!Q19</f>
        <v>0</v>
      </c>
      <c r="R36" s="4">
        <f>'תקציב הנדסה 2025 '!R19</f>
        <v>-400000</v>
      </c>
      <c r="S36" s="4">
        <f>'תקציב הנדסה 2025 '!S19</f>
        <v>-400000</v>
      </c>
      <c r="T36" s="495">
        <f>'תקציב הנדסה 2025 '!T19</f>
        <v>0</v>
      </c>
      <c r="U36" s="4">
        <f>'תקציב הנדסה 2025 '!U19</f>
        <v>200000</v>
      </c>
      <c r="V36" s="4">
        <f>'תקציב הנדסה 2025 '!V19</f>
        <v>200000</v>
      </c>
      <c r="W36" s="4">
        <f>'תקציב הנדסה 2025 '!W19</f>
        <v>0</v>
      </c>
      <c r="X36" s="4">
        <f>'תקציב הנדסה 2025 '!X19</f>
        <v>0</v>
      </c>
      <c r="Y36" s="4">
        <f>'תקציב הנדסה 2025 '!Y19</f>
        <v>0</v>
      </c>
      <c r="Z36" s="4">
        <f>'תקציב הנדסה 2025 '!Z19</f>
        <v>0</v>
      </c>
      <c r="AA36" s="3">
        <f>'תקציב הנדסה 2025 '!AA19</f>
        <v>0</v>
      </c>
      <c r="AB36" s="202" t="str">
        <f>'תקציב הנדסה 2025 '!AB19</f>
        <v xml:space="preserve">עבודה סלילה, גינון ותאורה במתחם. 2025: תכנון - השלמת פיתוח שלב ב' ודרך שרות מנחם בגין. </v>
      </c>
      <c r="AC36" s="3">
        <f>'תקציב הנדסה 2025 '!AC19</f>
        <v>742000</v>
      </c>
      <c r="AD36" s="18"/>
      <c r="AE36" s="18"/>
      <c r="AF36" s="18"/>
      <c r="AG36" s="18"/>
      <c r="AH36" s="18"/>
      <c r="AI36" s="18"/>
      <c r="AJ36" s="484"/>
      <c r="AK36" s="484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</row>
    <row r="37" spans="1:64" s="5" customFormat="1" ht="40.15" customHeight="1">
      <c r="A37" s="3">
        <f t="shared" si="2"/>
        <v>6</v>
      </c>
      <c r="B37" s="3">
        <f>'תקציב הנדסה 2025 '!B20</f>
        <v>1601</v>
      </c>
      <c r="C37" s="202" t="str">
        <f>'תקציב הנדסה 2025 '!C20</f>
        <v>העתקות פרויקטים שונים</v>
      </c>
      <c r="D37" s="4">
        <f>'תקציב הנדסה 2025 '!D20</f>
        <v>700000</v>
      </c>
      <c r="E37" s="4">
        <f>'תקציב הנדסה 2025 '!E20</f>
        <v>700000</v>
      </c>
      <c r="F37" s="495">
        <f>'תקציב הנדסה 2025 '!F20</f>
        <v>0</v>
      </c>
      <c r="G37" s="4">
        <f>'תקציב הנדסה 2025 '!G20</f>
        <v>594000</v>
      </c>
      <c r="H37" s="4">
        <f>'תקציב הנדסה 2025 '!H20</f>
        <v>563211</v>
      </c>
      <c r="I37" s="4">
        <f>'תקציב הנדסה 2025 '!I20</f>
        <v>0</v>
      </c>
      <c r="J37" s="4">
        <f>'תקציב הנדסה 2025 '!J20</f>
        <v>0</v>
      </c>
      <c r="K37" s="4">
        <f>'תקציב הנדסה 2025 '!K20</f>
        <v>0</v>
      </c>
      <c r="L37" s="4">
        <f>'תקציב הנדסה 2025 '!L20</f>
        <v>563211</v>
      </c>
      <c r="M37" s="495">
        <f>'תקציב הנדסה 2025 '!M20</f>
        <v>10789</v>
      </c>
      <c r="N37" s="4">
        <f>'תקציב הנדסה 2025 '!N20</f>
        <v>20000</v>
      </c>
      <c r="O37" s="4">
        <f>'תקציב הנדסה 2025 '!O20</f>
        <v>106000</v>
      </c>
      <c r="P37" s="4">
        <f>'תקציב הנדסה 2025 '!P20</f>
        <v>30789</v>
      </c>
      <c r="Q37" s="310">
        <f>'תקציב הנדסה 2025 '!Q20</f>
        <v>0</v>
      </c>
      <c r="R37" s="4">
        <f>'תקציב הנדסה 2025 '!R20</f>
        <v>-20000</v>
      </c>
      <c r="S37" s="4">
        <f>'תקציב הנדסה 2025 '!S20</f>
        <v>-20000</v>
      </c>
      <c r="T37" s="495">
        <f>'תקציב הנדסה 2025 '!T20</f>
        <v>0</v>
      </c>
      <c r="U37" s="4">
        <f>'תקציב הנדסה 2025 '!U20</f>
        <v>20000</v>
      </c>
      <c r="V37" s="4">
        <f>'תקציב הנדסה 2025 '!V20</f>
        <v>20000</v>
      </c>
      <c r="W37" s="4">
        <f>'תקציב הנדסה 2025 '!W20</f>
        <v>0</v>
      </c>
      <c r="X37" s="4">
        <f>'תקציב הנדסה 2025 '!X20</f>
        <v>0</v>
      </c>
      <c r="Y37" s="4">
        <f>'תקציב הנדסה 2025 '!Y20</f>
        <v>0</v>
      </c>
      <c r="Z37" s="4">
        <f>'תקציב הנדסה 2025 '!Z20</f>
        <v>0</v>
      </c>
      <c r="AA37" s="3">
        <f>'תקציב הנדסה 2025 '!AA20</f>
        <v>0</v>
      </c>
      <c r="AB37" s="202" t="str">
        <f>'תקציב הנדסה 2025 '!AB20</f>
        <v>סל העתקות אור של תוכניות הפרויקטים השונים.</v>
      </c>
      <c r="AC37" s="3">
        <f>'תקציב הנדסה 2025 '!AC20</f>
        <v>742000</v>
      </c>
      <c r="AD37" s="18"/>
      <c r="AE37" s="18"/>
      <c r="AF37" s="18"/>
      <c r="AG37" s="18"/>
      <c r="AH37" s="18"/>
      <c r="AI37" s="18"/>
      <c r="AJ37" s="484"/>
      <c r="AK37" s="484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6"/>
      <c r="BF37" s="6"/>
      <c r="BG37" s="6"/>
      <c r="BH37" s="6"/>
      <c r="BI37" s="6"/>
      <c r="BJ37" s="6"/>
      <c r="BK37" s="6"/>
      <c r="BL37" s="6"/>
    </row>
    <row r="38" spans="1:64" s="5" customFormat="1" ht="84" customHeight="1">
      <c r="A38" s="3">
        <f t="shared" si="2"/>
        <v>7</v>
      </c>
      <c r="B38" s="3">
        <f>'תקציב הנדסה 2025 '!B23</f>
        <v>1744</v>
      </c>
      <c r="C38" s="202" t="str">
        <f>'תקציב הנדסה 2025 '!C23</f>
        <v>מערכת בקרת רמזורים</v>
      </c>
      <c r="D38" s="4">
        <f>'תקציב הנדסה 2025 '!D23</f>
        <v>13000000</v>
      </c>
      <c r="E38" s="4">
        <f>'תקציב הנדסה 2025 '!E23</f>
        <v>13000000</v>
      </c>
      <c r="F38" s="495">
        <f>'תקציב הנדסה 2025 '!F23</f>
        <v>0</v>
      </c>
      <c r="G38" s="4">
        <f>'תקציב הנדסה 2025 '!G23</f>
        <v>6950000</v>
      </c>
      <c r="H38" s="4">
        <f>'תקציב הנדסה 2025 '!H23</f>
        <v>6385962</v>
      </c>
      <c r="I38" s="4">
        <f>'תקציב הנדסה 2025 '!I23</f>
        <v>0</v>
      </c>
      <c r="J38" s="4">
        <f>'תקציב הנדסה 2025 '!J23</f>
        <v>418061</v>
      </c>
      <c r="K38" s="4">
        <f>'תקציב הנדסה 2025 '!K23</f>
        <v>418061</v>
      </c>
      <c r="L38" s="4">
        <f>'תקציב הנדסה 2025 '!L23</f>
        <v>6804023</v>
      </c>
      <c r="M38" s="495">
        <f>'תקציב הנדסה 2025 '!M23</f>
        <v>345977</v>
      </c>
      <c r="N38" s="4">
        <f>'תקציב הנדסה 2025 '!N23</f>
        <v>250000</v>
      </c>
      <c r="O38" s="4">
        <f>'תקציב הנדסה 2025 '!O23</f>
        <v>5600000</v>
      </c>
      <c r="P38" s="4">
        <f>'תקציב הנדסה 2025 '!P23</f>
        <v>145977</v>
      </c>
      <c r="Q38" s="310">
        <f>'תקציב הנדסה 2025 '!Q23</f>
        <v>0</v>
      </c>
      <c r="R38" s="4">
        <f>'תקציב הנדסה 2025 '!R23</f>
        <v>200000</v>
      </c>
      <c r="S38" s="4">
        <f>'תקציב הנדסה 2025 '!S23</f>
        <v>200000</v>
      </c>
      <c r="T38" s="495">
        <f>'תקציב הנדסה 2025 '!T23</f>
        <v>0</v>
      </c>
      <c r="U38" s="4">
        <f>'תקציב הנדסה 2025 '!U23</f>
        <v>250000</v>
      </c>
      <c r="V38" s="4">
        <f>'תקציב הנדסה 2025 '!V23</f>
        <v>250000</v>
      </c>
      <c r="W38" s="4">
        <f>'תקציב הנדסה 2025 '!W23</f>
        <v>0</v>
      </c>
      <c r="X38" s="4">
        <f>'תקציב הנדסה 2025 '!X23</f>
        <v>0</v>
      </c>
      <c r="Y38" s="4">
        <f>'תקציב הנדסה 2025 '!Y23</f>
        <v>0</v>
      </c>
      <c r="Z38" s="4">
        <f>'תקציב הנדסה 2025 '!Z23</f>
        <v>0</v>
      </c>
      <c r="AA38" s="3">
        <f>'תקציב הנדסה 2025 '!AA23</f>
        <v>0</v>
      </c>
      <c r="AB38" s="202" t="str">
        <f>'תקציב הנדסה 2025 '!AB23</f>
        <v>ליווי ותכ' יועץ רמזורים לעדכון מע.בקרת רמזורים בעיר עקב צמתים ורמזורים חדשים.</v>
      </c>
      <c r="AC38" s="3">
        <f>'תקציב הנדסה 2025 '!AC23</f>
        <v>742000</v>
      </c>
      <c r="AD38" s="18"/>
      <c r="AE38" s="18"/>
      <c r="AF38" s="18"/>
      <c r="AG38" s="18"/>
      <c r="AH38" s="18"/>
      <c r="AI38" s="18"/>
      <c r="AJ38" s="484"/>
      <c r="AK38" s="484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6"/>
      <c r="BF38" s="6"/>
      <c r="BG38" s="6"/>
      <c r="BH38" s="6"/>
      <c r="BI38" s="6"/>
      <c r="BJ38" s="6"/>
      <c r="BK38" s="6"/>
      <c r="BL38" s="6"/>
    </row>
    <row r="39" spans="1:64" s="5" customFormat="1" ht="67.5" customHeight="1">
      <c r="A39" s="3">
        <f t="shared" si="2"/>
        <v>8</v>
      </c>
      <c r="B39" s="19">
        <f>'תקציב הנדסה 2025 '!B25</f>
        <v>2105</v>
      </c>
      <c r="C39" s="202" t="str">
        <f>'תקציב הנדסה 2025 '!C25</f>
        <v>הארכת דרך ירושלים והתחברות אליה</v>
      </c>
      <c r="D39" s="4">
        <f>'תקציב הנדסה 2025 '!D25</f>
        <v>60000000</v>
      </c>
      <c r="E39" s="4">
        <f>'תקציב הנדסה 2025 '!E25</f>
        <v>60000000</v>
      </c>
      <c r="F39" s="495">
        <f>'תקציב הנדסה 2025 '!F25</f>
        <v>0</v>
      </c>
      <c r="G39" s="4">
        <f>'תקציב הנדסה 2025 '!G25</f>
        <v>268000</v>
      </c>
      <c r="H39" s="4">
        <f>'תקציב הנדסה 2025 '!H25</f>
        <v>49428</v>
      </c>
      <c r="I39" s="4">
        <f>'תקציב הנדסה 2025 '!I25</f>
        <v>0</v>
      </c>
      <c r="J39" s="4">
        <f>'תקציב הנדסה 2025 '!J25</f>
        <v>217768</v>
      </c>
      <c r="K39" s="4">
        <f>'תקציב הנדסה 2025 '!K25</f>
        <v>217768</v>
      </c>
      <c r="L39" s="4">
        <f>'תקציב הנדסה 2025 '!L25</f>
        <v>267196</v>
      </c>
      <c r="M39" s="495">
        <f>'תקציב הנדסה 2025 '!M25</f>
        <v>804</v>
      </c>
      <c r="N39" s="4">
        <f>'תקציב הנדסה 2025 '!N25</f>
        <v>500000</v>
      </c>
      <c r="O39" s="4">
        <f>'תקציב הנדסה 2025 '!O25</f>
        <v>59232000</v>
      </c>
      <c r="P39" s="4">
        <f>'תקציב הנדסה 2025 '!P25</f>
        <v>804</v>
      </c>
      <c r="Q39" s="310">
        <f>'תקציב הנדסה 2025 '!Q25</f>
        <v>0</v>
      </c>
      <c r="R39" s="4">
        <f>'תקציב הנדסה 2025 '!R25</f>
        <v>0</v>
      </c>
      <c r="S39" s="4">
        <f>'תקציב הנדסה 2025 '!S25</f>
        <v>0</v>
      </c>
      <c r="T39" s="495">
        <f>'תקציב הנדסה 2025 '!T25</f>
        <v>0</v>
      </c>
      <c r="U39" s="4">
        <f>'תקציב הנדסה 2025 '!U25</f>
        <v>500000</v>
      </c>
      <c r="V39" s="4">
        <f>'תקציב הנדסה 2025 '!V25</f>
        <v>500000</v>
      </c>
      <c r="W39" s="4">
        <f>'תקציב הנדסה 2025 '!W25</f>
        <v>0</v>
      </c>
      <c r="X39" s="4">
        <f>'תקציב הנדסה 2025 '!X25</f>
        <v>0</v>
      </c>
      <c r="Y39" s="4">
        <f>'תקציב הנדסה 2025 '!Y25</f>
        <v>0</v>
      </c>
      <c r="Z39" s="4">
        <f>'תקציב הנדסה 2025 '!Z25</f>
        <v>0</v>
      </c>
      <c r="AA39" s="3">
        <f>'תקציב הנדסה 2025 '!AA25</f>
        <v>0</v>
      </c>
      <c r="AB39" s="496" t="str">
        <f>'תקציב הנדסה 2025 '!AB25</f>
        <v xml:space="preserve">הארכת דרך ירושלים  מרחוב סוקולוב עד ליפקין שחק כולל דרך ושביל אופניים , פיתוח רחוב יבנה והנגב . </v>
      </c>
      <c r="AC39" s="3">
        <f>'תקציב הנדסה 2025 '!AC25</f>
        <v>742000</v>
      </c>
      <c r="AD39" s="18"/>
      <c r="AE39" s="18"/>
      <c r="AF39" s="18"/>
      <c r="AG39" s="18"/>
      <c r="AH39" s="18"/>
      <c r="AI39" s="18"/>
      <c r="AJ39" s="484"/>
      <c r="AK39" s="484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6"/>
      <c r="BF39" s="6"/>
      <c r="BG39" s="6"/>
      <c r="BH39" s="6"/>
      <c r="BI39" s="6"/>
      <c r="BJ39" s="6"/>
      <c r="BK39" s="6"/>
      <c r="BL39" s="6"/>
    </row>
    <row r="40" spans="1:64" s="5" customFormat="1" ht="38.25" customHeight="1">
      <c r="A40" s="3">
        <f t="shared" si="2"/>
        <v>9</v>
      </c>
      <c r="B40" s="19">
        <f>'תקציב הנדסה 2025 '!B29</f>
        <v>2121</v>
      </c>
      <c r="C40" s="202" t="str">
        <f>'תקציב הנדסה 2025 '!C29</f>
        <v>צומת הבריגדה היהודית -מנחם בגין- בטיחות</v>
      </c>
      <c r="D40" s="4">
        <f>'תקציב הנדסה 2025 '!D29</f>
        <v>2100000</v>
      </c>
      <c r="E40" s="4">
        <f>'תקציב הנדסה 2025 '!E29</f>
        <v>1290000</v>
      </c>
      <c r="F40" s="495">
        <f>'תקציב הנדסה 2025 '!F29</f>
        <v>810000</v>
      </c>
      <c r="G40" s="4">
        <f>'תקציב הנדסה 2025 '!G29</f>
        <v>1100000</v>
      </c>
      <c r="H40" s="4">
        <f>'תקציב הנדסה 2025 '!H29</f>
        <v>209071</v>
      </c>
      <c r="I40" s="4">
        <f>'תקציב הנדסה 2025 '!I29</f>
        <v>0</v>
      </c>
      <c r="J40" s="4">
        <f>'תקציב הנדסה 2025 '!J29</f>
        <v>96923</v>
      </c>
      <c r="K40" s="4">
        <f>'תקציב הנדסה 2025 '!K29</f>
        <v>96923</v>
      </c>
      <c r="L40" s="4">
        <f>'תקציב הנדסה 2025 '!L29</f>
        <v>305994</v>
      </c>
      <c r="M40" s="495">
        <f>'תקציב הנדסה 2025 '!M29</f>
        <v>794006</v>
      </c>
      <c r="N40" s="4">
        <f>'תקציב הנדסה 2025 '!N29</f>
        <v>200000</v>
      </c>
      <c r="O40" s="4">
        <f>'תקציב הנדסה 2025 '!O29</f>
        <v>800000</v>
      </c>
      <c r="P40" s="4">
        <f>'תקציב הנדסה 2025 '!P29</f>
        <v>794006</v>
      </c>
      <c r="Q40" s="310">
        <f>'תקציב הנדסה 2025 '!Q29</f>
        <v>0</v>
      </c>
      <c r="R40" s="4">
        <f>'תקציב הנדסה 2025 '!R29</f>
        <v>0</v>
      </c>
      <c r="S40" s="4">
        <f>'תקציב הנדסה 2025 '!S29</f>
        <v>0</v>
      </c>
      <c r="T40" s="495">
        <f>'תקציב הנדסה 2025 '!T29</f>
        <v>0</v>
      </c>
      <c r="U40" s="4">
        <f>'תקציב הנדסה 2025 '!U29</f>
        <v>200000</v>
      </c>
      <c r="V40" s="4">
        <f>'תקציב הנדסה 2025 '!V29</f>
        <v>200000</v>
      </c>
      <c r="W40" s="4">
        <f>'תקציב הנדסה 2025 '!W29</f>
        <v>0</v>
      </c>
      <c r="X40" s="4">
        <f>'תקציב הנדסה 2025 '!X29</f>
        <v>0</v>
      </c>
      <c r="Y40" s="4">
        <f>'תקציב הנדסה 2025 '!Y29</f>
        <v>0</v>
      </c>
      <c r="Z40" s="4">
        <f>'תקציב הנדסה 2025 '!Z29</f>
        <v>0</v>
      </c>
      <c r="AA40" s="495">
        <f>'תקציב הנדסה 2025 '!AA29</f>
        <v>0</v>
      </c>
      <c r="AB40" s="202" t="str">
        <f>'תקציב הנדסה 2025 '!AB29</f>
        <v>תכנון וביצוע צומת הבריגדה היהודית -מנחם בגין עקב ריבוי תאונות דרכים עפ"י נתוני הרלב"ד. מימון מ. התחבורה.</v>
      </c>
      <c r="AC40" s="3">
        <f>'תקציב הנדסה 2025 '!AC29</f>
        <v>742000</v>
      </c>
      <c r="AD40" s="18"/>
      <c r="AE40" s="18"/>
      <c r="AF40" s="18"/>
      <c r="AG40" s="18"/>
      <c r="AH40" s="18"/>
      <c r="AI40" s="18"/>
      <c r="AJ40" s="484"/>
      <c r="AK40" s="484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</row>
    <row r="41" spans="1:64" s="5" customFormat="1" ht="30.75" customHeight="1">
      <c r="A41" s="3">
        <f t="shared" si="2"/>
        <v>10</v>
      </c>
      <c r="B41" s="19">
        <f>'תקציב הנדסה 2025 '!B31</f>
        <v>2190</v>
      </c>
      <c r="C41" s="202" t="str">
        <f>'תקציב הנדסה 2025 '!C31</f>
        <v>תכנון הסדרת צומת אשל- בזל</v>
      </c>
      <c r="D41" s="4">
        <f>'תקציב הנדסה 2025 '!D31</f>
        <v>42618</v>
      </c>
      <c r="E41" s="4">
        <f>'תקציב הנדסה 2025 '!E31</f>
        <v>42618</v>
      </c>
      <c r="F41" s="495">
        <f>'תקציב הנדסה 2025 '!F31</f>
        <v>0</v>
      </c>
      <c r="G41" s="4">
        <f>'תקציב הנדסה 2025 '!G31</f>
        <v>42618</v>
      </c>
      <c r="H41" s="4">
        <f>'תקציב הנדסה 2025 '!H31</f>
        <v>42618</v>
      </c>
      <c r="I41" s="4">
        <f>'תקציב הנדסה 2025 '!I31</f>
        <v>0</v>
      </c>
      <c r="J41" s="4">
        <f>'תקציב הנדסה 2025 '!J31</f>
        <v>0</v>
      </c>
      <c r="K41" s="4">
        <f>'תקציב הנדסה 2025 '!K31</f>
        <v>0</v>
      </c>
      <c r="L41" s="4">
        <f>'תקציב הנדסה 2025 '!L31</f>
        <v>42618</v>
      </c>
      <c r="M41" s="495">
        <f>'תקציב הנדסה 2025 '!M31</f>
        <v>0</v>
      </c>
      <c r="N41" s="497">
        <f>'תקציב הנדסה 2025 '!N31</f>
        <v>0</v>
      </c>
      <c r="O41" s="4">
        <f>'תקציב הנדסה 2025 '!O31</f>
        <v>0</v>
      </c>
      <c r="P41" s="4">
        <f>'תקציב הנדסה 2025 '!P31</f>
        <v>0</v>
      </c>
      <c r="Q41" s="310">
        <f>'תקציב הנדסה 2025 '!Q31</f>
        <v>0</v>
      </c>
      <c r="R41" s="4">
        <f>'תקציב הנדסה 2025 '!R31</f>
        <v>0</v>
      </c>
      <c r="S41" s="4">
        <f>'תקציב הנדסה 2025 '!S31</f>
        <v>0</v>
      </c>
      <c r="T41" s="495">
        <f>'תקציב הנדסה 2025 '!T31</f>
        <v>0</v>
      </c>
      <c r="U41" s="4">
        <f>'תקציב הנדסה 2025 '!U31</f>
        <v>0</v>
      </c>
      <c r="V41" s="4">
        <f>'תקציב הנדסה 2025 '!V31</f>
        <v>0</v>
      </c>
      <c r="W41" s="4">
        <f>'תקציב הנדסה 2025 '!W31</f>
        <v>0</v>
      </c>
      <c r="X41" s="4">
        <f>'תקציב הנדסה 2025 '!X31</f>
        <v>0</v>
      </c>
      <c r="Y41" s="4">
        <f>'תקציב הנדסה 2025 '!Y31</f>
        <v>0</v>
      </c>
      <c r="Z41" s="4">
        <f>'תקציב הנדסה 2025 '!Z31</f>
        <v>0</v>
      </c>
      <c r="AA41" s="4">
        <f>'תקציב הנדסה 2025 '!AA31</f>
        <v>0</v>
      </c>
      <c r="AB41" s="202" t="str">
        <f>'תקציב הנדסה 2025 '!AB31</f>
        <v>תכנון צומת אשל בזל . פרויקט בטיחותי. מימון מ. התחבורה. הסתיים. (ממתין לתקבול מ. התחבורה).</v>
      </c>
      <c r="AC41" s="3">
        <f>'תקציב הנדסה 2025 '!AC31</f>
        <v>742000</v>
      </c>
      <c r="AD41" s="18"/>
      <c r="AE41" s="18"/>
      <c r="AF41" s="18"/>
      <c r="AG41" s="18"/>
      <c r="AH41" s="18"/>
      <c r="AI41" s="18"/>
      <c r="AJ41" s="484"/>
      <c r="AK41" s="484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23"/>
      <c r="AW41" s="123"/>
      <c r="AX41" s="123"/>
      <c r="AY41" s="123"/>
      <c r="AZ41" s="123"/>
      <c r="BA41" s="123"/>
      <c r="BB41" s="123"/>
      <c r="BC41" s="123"/>
      <c r="BD41" s="256"/>
      <c r="BE41" s="256"/>
      <c r="BF41" s="256"/>
      <c r="BG41" s="256"/>
      <c r="BH41" s="256"/>
      <c r="BI41" s="256"/>
      <c r="BJ41" s="256"/>
      <c r="BK41" s="256"/>
      <c r="BL41" s="256"/>
    </row>
    <row r="42" spans="1:64" s="5" customFormat="1" ht="50.25" customHeight="1">
      <c r="A42" s="3">
        <f t="shared" si="2"/>
        <v>11</v>
      </c>
      <c r="B42" s="19">
        <f>'תקציב הנדסה 2025 '!B32</f>
        <v>2193</v>
      </c>
      <c r="C42" s="202" t="str">
        <f>'תקציב הנדסה 2025 '!C32</f>
        <v>תוכנית תפעולית במסגרת "מהיר לעיר"</v>
      </c>
      <c r="D42" s="4">
        <f>'תקציב הנדסה 2025 '!D32</f>
        <v>745000</v>
      </c>
      <c r="E42" s="4">
        <f>'תקציב הנדסה 2025 '!E32</f>
        <v>500000</v>
      </c>
      <c r="F42" s="495">
        <f>'תקציב הנדסה 2025 '!F32</f>
        <v>245000</v>
      </c>
      <c r="G42" s="4">
        <f>'תקציב הנדסה 2025 '!G32</f>
        <v>250000</v>
      </c>
      <c r="H42" s="4">
        <f>'תקציב הנדסה 2025 '!H32</f>
        <v>34902</v>
      </c>
      <c r="I42" s="4">
        <f>'תקציב הנדסה 2025 '!I32</f>
        <v>0</v>
      </c>
      <c r="J42" s="4">
        <f>'תקציב הנדסה 2025 '!J32</f>
        <v>88478</v>
      </c>
      <c r="K42" s="4">
        <f>'תקציב הנדסה 2025 '!K32</f>
        <v>88478</v>
      </c>
      <c r="L42" s="4">
        <f>'תקציב הנדסה 2025 '!L32</f>
        <v>123380</v>
      </c>
      <c r="M42" s="495">
        <f>'תקציב הנדסה 2025 '!M32</f>
        <v>126620</v>
      </c>
      <c r="N42" s="4">
        <f>'תקציב הנדסה 2025 '!N32</f>
        <v>200000</v>
      </c>
      <c r="O42" s="4">
        <f>'תקציב הנדסה 2025 '!O32</f>
        <v>295000</v>
      </c>
      <c r="P42" s="4">
        <f>'תקציב הנדסה 2025 '!P32</f>
        <v>126620</v>
      </c>
      <c r="Q42" s="310">
        <f>'תקציב הנדסה 2025 '!Q32</f>
        <v>0</v>
      </c>
      <c r="R42" s="4">
        <f>'תקציב הנדסה 2025 '!R32</f>
        <v>0</v>
      </c>
      <c r="S42" s="4">
        <f>'תקציב הנדסה 2025 '!S32</f>
        <v>0</v>
      </c>
      <c r="T42" s="495">
        <f>'תקציב הנדסה 2025 '!T32</f>
        <v>0</v>
      </c>
      <c r="U42" s="4">
        <f>'תקציב הנדסה 2025 '!U32</f>
        <v>200000</v>
      </c>
      <c r="V42" s="4">
        <f>'תקציב הנדסה 2025 '!V32</f>
        <v>200000</v>
      </c>
      <c r="W42" s="4">
        <f>'תקציב הנדסה 2025 '!W32</f>
        <v>0</v>
      </c>
      <c r="X42" s="4">
        <f>'תקציב הנדסה 2025 '!X32</f>
        <v>0</v>
      </c>
      <c r="Y42" s="4">
        <f>'תקציב הנדסה 2025 '!Y32</f>
        <v>0</v>
      </c>
      <c r="Z42" s="4">
        <f>'תקציב הנדסה 2025 '!Z32</f>
        <v>0</v>
      </c>
      <c r="AA42" s="3">
        <f>'תקציב הנדסה 2025 '!AA32</f>
        <v>0</v>
      </c>
      <c r="AB42" s="202" t="str">
        <f>'תקציב הנדסה 2025 '!AB32</f>
        <v>מסגרת. הקמת תחנות אוטובוס , תחנות קצה ותשתיות בהתאם לצורך, במסגרת התוכנית התפעולית של "מהיר לעיר".</v>
      </c>
      <c r="AC42" s="3">
        <f>'תקציב הנדסה 2025 '!AC32</f>
        <v>742000</v>
      </c>
      <c r="AD42" s="18"/>
      <c r="AE42" s="18"/>
      <c r="AF42" s="18"/>
      <c r="AG42" s="18"/>
      <c r="AH42" s="18"/>
      <c r="AI42" s="18"/>
      <c r="AJ42" s="484"/>
      <c r="AK42" s="484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</row>
    <row r="43" spans="1:64" s="5" customFormat="1" ht="60" customHeight="1">
      <c r="A43" s="3">
        <f t="shared" si="2"/>
        <v>12</v>
      </c>
      <c r="B43" s="19">
        <f>'תקציב הנדסה 2025 '!B36</f>
        <v>20001</v>
      </c>
      <c r="C43" s="202" t="str">
        <f>'תקציב הנדסה 2025 '!C36</f>
        <v>רחוב אזר ההסתדרות</v>
      </c>
      <c r="D43" s="4">
        <f>'תקציב הנדסה 2025 '!D36</f>
        <v>4000000</v>
      </c>
      <c r="E43" s="4">
        <f>'תקציב הנדסה 2025 '!E36</f>
        <v>3200000</v>
      </c>
      <c r="F43" s="495">
        <f>'תקציב הנדסה 2025 '!F36</f>
        <v>800000</v>
      </c>
      <c r="G43" s="4">
        <f>'תקציב הנדסה 2025 '!G36</f>
        <v>150000</v>
      </c>
      <c r="H43" s="4">
        <f>'תקציב הנדסה 2025 '!H36</f>
        <v>7728</v>
      </c>
      <c r="I43" s="4">
        <f>'תקציב הנדסה 2025 '!I36</f>
        <v>0</v>
      </c>
      <c r="J43" s="4">
        <f>'תקציב הנדסה 2025 '!J36</f>
        <v>100929</v>
      </c>
      <c r="K43" s="4">
        <f>'תקציב הנדסה 2025 '!K36</f>
        <v>100929</v>
      </c>
      <c r="L43" s="4">
        <f>'תקציב הנדסה 2025 '!L36</f>
        <v>108657</v>
      </c>
      <c r="M43" s="495">
        <f>'תקציב הנדסה 2025 '!M36</f>
        <v>1343</v>
      </c>
      <c r="N43" s="4">
        <f>'תקציב הנדסה 2025 '!N36</f>
        <v>0</v>
      </c>
      <c r="O43" s="4">
        <f>'תקציב הנדסה 2025 '!O36</f>
        <v>3890000</v>
      </c>
      <c r="P43" s="4">
        <f>'תקציב הנדסה 2025 '!P36</f>
        <v>41343</v>
      </c>
      <c r="Q43" s="310">
        <f>'תקציב הנדסה 2025 '!Q36</f>
        <v>0</v>
      </c>
      <c r="R43" s="4">
        <f>'תקציב הנדסה 2025 '!R36</f>
        <v>-40000</v>
      </c>
      <c r="S43" s="4">
        <f>'תקציב הנדסה 2025 '!S36</f>
        <v>-40000</v>
      </c>
      <c r="T43" s="495">
        <f>'תקציב הנדסה 2025 '!T36</f>
        <v>0</v>
      </c>
      <c r="U43" s="4">
        <f>'תקציב הנדסה 2025 '!U36</f>
        <v>0</v>
      </c>
      <c r="V43" s="4">
        <f>'תקציב הנדסה 2025 '!V36</f>
        <v>0</v>
      </c>
      <c r="W43" s="4">
        <f>'תקציב הנדסה 2025 '!W36</f>
        <v>0</v>
      </c>
      <c r="X43" s="4">
        <f>'תקציב הנדסה 2025 '!X36</f>
        <v>0</v>
      </c>
      <c r="Y43" s="4">
        <f>'תקציב הנדסה 2025 '!Y36</f>
        <v>0</v>
      </c>
      <c r="Z43" s="4">
        <f>'תקציב הנדסה 2025 '!Z36</f>
        <v>0</v>
      </c>
      <c r="AA43" s="3">
        <f>'תקציב הנדסה 2025 '!AA36</f>
        <v>0</v>
      </c>
      <c r="AB43" s="202" t="str">
        <f>'תקציב הנדסה 2025 '!AB36</f>
        <v xml:space="preserve">עבודות פיתוח הרחובות. </v>
      </c>
      <c r="AC43" s="3">
        <f>'תקציב הנדסה 2025 '!AC36</f>
        <v>742000</v>
      </c>
      <c r="AD43" s="18"/>
      <c r="AE43" s="18"/>
      <c r="AF43" s="18"/>
      <c r="AG43" s="18"/>
      <c r="AH43" s="18"/>
      <c r="AI43" s="18"/>
      <c r="AJ43" s="484"/>
      <c r="AK43" s="484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6"/>
      <c r="BF43" s="6"/>
      <c r="BG43" s="6"/>
      <c r="BH43" s="6"/>
      <c r="BI43" s="6"/>
      <c r="BJ43" s="6"/>
      <c r="BK43" s="6"/>
      <c r="BL43" s="6"/>
    </row>
    <row r="44" spans="1:64" s="5" customFormat="1" ht="35.25" customHeight="1">
      <c r="A44" s="3">
        <f t="shared" si="2"/>
        <v>13</v>
      </c>
      <c r="B44" s="19">
        <f>'תקציב הנדסה 2025 '!B37</f>
        <v>20002</v>
      </c>
      <c r="C44" s="202" t="str">
        <f>'תקציב הנדסה 2025 '!C37</f>
        <v>שדרוג מובל ניקוז בנעמי שמר</v>
      </c>
      <c r="D44" s="4">
        <f>'תקציב הנדסה 2025 '!D37</f>
        <v>7460000</v>
      </c>
      <c r="E44" s="4">
        <f>'תקציב הנדסה 2025 '!E37</f>
        <v>7460000</v>
      </c>
      <c r="F44" s="495">
        <f>'תקציב הנדסה 2025 '!F37</f>
        <v>0</v>
      </c>
      <c r="G44" s="4">
        <f>'תקציב הנדסה 2025 '!G37</f>
        <v>4950000</v>
      </c>
      <c r="H44" s="4">
        <f>'תקציב הנדסה 2025 '!H37</f>
        <v>4946834</v>
      </c>
      <c r="I44" s="4">
        <f>'תקציב הנדסה 2025 '!I37</f>
        <v>0</v>
      </c>
      <c r="J44" s="4">
        <f>'תקציב הנדסה 2025 '!J37</f>
        <v>0</v>
      </c>
      <c r="K44" s="4">
        <f>'תקציב הנדסה 2025 '!K37</f>
        <v>0</v>
      </c>
      <c r="L44" s="4">
        <f>'תקציב הנדסה 2025 '!L37</f>
        <v>4946834</v>
      </c>
      <c r="M44" s="495">
        <f>'תקציב הנדסה 2025 '!M37</f>
        <v>2513166</v>
      </c>
      <c r="N44" s="497">
        <f>'תקציב הנדסה 2025 '!N37</f>
        <v>0</v>
      </c>
      <c r="O44" s="4">
        <f>'תקציב הנדסה 2025 '!O37</f>
        <v>0</v>
      </c>
      <c r="P44" s="4">
        <f>'תקציב הנדסה 2025 '!P37</f>
        <v>3166</v>
      </c>
      <c r="Q44" s="310">
        <f>'תקציב הנדסה 2025 '!Q37</f>
        <v>0</v>
      </c>
      <c r="R44" s="4">
        <f>'תקציב הנדסה 2025 '!R37</f>
        <v>2510000</v>
      </c>
      <c r="S44" s="4">
        <f>'תקציב הנדסה 2025 '!S37</f>
        <v>2510000</v>
      </c>
      <c r="T44" s="495">
        <f>'תקציב הנדסה 2025 '!T37</f>
        <v>0</v>
      </c>
      <c r="U44" s="4">
        <f>'תקציב הנדסה 2025 '!U37</f>
        <v>0</v>
      </c>
      <c r="V44" s="4">
        <f>'תקציב הנדסה 2025 '!V37</f>
        <v>0</v>
      </c>
      <c r="W44" s="4">
        <f>'תקציב הנדסה 2025 '!W37</f>
        <v>0</v>
      </c>
      <c r="X44" s="4">
        <f>'תקציב הנדסה 2025 '!X37</f>
        <v>0</v>
      </c>
      <c r="Y44" s="4">
        <f>'תקציב הנדסה 2025 '!Y37</f>
        <v>0</v>
      </c>
      <c r="Z44" s="4">
        <f>'תקציב הנדסה 2025 '!Z37</f>
        <v>0</v>
      </c>
      <c r="AA44" s="3">
        <f>'תקציב הנדסה 2025 '!AA37</f>
        <v>0</v>
      </c>
      <c r="AB44" s="202" t="str">
        <f>'תקציב הנדסה 2025 '!AB37</f>
        <v>תכנון וביצוע של עבודות שדרוג פנימי של המובל בנעמי שמר להגדלת כושר ההולכה.</v>
      </c>
      <c r="AC44" s="3">
        <f>'תקציב הנדסה 2025 '!AC37</f>
        <v>742000</v>
      </c>
      <c r="AD44" s="18"/>
      <c r="AE44" s="18"/>
      <c r="AF44" s="18"/>
      <c r="AG44" s="18"/>
      <c r="AH44" s="18"/>
      <c r="AI44" s="18"/>
      <c r="AJ44" s="484"/>
      <c r="AK44" s="484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</row>
    <row r="45" spans="1:64" s="5" customFormat="1" ht="31.5" customHeight="1">
      <c r="A45" s="3">
        <f t="shared" si="2"/>
        <v>14</v>
      </c>
      <c r="B45" s="19">
        <f>'תקציב הנדסה 2025 '!B45</f>
        <v>20105</v>
      </c>
      <c r="C45" s="222" t="str">
        <f>'תקציב הנדסה 2025 '!C45</f>
        <v>כיכר אלי לנדאו ניל"י</v>
      </c>
      <c r="D45" s="112">
        <f>'תקציב הנדסה 2025 '!D45</f>
        <v>3500000</v>
      </c>
      <c r="E45" s="112">
        <f>'תקציב הנדסה 2025 '!E45</f>
        <v>3500000</v>
      </c>
      <c r="F45" s="257">
        <f>'תקציב הנדסה 2025 '!F45</f>
        <v>0</v>
      </c>
      <c r="G45" s="112">
        <f>'תקציב הנדסה 2025 '!G45</f>
        <v>0</v>
      </c>
      <c r="H45" s="112">
        <f>'תקציב הנדסה 2025 '!H45</f>
        <v>0</v>
      </c>
      <c r="I45" s="112">
        <f>'תקציב הנדסה 2025 '!I45</f>
        <v>0</v>
      </c>
      <c r="J45" s="112">
        <f>'תקציב הנדסה 2025 '!J45</f>
        <v>0</v>
      </c>
      <c r="K45" s="112">
        <f>'תקציב הנדסה 2025 '!K45</f>
        <v>0</v>
      </c>
      <c r="L45" s="112">
        <f>'תקציב הנדסה 2025 '!L45</f>
        <v>0</v>
      </c>
      <c r="M45" s="495">
        <f>'תקציב הנדסה 2025 '!M45</f>
        <v>0</v>
      </c>
      <c r="N45" s="4">
        <f>'תקציב הנדסה 2025 '!N45</f>
        <v>0</v>
      </c>
      <c r="O45" s="4">
        <f>'תקציב הנדסה 2025 '!O45</f>
        <v>3500000</v>
      </c>
      <c r="P45" s="112">
        <f>'תקציב הנדסה 2025 '!P45</f>
        <v>0</v>
      </c>
      <c r="Q45" s="112">
        <f>'תקציב הנדסה 2025 '!Q45</f>
        <v>0</v>
      </c>
      <c r="R45" s="112">
        <f>'תקציב הנדסה 2025 '!R45</f>
        <v>0</v>
      </c>
      <c r="S45" s="112">
        <f>'תקציב הנדסה 2025 '!S45</f>
        <v>0</v>
      </c>
      <c r="T45" s="257">
        <f>'תקציב הנדסה 2025 '!T45</f>
        <v>0</v>
      </c>
      <c r="U45" s="112">
        <f>'תקציב הנדסה 2025 '!U45</f>
        <v>0</v>
      </c>
      <c r="V45" s="4">
        <f>'תקציב הנדסה 2025 '!V45</f>
        <v>0</v>
      </c>
      <c r="W45" s="112">
        <f>'תקציב הנדסה 2025 '!W45</f>
        <v>0</v>
      </c>
      <c r="X45" s="112">
        <f>'תקציב הנדסה 2025 '!X45</f>
        <v>0</v>
      </c>
      <c r="Y45" s="112">
        <f>'תקציב הנדסה 2025 '!Y45</f>
        <v>0</v>
      </c>
      <c r="Z45" s="112">
        <f>'תקציב הנדסה 2025 '!Z45</f>
        <v>0</v>
      </c>
      <c r="AA45" s="112">
        <f>'תקציב הנדסה 2025 '!AA45</f>
        <v>0</v>
      </c>
      <c r="AB45" s="202" t="str">
        <f>'תקציב הנדסה 2025 '!AB45</f>
        <v>תכנון וביצוע מעגל תנועה ברחובות אלי לנדאו ניל"י.</v>
      </c>
      <c r="AC45" s="3">
        <f>'תקציב הנדסה 2025 '!AC45</f>
        <v>742000</v>
      </c>
      <c r="AD45" s="18"/>
      <c r="AE45" s="18"/>
      <c r="AF45" s="18"/>
      <c r="AG45" s="18"/>
      <c r="AH45" s="18"/>
      <c r="AI45" s="18"/>
      <c r="AJ45" s="484"/>
      <c r="AK45" s="484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</row>
    <row r="46" spans="1:64" s="5" customFormat="1" ht="45">
      <c r="A46" s="3">
        <f t="shared" si="2"/>
        <v>15</v>
      </c>
      <c r="B46" s="19">
        <f>'תקציב הנדסה 2025 '!B46</f>
        <v>20107</v>
      </c>
      <c r="C46" s="222" t="str">
        <f>'תקציב הנדסה 2025 '!C46</f>
        <v>רחוב פנקס</v>
      </c>
      <c r="D46" s="112">
        <f>'תקציב הנדסה 2025 '!D46</f>
        <v>10550000</v>
      </c>
      <c r="E46" s="112">
        <f>'תקציב הנדסה 2025 '!E46</f>
        <v>4400000</v>
      </c>
      <c r="F46" s="257">
        <f>'תקציב הנדסה 2025 '!F46</f>
        <v>6150000</v>
      </c>
      <c r="G46" s="112">
        <f>'תקציב הנדסה 2025 '!G46</f>
        <v>150000</v>
      </c>
      <c r="H46" s="112">
        <f>'תקציב הנדסה 2025 '!H46</f>
        <v>0</v>
      </c>
      <c r="I46" s="112">
        <f>'תקציב הנדסה 2025 '!I46</f>
        <v>0</v>
      </c>
      <c r="J46" s="112">
        <f>'תקציב הנדסה 2025 '!J46</f>
        <v>16263</v>
      </c>
      <c r="K46" s="112">
        <f>'תקציב הנדסה 2025 '!K46</f>
        <v>16263</v>
      </c>
      <c r="L46" s="112">
        <f>'תקציב הנדסה 2025 '!L46</f>
        <v>16263</v>
      </c>
      <c r="M46" s="495">
        <f>'תקציב הנדסה 2025 '!M46</f>
        <v>133737</v>
      </c>
      <c r="N46" s="495">
        <f>'תקציב הנדסה 2025 '!N46</f>
        <v>700000</v>
      </c>
      <c r="O46" s="4">
        <f>'תקציב הנדסה 2025 '!O46</f>
        <v>9700000</v>
      </c>
      <c r="P46" s="112">
        <f>'תקציב הנדסה 2025 '!P46</f>
        <v>133737</v>
      </c>
      <c r="Q46" s="112">
        <f>'תקציב הנדסה 2025 '!Q46</f>
        <v>0</v>
      </c>
      <c r="R46" s="112">
        <f>'תקציב הנדסה 2025 '!R46</f>
        <v>0</v>
      </c>
      <c r="S46" s="112">
        <f>'תקציב הנדסה 2025 '!S46</f>
        <v>0</v>
      </c>
      <c r="T46" s="257">
        <f>'תקציב הנדסה 2025 '!T46</f>
        <v>0</v>
      </c>
      <c r="U46" s="112">
        <f>'תקציב הנדסה 2025 '!U46</f>
        <v>700000</v>
      </c>
      <c r="V46" s="4">
        <f>'תקציב הנדסה 2025 '!V46</f>
        <v>700000</v>
      </c>
      <c r="W46" s="112">
        <f>'תקציב הנדסה 2025 '!W46</f>
        <v>0</v>
      </c>
      <c r="X46" s="112">
        <f>'תקציב הנדסה 2025 '!X46</f>
        <v>0</v>
      </c>
      <c r="Y46" s="112">
        <f>'תקציב הנדסה 2025 '!Y46</f>
        <v>0</v>
      </c>
      <c r="Z46" s="112">
        <f>'תקציב הנדסה 2025 '!Z46</f>
        <v>0</v>
      </c>
      <c r="AA46" s="112">
        <f>'תקציב הנדסה 2025 '!AA46</f>
        <v>0</v>
      </c>
      <c r="AB46" s="202" t="str">
        <f>'תקציב הנדסה 2025 '!AB46</f>
        <v>החלפת צינור ניקוז שנמצא בחלקות פרטיות, כולל שיקום כביש ומדרכות. 2025 : תכנון וביצוע.</v>
      </c>
      <c r="AC46" s="3">
        <f>'תקציב הנדסה 2025 '!AC46</f>
        <v>742000</v>
      </c>
      <c r="AD46" s="18"/>
      <c r="AE46" s="18"/>
      <c r="AF46" s="18"/>
      <c r="AG46" s="18"/>
      <c r="AH46" s="18"/>
      <c r="AI46" s="18"/>
      <c r="AJ46" s="484"/>
      <c r="AK46" s="484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6"/>
      <c r="BF46" s="6"/>
      <c r="BG46" s="6"/>
      <c r="BH46" s="6"/>
      <c r="BI46" s="6"/>
      <c r="BJ46" s="6"/>
      <c r="BK46" s="6"/>
      <c r="BL46" s="6"/>
    </row>
    <row r="47" spans="1:64" s="5" customFormat="1" ht="60">
      <c r="A47" s="3">
        <f t="shared" si="2"/>
        <v>16</v>
      </c>
      <c r="B47" s="19">
        <f>'תקציב הנדסה 2025 '!B47</f>
        <v>20142</v>
      </c>
      <c r="C47" s="222" t="str">
        <f>'תקציב הנדסה 2025 '!C47</f>
        <v>פינוי בינוי ויצמן - הסכם פיתוח מתחם 5</v>
      </c>
      <c r="D47" s="112">
        <f>'תקציב הנדסה 2025 '!D47</f>
        <v>18000000</v>
      </c>
      <c r="E47" s="112">
        <f>'תקציב הנדסה 2025 '!E47</f>
        <v>18000000</v>
      </c>
      <c r="F47" s="257">
        <f>'תקציב הנדסה 2025 '!F47</f>
        <v>0</v>
      </c>
      <c r="G47" s="112">
        <f>'תקציב הנדסה 2025 '!G47</f>
        <v>0</v>
      </c>
      <c r="H47" s="112">
        <f>'תקציב הנדסה 2025 '!H47</f>
        <v>0</v>
      </c>
      <c r="I47" s="112">
        <f>'תקציב הנדסה 2025 '!I47</f>
        <v>0</v>
      </c>
      <c r="J47" s="112">
        <f>'תקציב הנדסה 2025 '!J47</f>
        <v>0</v>
      </c>
      <c r="K47" s="112">
        <f>'תקציב הנדסה 2025 '!K47</f>
        <v>0</v>
      </c>
      <c r="L47" s="112">
        <f>'תקציב הנדסה 2025 '!L47</f>
        <v>0</v>
      </c>
      <c r="M47" s="495">
        <f>'תקציב הנדסה 2025 '!M47</f>
        <v>700000</v>
      </c>
      <c r="N47" s="4">
        <f>'תקציב הנדסה 2025 '!N47</f>
        <v>2100000</v>
      </c>
      <c r="O47" s="4">
        <f>'תקציב הנדסה 2025 '!O47</f>
        <v>15200000</v>
      </c>
      <c r="P47" s="112">
        <f>'תקציב הנדסה 2025 '!P47</f>
        <v>0</v>
      </c>
      <c r="Q47" s="112">
        <f>'תקציב הנדסה 2025 '!Q47</f>
        <v>0</v>
      </c>
      <c r="R47" s="112">
        <f>'תקציב הנדסה 2025 '!R47</f>
        <v>700000</v>
      </c>
      <c r="S47" s="112">
        <f>'תקציב הנדסה 2025 '!S47</f>
        <v>700000</v>
      </c>
      <c r="T47" s="257">
        <f>'תקציב הנדסה 2025 '!T47</f>
        <v>0</v>
      </c>
      <c r="U47" s="112">
        <f>'תקציב הנדסה 2025 '!U47</f>
        <v>2100000</v>
      </c>
      <c r="V47" s="4">
        <f>'תקציב הנדסה 2025 '!V47</f>
        <v>2100000</v>
      </c>
      <c r="W47" s="112">
        <f>'תקציב הנדסה 2025 '!W47</f>
        <v>0</v>
      </c>
      <c r="X47" s="112">
        <f>'תקציב הנדסה 2025 '!X47</f>
        <v>0</v>
      </c>
      <c r="Y47" s="112">
        <f>'תקציב הנדסה 2025 '!Y47</f>
        <v>0</v>
      </c>
      <c r="Z47" s="112">
        <f>'תקציב הנדסה 2025 '!Z47</f>
        <v>0</v>
      </c>
      <c r="AA47" s="112">
        <f>'תקציב הנדסה 2025 '!AA47</f>
        <v>0</v>
      </c>
      <c r="AB47" s="660" t="str">
        <f>'תקציב הנדסה 2025 '!AB47</f>
        <v>מתחם פינוי בינוי הכולל שטחי ציבור משמעותיים, הכוללים-4 גני ילדים, בית קפה, כיכר עירונית, דרכים ותשתיות.</v>
      </c>
      <c r="AC47" s="3">
        <f>'תקציב הנדסה 2025 '!AC47</f>
        <v>742000</v>
      </c>
      <c r="AD47" s="18"/>
      <c r="AE47" s="18"/>
      <c r="AF47" s="18"/>
      <c r="AG47" s="18"/>
      <c r="AH47" s="18"/>
      <c r="AI47" s="18"/>
      <c r="AJ47" s="484"/>
      <c r="AK47" s="484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6"/>
      <c r="BF47" s="6"/>
      <c r="BG47" s="6"/>
      <c r="BH47" s="6"/>
      <c r="BI47" s="6"/>
      <c r="BJ47" s="6"/>
      <c r="BK47" s="6"/>
      <c r="BL47" s="6"/>
    </row>
    <row r="48" spans="1:64" s="5" customFormat="1" ht="61.5" customHeight="1">
      <c r="A48" s="3">
        <f t="shared" si="2"/>
        <v>17</v>
      </c>
      <c r="B48" s="19">
        <f>'תקציב הנדסה 2025 '!B49</f>
        <v>20145</v>
      </c>
      <c r="C48" s="222" t="str">
        <f>'תקציב הנדסה 2025 '!C49</f>
        <v>אצטדיון - קו ניקוז</v>
      </c>
      <c r="D48" s="112">
        <f>'תקציב הנדסה 2025 '!D49</f>
        <v>1500000</v>
      </c>
      <c r="E48" s="112">
        <f>'תקציב הנדסה 2025 '!E49</f>
        <v>0</v>
      </c>
      <c r="F48" s="257">
        <f>'תקציב הנדסה 2025 '!F49</f>
        <v>1500000</v>
      </c>
      <c r="G48" s="112">
        <f>'תקציב הנדסה 2025 '!G49</f>
        <v>0</v>
      </c>
      <c r="H48" s="112">
        <f>'תקציב הנדסה 2025 '!H49</f>
        <v>0</v>
      </c>
      <c r="I48" s="112">
        <f>'תקציב הנדסה 2025 '!I49</f>
        <v>0</v>
      </c>
      <c r="J48" s="112">
        <f>'תקציב הנדסה 2025 '!J49</f>
        <v>0</v>
      </c>
      <c r="K48" s="112">
        <f>'תקציב הנדסה 2025 '!K49</f>
        <v>0</v>
      </c>
      <c r="L48" s="112">
        <f>'תקציב הנדסה 2025 '!L49</f>
        <v>0</v>
      </c>
      <c r="M48" s="257">
        <f>'תקציב הנדסה 2025 '!M49</f>
        <v>0</v>
      </c>
      <c r="N48" s="112">
        <f>'תקציב הנדסה 2025 '!N49</f>
        <v>1400000</v>
      </c>
      <c r="O48" s="112">
        <f>'תקציב הנדסה 2025 '!O49</f>
        <v>100000</v>
      </c>
      <c r="P48" s="112">
        <f>'תקציב הנדסה 2025 '!P49</f>
        <v>0</v>
      </c>
      <c r="Q48" s="112">
        <f>'תקציב הנדסה 2025 '!Q49</f>
        <v>0</v>
      </c>
      <c r="R48" s="112">
        <f>'תקציב הנדסה 2025 '!R49</f>
        <v>0</v>
      </c>
      <c r="S48" s="112">
        <f>'תקציב הנדסה 2025 '!S49</f>
        <v>0</v>
      </c>
      <c r="T48" s="112">
        <f>'תקציב הנדסה 2025 '!T49</f>
        <v>0</v>
      </c>
      <c r="U48" s="112">
        <f>'תקציב הנדסה 2025 '!U49</f>
        <v>1400000</v>
      </c>
      <c r="V48" s="4">
        <f>'תקציב הנדסה 2025 '!V49</f>
        <v>0</v>
      </c>
      <c r="W48" s="112">
        <f>'תקציב הנדסה 2025 '!W49</f>
        <v>0</v>
      </c>
      <c r="X48" s="112">
        <f>'תקציב הנדסה 2025 '!X49</f>
        <v>0</v>
      </c>
      <c r="Y48" s="112">
        <f>'תקציב הנדסה 2025 '!Y49</f>
        <v>1400000</v>
      </c>
      <c r="Z48" s="112">
        <f>'תקציב הנדסה 2025 '!Z49</f>
        <v>0</v>
      </c>
      <c r="AA48" s="112">
        <f>'תקציב הנדסה 2025 '!AA49</f>
        <v>0</v>
      </c>
      <c r="AB48" s="202" t="str">
        <f>'תקציב הנדסה 2025 '!AB49</f>
        <v>ביצוע קו ניקוז איצטדיון הרצליה. קרן ייעודית.</v>
      </c>
      <c r="AC48" s="3">
        <f>'תקציב הנדסה 2025 '!AC49</f>
        <v>742000</v>
      </c>
      <c r="AD48" s="18"/>
      <c r="AE48" s="18"/>
      <c r="AF48" s="18"/>
      <c r="AG48" s="18"/>
      <c r="AH48" s="18"/>
      <c r="AI48" s="18"/>
      <c r="AJ48" s="484"/>
      <c r="AK48" s="484"/>
      <c r="AL48" s="18"/>
      <c r="AM48" s="18"/>
      <c r="AN48" s="18"/>
      <c r="AO48" s="18"/>
      <c r="AP48" s="18"/>
      <c r="AQ48" s="18"/>
      <c r="AR48" s="18"/>
      <c r="AS48" s="18"/>
      <c r="AT48" s="123"/>
      <c r="AU48" s="123"/>
      <c r="AV48" s="123"/>
      <c r="AW48" s="123"/>
      <c r="AX48" s="123"/>
      <c r="AY48" s="256"/>
      <c r="AZ48" s="256"/>
      <c r="BA48" s="256"/>
      <c r="BB48" s="256"/>
      <c r="BC48" s="256"/>
      <c r="BD48" s="256"/>
      <c r="BE48" s="256"/>
      <c r="BF48" s="256"/>
      <c r="BG48" s="256"/>
    </row>
    <row r="49" spans="1:64" s="5" customFormat="1">
      <c r="A49" s="3">
        <f t="shared" si="2"/>
        <v>18</v>
      </c>
      <c r="B49" s="3">
        <f>'תקציב הנדסה 2025 '!B6</f>
        <v>608</v>
      </c>
      <c r="C49" s="202" t="str">
        <f>'תקציב הנדסה 2025 '!C6</f>
        <v>עבודות ניקוז בעיר</v>
      </c>
      <c r="D49" s="4">
        <f>'תקציב הנדסה 2025 '!D6</f>
        <v>8800000</v>
      </c>
      <c r="E49" s="4">
        <f>'תקציב הנדסה 2025 '!E6</f>
        <v>8510000</v>
      </c>
      <c r="F49" s="495">
        <f>'תקציב הנדסה 2025 '!F6</f>
        <v>290000</v>
      </c>
      <c r="G49" s="4">
        <f>'תקציב הנדסה 2025 '!G6</f>
        <v>8000000</v>
      </c>
      <c r="H49" s="4">
        <f>'תקציב הנדסה 2025 '!H6</f>
        <v>7454075</v>
      </c>
      <c r="I49" s="4">
        <f>'תקציב הנדסה 2025 '!I6</f>
        <v>0</v>
      </c>
      <c r="J49" s="4">
        <f>'תקציב הנדסה 2025 '!J6</f>
        <v>120581</v>
      </c>
      <c r="K49" s="4">
        <f>'תקציב הנדסה 2025 '!K6</f>
        <v>120581</v>
      </c>
      <c r="L49" s="4">
        <f>'תקציב הנדסה 2025 '!L6</f>
        <v>7574656</v>
      </c>
      <c r="M49" s="495">
        <f>'תקציב הנדסה 2025 '!M6</f>
        <v>425344</v>
      </c>
      <c r="N49" s="4">
        <f>'תקציב הנדסה 2025 '!N6</f>
        <v>600000</v>
      </c>
      <c r="O49" s="4">
        <f>'תקציב הנדסה 2025 '!O6</f>
        <v>200000</v>
      </c>
      <c r="P49" s="4">
        <f>'תקציב הנדסה 2025 '!P6</f>
        <v>425344</v>
      </c>
      <c r="Q49" s="310">
        <f>'תקציב הנדסה 2025 '!Q6</f>
        <v>0</v>
      </c>
      <c r="R49" s="4">
        <f>'תקציב הנדסה 2025 '!R6</f>
        <v>0</v>
      </c>
      <c r="S49" s="4">
        <f>'תקציב הנדסה 2025 '!S6</f>
        <v>0</v>
      </c>
      <c r="T49" s="495">
        <f>'תקציב הנדסה 2025 '!T6</f>
        <v>0</v>
      </c>
      <c r="U49" s="4">
        <f>'תקציב הנדסה 2025 '!U6</f>
        <v>600000</v>
      </c>
      <c r="V49" s="4">
        <f>'תקציב הנדסה 2025 '!V6</f>
        <v>600000</v>
      </c>
      <c r="W49" s="4">
        <f>'תקציב הנדסה 2025 '!W6</f>
        <v>0</v>
      </c>
      <c r="X49" s="4">
        <f>'תקציב הנדסה 2025 '!X6</f>
        <v>0</v>
      </c>
      <c r="Y49" s="4">
        <f>'תקציב הנדסה 2025 '!Y6</f>
        <v>0</v>
      </c>
      <c r="Z49" s="4">
        <f>'תקציב הנדסה 2025 '!Z6</f>
        <v>0</v>
      </c>
      <c r="AA49" s="3">
        <f>'תקציב הנדסה 2025 '!AA6</f>
        <v>0</v>
      </c>
      <c r="AB49" s="202" t="str">
        <f>'תקציב הנדסה 2025 '!AB6</f>
        <v>סל עבודות ניקוז ברחבי העיר .</v>
      </c>
      <c r="AC49" s="3">
        <f>'תקציב הנדסה 2025 '!AC6</f>
        <v>745000</v>
      </c>
      <c r="AD49" s="18"/>
      <c r="AE49" s="18"/>
      <c r="AF49" s="18"/>
      <c r="AG49" s="18"/>
      <c r="AH49" s="18"/>
      <c r="AI49" s="18"/>
      <c r="AJ49" s="484"/>
      <c r="AK49" s="484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</row>
    <row r="50" spans="1:64" s="5" customFormat="1" ht="30">
      <c r="A50" s="3">
        <f t="shared" si="2"/>
        <v>19</v>
      </c>
      <c r="B50" s="19">
        <f>'תקציב הנדסה 2025 '!B38</f>
        <v>20005</v>
      </c>
      <c r="C50" s="202" t="str">
        <f>'תקציב הנדסה 2025 '!C38</f>
        <v>שצפ שבט מנשה</v>
      </c>
      <c r="D50" s="4">
        <f>'תקציב הנדסה 2025 '!D38</f>
        <v>1685000</v>
      </c>
      <c r="E50" s="4">
        <f>'תקציב הנדסה 2025 '!E38</f>
        <v>1685000</v>
      </c>
      <c r="F50" s="495">
        <f>'תקציב הנדסה 2025 '!F38</f>
        <v>0</v>
      </c>
      <c r="G50" s="4">
        <f>'תקציב הנדסה 2025 '!G38</f>
        <v>0</v>
      </c>
      <c r="H50" s="4">
        <f>'תקציב הנדסה 2025 '!H38</f>
        <v>0</v>
      </c>
      <c r="I50" s="4">
        <f>'תקציב הנדסה 2025 '!I38</f>
        <v>0</v>
      </c>
      <c r="J50" s="4">
        <f>'תקציב הנדסה 2025 '!J38</f>
        <v>0</v>
      </c>
      <c r="K50" s="4">
        <f>'תקציב הנדסה 2025 '!K38</f>
        <v>0</v>
      </c>
      <c r="L50" s="4">
        <f>'תקציב הנדסה 2025 '!L38</f>
        <v>0</v>
      </c>
      <c r="M50" s="495">
        <f>'תקציב הנדסה 2025 '!M38</f>
        <v>0</v>
      </c>
      <c r="N50" s="4">
        <f>'תקציב הנדסה 2025 '!N38</f>
        <v>0</v>
      </c>
      <c r="O50" s="4">
        <f>'תקציב הנדסה 2025 '!O38</f>
        <v>1685000</v>
      </c>
      <c r="P50" s="4">
        <f>'תקציב הנדסה 2025 '!P38</f>
        <v>0</v>
      </c>
      <c r="Q50" s="310">
        <f>'תקציב הנדסה 2025 '!Q38</f>
        <v>0</v>
      </c>
      <c r="R50" s="4">
        <f>'תקציב הנדסה 2025 '!R38</f>
        <v>0</v>
      </c>
      <c r="S50" s="4">
        <f>'תקציב הנדסה 2025 '!S38</f>
        <v>0</v>
      </c>
      <c r="T50" s="495">
        <f>'תקציב הנדסה 2025 '!T38</f>
        <v>0</v>
      </c>
      <c r="U50" s="4">
        <f>'תקציב הנדסה 2025 '!U38</f>
        <v>0</v>
      </c>
      <c r="V50" s="4">
        <f>'תקציב הנדסה 2025 '!V38</f>
        <v>0</v>
      </c>
      <c r="W50" s="4">
        <f>'תקציב הנדסה 2025 '!W38</f>
        <v>0</v>
      </c>
      <c r="X50" s="4">
        <f>'תקציב הנדסה 2025 '!X38</f>
        <v>0</v>
      </c>
      <c r="Y50" s="4">
        <f>'תקציב הנדסה 2025 '!Y38</f>
        <v>0</v>
      </c>
      <c r="Z50" s="4">
        <f>'תקציב הנדסה 2025 '!Z38</f>
        <v>0</v>
      </c>
      <c r="AA50" s="3">
        <f>'תקציב הנדסה 2025 '!AA38</f>
        <v>0</v>
      </c>
      <c r="AB50" s="202" t="str">
        <f>'תקציב הנדסה 2025 '!AB38</f>
        <v>עבודות פיתוח, גינון , השקייה, חשמל ותאורה ברחוב שבט מנשה.</v>
      </c>
      <c r="AC50" s="3">
        <f>'תקציב הנדסה 2025 '!AC38</f>
        <v>746000</v>
      </c>
      <c r="AD50" s="18"/>
      <c r="AE50" s="18"/>
      <c r="AF50" s="18"/>
      <c r="AG50" s="18"/>
      <c r="AH50" s="18"/>
      <c r="AI50" s="18"/>
      <c r="AJ50" s="484"/>
      <c r="AK50" s="484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</row>
    <row r="51" spans="1:64" s="5" customFormat="1" ht="48.75" customHeight="1">
      <c r="A51" s="3">
        <f t="shared" si="2"/>
        <v>20</v>
      </c>
      <c r="B51" s="19">
        <f>'תקציב הנדסה 2025 '!B39</f>
        <v>20006</v>
      </c>
      <c r="C51" s="202" t="str">
        <f>'תקציב הנדסה 2025 '!C39</f>
        <v>גינת צוקרמן</v>
      </c>
      <c r="D51" s="4">
        <f>'תקציב הנדסה 2025 '!D39</f>
        <v>4000000</v>
      </c>
      <c r="E51" s="4">
        <f>'תקציב הנדסה 2025 '!E39</f>
        <v>4000000</v>
      </c>
      <c r="F51" s="495">
        <f>'תקציב הנדסה 2025 '!F39</f>
        <v>0</v>
      </c>
      <c r="G51" s="4">
        <f>'תקציב הנדסה 2025 '!G39</f>
        <v>0</v>
      </c>
      <c r="H51" s="4">
        <f>'תקציב הנדסה 2025 '!H39</f>
        <v>0</v>
      </c>
      <c r="I51" s="4">
        <f>'תקציב הנדסה 2025 '!I39</f>
        <v>0</v>
      </c>
      <c r="J51" s="4">
        <f>'תקציב הנדסה 2025 '!J39</f>
        <v>0</v>
      </c>
      <c r="K51" s="4">
        <f>'תקציב הנדסה 2025 '!K39</f>
        <v>0</v>
      </c>
      <c r="L51" s="4">
        <f>'תקציב הנדסה 2025 '!L39</f>
        <v>0</v>
      </c>
      <c r="M51" s="495">
        <f>'תקציב הנדסה 2025 '!M39</f>
        <v>0</v>
      </c>
      <c r="N51" s="4">
        <f>'תקציב הנדסה 2025 '!N39</f>
        <v>0</v>
      </c>
      <c r="O51" s="4">
        <f>'תקציב הנדסה 2025 '!O39</f>
        <v>4000000</v>
      </c>
      <c r="P51" s="4">
        <f>'תקציב הנדסה 2025 '!P39</f>
        <v>0</v>
      </c>
      <c r="Q51" s="310">
        <f>'תקציב הנדסה 2025 '!Q39</f>
        <v>0</v>
      </c>
      <c r="R51" s="4">
        <f>'תקציב הנדסה 2025 '!R39</f>
        <v>0</v>
      </c>
      <c r="S51" s="4">
        <f>'תקציב הנדסה 2025 '!S39</f>
        <v>0</v>
      </c>
      <c r="T51" s="495">
        <f>'תקציב הנדסה 2025 '!T39</f>
        <v>0</v>
      </c>
      <c r="U51" s="4">
        <f>'תקציב הנדסה 2025 '!U39</f>
        <v>0</v>
      </c>
      <c r="V51" s="4">
        <f>'תקציב הנדסה 2025 '!V39</f>
        <v>0</v>
      </c>
      <c r="W51" s="4">
        <f>'תקציב הנדסה 2025 '!W39</f>
        <v>0</v>
      </c>
      <c r="X51" s="4">
        <f>'תקציב הנדסה 2025 '!X39</f>
        <v>0</v>
      </c>
      <c r="Y51" s="4">
        <f>'תקציב הנדסה 2025 '!Y39</f>
        <v>0</v>
      </c>
      <c r="Z51" s="4">
        <f>'תקציב הנדסה 2025 '!Z39</f>
        <v>0</v>
      </c>
      <c r="AA51" s="3">
        <f>'תקציב הנדסה 2025 '!AA39</f>
        <v>0</v>
      </c>
      <c r="AB51" s="202" t="str">
        <f>'תקציב הנדסה 2025 '!AB39</f>
        <v>עבודות פיתוח, גינון , השקייה, חשמל ותאורה .</v>
      </c>
      <c r="AC51" s="3">
        <f>'תקציב הנדסה 2025 '!AC39</f>
        <v>746000</v>
      </c>
      <c r="AD51" s="18"/>
      <c r="AE51" s="18"/>
      <c r="AF51" s="18"/>
      <c r="AG51" s="18"/>
      <c r="AH51" s="18"/>
      <c r="AI51" s="18"/>
      <c r="AJ51" s="484"/>
      <c r="AK51" s="484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</row>
    <row r="52" spans="1:64" s="40" customFormat="1" ht="20.100000000000001" customHeight="1">
      <c r="A52" s="20"/>
      <c r="B52" s="20"/>
      <c r="C52" s="263" t="s">
        <v>1331</v>
      </c>
      <c r="D52" s="42">
        <f>SUM(D32:D51)</f>
        <v>266151618</v>
      </c>
      <c r="E52" s="42">
        <f t="shared" ref="E52:AA52" si="3">SUM(E32:E51)</f>
        <v>256356618</v>
      </c>
      <c r="F52" s="42">
        <f t="shared" si="3"/>
        <v>9795000</v>
      </c>
      <c r="G52" s="42">
        <f t="shared" si="3"/>
        <v>68692389</v>
      </c>
      <c r="H52" s="42">
        <f t="shared" si="3"/>
        <v>62526293</v>
      </c>
      <c r="I52" s="42">
        <f t="shared" si="3"/>
        <v>1101705</v>
      </c>
      <c r="J52" s="42">
        <f t="shared" si="3"/>
        <v>2464568</v>
      </c>
      <c r="K52" s="42">
        <f t="shared" si="3"/>
        <v>3566273</v>
      </c>
      <c r="L52" s="42">
        <f t="shared" si="3"/>
        <v>66092566</v>
      </c>
      <c r="M52" s="42">
        <f t="shared" si="3"/>
        <v>5334823</v>
      </c>
      <c r="N52" s="42">
        <f t="shared" si="3"/>
        <v>6735000</v>
      </c>
      <c r="O52" s="42">
        <f t="shared" si="3"/>
        <v>187989229</v>
      </c>
      <c r="P52" s="42">
        <f t="shared" si="3"/>
        <v>2599823</v>
      </c>
      <c r="Q52" s="42">
        <f t="shared" si="3"/>
        <v>0</v>
      </c>
      <c r="R52" s="42">
        <f t="shared" si="3"/>
        <v>3000000</v>
      </c>
      <c r="S52" s="42">
        <f t="shared" si="3"/>
        <v>3000000</v>
      </c>
      <c r="T52" s="42">
        <f t="shared" si="3"/>
        <v>265000</v>
      </c>
      <c r="U52" s="42">
        <f t="shared" si="3"/>
        <v>6470000</v>
      </c>
      <c r="V52" s="42">
        <f t="shared" si="3"/>
        <v>5070000</v>
      </c>
      <c r="W52" s="42">
        <f t="shared" si="3"/>
        <v>0</v>
      </c>
      <c r="X52" s="42">
        <f t="shared" si="3"/>
        <v>0</v>
      </c>
      <c r="Y52" s="42">
        <f t="shared" si="3"/>
        <v>1400000</v>
      </c>
      <c r="Z52" s="42">
        <f t="shared" si="3"/>
        <v>0</v>
      </c>
      <c r="AA52" s="42">
        <f t="shared" si="3"/>
        <v>0</v>
      </c>
      <c r="AB52" s="263"/>
      <c r="AC52" s="20"/>
      <c r="AD52" s="318"/>
      <c r="AE52" s="318"/>
      <c r="AF52" s="318"/>
      <c r="AG52" s="318"/>
      <c r="AH52" s="318"/>
      <c r="AI52" s="318"/>
      <c r="AJ52" s="484"/>
      <c r="AK52" s="484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8"/>
      <c r="BD52" s="318"/>
    </row>
    <row r="53" spans="1:64" s="40" customFormat="1" ht="20.100000000000001" customHeight="1">
      <c r="A53" s="20"/>
      <c r="B53" s="20"/>
      <c r="C53" s="20">
        <v>76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665"/>
      <c r="R53" s="42"/>
      <c r="S53" s="42"/>
      <c r="T53" s="42"/>
      <c r="U53" s="42"/>
      <c r="V53" s="42"/>
      <c r="W53" s="42"/>
      <c r="X53" s="42"/>
      <c r="Y53" s="42"/>
      <c r="Z53" s="42"/>
      <c r="AA53" s="20"/>
      <c r="AB53" s="263"/>
      <c r="AC53" s="20"/>
      <c r="AD53" s="318"/>
      <c r="AE53" s="318"/>
      <c r="AF53" s="318"/>
      <c r="AG53" s="318"/>
      <c r="AH53" s="318"/>
      <c r="AI53" s="318"/>
      <c r="AJ53" s="484"/>
      <c r="AK53" s="484"/>
      <c r="AL53" s="318"/>
      <c r="AM53" s="318"/>
      <c r="AN53" s="318"/>
      <c r="AO53" s="318"/>
      <c r="AP53" s="318"/>
      <c r="AQ53" s="318"/>
      <c r="AR53" s="318"/>
      <c r="AS53" s="318"/>
      <c r="AT53" s="318"/>
      <c r="AU53" s="318"/>
      <c r="AV53" s="318"/>
      <c r="AW53" s="318"/>
      <c r="AX53" s="318"/>
      <c r="AY53" s="318"/>
      <c r="AZ53" s="318"/>
      <c r="BA53" s="318"/>
      <c r="BB53" s="318"/>
      <c r="BC53" s="318"/>
      <c r="BD53" s="318"/>
    </row>
    <row r="54" spans="1:64" s="5" customFormat="1" ht="30" customHeight="1">
      <c r="A54" s="3">
        <f>A51+1</f>
        <v>21</v>
      </c>
      <c r="B54" s="3">
        <f>'תקציב הנדסה 2025 '!B17</f>
        <v>1529</v>
      </c>
      <c r="C54" s="202" t="str">
        <f>'תקציב הנדסה 2025 '!C17</f>
        <v>הוצאות בקשר עם תביעות סעיף 197</v>
      </c>
      <c r="D54" s="4">
        <f>'תקציב הנדסה 2025 '!D17</f>
        <v>700000</v>
      </c>
      <c r="E54" s="4">
        <f>'תקציב הנדסה 2025 '!E17</f>
        <v>700000</v>
      </c>
      <c r="F54" s="495">
        <f>'תקציב הנדסה 2025 '!F17</f>
        <v>0</v>
      </c>
      <c r="G54" s="4">
        <f>'תקציב הנדסה 2025 '!G17</f>
        <v>460000</v>
      </c>
      <c r="H54" s="4">
        <f>'תקציב הנדסה 2025 '!H17</f>
        <v>417794</v>
      </c>
      <c r="I54" s="4">
        <f>'תקציב הנדסה 2025 '!I17</f>
        <v>0</v>
      </c>
      <c r="J54" s="4">
        <f>'תקציב הנדסה 2025 '!J17</f>
        <v>0</v>
      </c>
      <c r="K54" s="4">
        <f>'תקציב הנדסה 2025 '!K17</f>
        <v>0</v>
      </c>
      <c r="L54" s="4">
        <f>'תקציב הנדסה 2025 '!L17</f>
        <v>417794</v>
      </c>
      <c r="M54" s="495">
        <f>'תקציב הנדסה 2025 '!M17</f>
        <v>2206</v>
      </c>
      <c r="N54" s="497">
        <f>'תקציב הנדסה 2025 '!N17</f>
        <v>20000</v>
      </c>
      <c r="O54" s="4">
        <f>'תקציב הנדסה 2025 '!O17</f>
        <v>260000</v>
      </c>
      <c r="P54" s="4">
        <f>'תקציב הנדסה 2025 '!P17</f>
        <v>42206</v>
      </c>
      <c r="Q54" s="310">
        <f>'תקציב הנדסה 2025 '!Q17</f>
        <v>0</v>
      </c>
      <c r="R54" s="4">
        <f>'תקציב הנדסה 2025 '!R17</f>
        <v>0</v>
      </c>
      <c r="S54" s="4">
        <f>'תקציב הנדסה 2025 '!S17</f>
        <v>0</v>
      </c>
      <c r="T54" s="495">
        <f>'תקציב הנדסה 2025 '!T17</f>
        <v>40000</v>
      </c>
      <c r="U54" s="4">
        <f>'תקציב הנדסה 2025 '!U17</f>
        <v>-20000</v>
      </c>
      <c r="V54" s="4">
        <f>'תקציב הנדסה 2025 '!V17</f>
        <v>-20000</v>
      </c>
      <c r="W54" s="4">
        <f>'תקציב הנדסה 2025 '!W17</f>
        <v>0</v>
      </c>
      <c r="X54" s="4">
        <f>'תקציב הנדסה 2025 '!X17</f>
        <v>0</v>
      </c>
      <c r="Y54" s="4">
        <f>'תקציב הנדסה 2025 '!Y17</f>
        <v>0</v>
      </c>
      <c r="Z54" s="4">
        <f>'תקציב הנדסה 2025 '!Z17</f>
        <v>0</v>
      </c>
      <c r="AA54" s="3">
        <f>'תקציב הנדסה 2025 '!AA17</f>
        <v>0</v>
      </c>
      <c r="AB54" s="202" t="str">
        <f>'תקציב הנדסה 2025 '!AB17</f>
        <v>סל הוצאות בקשר עם תביעות סעיף 197.</v>
      </c>
      <c r="AC54" s="3">
        <f>'תקציב הנדסה 2025 '!AC17</f>
        <v>760000</v>
      </c>
      <c r="AD54" s="18"/>
      <c r="AE54" s="18"/>
      <c r="AF54" s="18"/>
      <c r="AG54" s="18"/>
      <c r="AH54" s="18"/>
      <c r="AI54" s="18"/>
      <c r="AJ54" s="484"/>
      <c r="AK54" s="484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</row>
    <row r="55" spans="1:64" s="40" customFormat="1" ht="20.100000000000001" customHeight="1">
      <c r="A55" s="20"/>
      <c r="B55" s="20"/>
      <c r="C55" s="263" t="s">
        <v>1332</v>
      </c>
      <c r="D55" s="42">
        <f>SUM(D54)</f>
        <v>700000</v>
      </c>
      <c r="E55" s="42">
        <f t="shared" ref="E55:AA55" si="4">SUM(E54)</f>
        <v>700000</v>
      </c>
      <c r="F55" s="42">
        <f t="shared" si="4"/>
        <v>0</v>
      </c>
      <c r="G55" s="42">
        <f t="shared" si="4"/>
        <v>460000</v>
      </c>
      <c r="H55" s="42">
        <f t="shared" si="4"/>
        <v>417794</v>
      </c>
      <c r="I55" s="42">
        <f t="shared" si="4"/>
        <v>0</v>
      </c>
      <c r="J55" s="42">
        <f t="shared" si="4"/>
        <v>0</v>
      </c>
      <c r="K55" s="42">
        <f t="shared" si="4"/>
        <v>0</v>
      </c>
      <c r="L55" s="42">
        <f t="shared" si="4"/>
        <v>417794</v>
      </c>
      <c r="M55" s="42">
        <f t="shared" si="4"/>
        <v>2206</v>
      </c>
      <c r="N55" s="42">
        <f t="shared" si="4"/>
        <v>20000</v>
      </c>
      <c r="O55" s="42">
        <f t="shared" si="4"/>
        <v>260000</v>
      </c>
      <c r="P55" s="42">
        <f t="shared" si="4"/>
        <v>42206</v>
      </c>
      <c r="Q55" s="42">
        <f t="shared" si="4"/>
        <v>0</v>
      </c>
      <c r="R55" s="42">
        <f t="shared" si="4"/>
        <v>0</v>
      </c>
      <c r="S55" s="42">
        <f t="shared" si="4"/>
        <v>0</v>
      </c>
      <c r="T55" s="42">
        <f t="shared" si="4"/>
        <v>40000</v>
      </c>
      <c r="U55" s="42">
        <f t="shared" si="4"/>
        <v>-20000</v>
      </c>
      <c r="V55" s="42">
        <f t="shared" si="4"/>
        <v>-20000</v>
      </c>
      <c r="W55" s="42">
        <f t="shared" si="4"/>
        <v>0</v>
      </c>
      <c r="X55" s="42">
        <f t="shared" si="4"/>
        <v>0</v>
      </c>
      <c r="Y55" s="42">
        <f t="shared" si="4"/>
        <v>0</v>
      </c>
      <c r="Z55" s="42">
        <f t="shared" si="4"/>
        <v>0</v>
      </c>
      <c r="AA55" s="42">
        <f t="shared" si="4"/>
        <v>0</v>
      </c>
      <c r="AB55" s="263"/>
      <c r="AC55" s="20"/>
      <c r="AD55" s="318"/>
      <c r="AE55" s="318"/>
      <c r="AF55" s="318"/>
      <c r="AG55" s="318"/>
      <c r="AH55" s="318"/>
      <c r="AI55" s="318"/>
      <c r="AJ55" s="484"/>
      <c r="AK55" s="484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  <c r="AW55" s="318"/>
      <c r="AX55" s="318"/>
      <c r="AY55" s="318"/>
      <c r="AZ55" s="318"/>
      <c r="BA55" s="318"/>
      <c r="BB55" s="318"/>
      <c r="BC55" s="318"/>
      <c r="BD55" s="318"/>
    </row>
    <row r="56" spans="1:64" s="40" customFormat="1" ht="20.100000000000001" customHeight="1">
      <c r="A56" s="20"/>
      <c r="B56" s="20"/>
      <c r="C56" s="20">
        <v>87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666"/>
      <c r="O56" s="42"/>
      <c r="P56" s="42"/>
      <c r="Q56" s="665"/>
      <c r="R56" s="42"/>
      <c r="S56" s="42"/>
      <c r="T56" s="42"/>
      <c r="U56" s="42"/>
      <c r="V56" s="42"/>
      <c r="W56" s="42"/>
      <c r="X56" s="42"/>
      <c r="Y56" s="42"/>
      <c r="Z56" s="42"/>
      <c r="AA56" s="20"/>
      <c r="AB56" s="263"/>
      <c r="AC56" s="20"/>
      <c r="AD56" s="318"/>
      <c r="AE56" s="318"/>
      <c r="AF56" s="318"/>
      <c r="AG56" s="318"/>
      <c r="AH56" s="318"/>
      <c r="AI56" s="318"/>
      <c r="AJ56" s="484"/>
      <c r="AK56" s="484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8"/>
      <c r="BD56" s="318"/>
    </row>
    <row r="57" spans="1:64" s="5" customFormat="1" ht="45">
      <c r="A57" s="3">
        <f>A54+1</f>
        <v>22</v>
      </c>
      <c r="B57" s="19">
        <f>'תקציב הנדסה 2025 '!B44</f>
        <v>20102</v>
      </c>
      <c r="C57" s="202" t="str">
        <f>'תקציב הנדסה 2025 '!C44</f>
        <v>הכנת תוכנית עירונית להצללה</v>
      </c>
      <c r="D57" s="4">
        <f>'תקציב הנדסה 2025 '!D44</f>
        <v>1000000</v>
      </c>
      <c r="E57" s="4">
        <f>'תקציב הנדסה 2025 '!E44</f>
        <v>1000000</v>
      </c>
      <c r="F57" s="495">
        <f>'תקציב הנדסה 2025 '!F44</f>
        <v>0</v>
      </c>
      <c r="G57" s="4">
        <f>'תקציב הנדסה 2025 '!G44</f>
        <v>750000</v>
      </c>
      <c r="H57" s="4">
        <f>'תקציב הנדסה 2025 '!H44</f>
        <v>245100</v>
      </c>
      <c r="I57" s="4">
        <f>'תקציב הנדסה 2025 '!I44</f>
        <v>0</v>
      </c>
      <c r="J57" s="4">
        <f>'תקציב הנדסה 2025 '!J44</f>
        <v>245100</v>
      </c>
      <c r="K57" s="4">
        <f>'תקציב הנדסה 2025 '!K44</f>
        <v>245100</v>
      </c>
      <c r="L57" s="4">
        <f>'תקציב הנדסה 2025 '!L44</f>
        <v>490200</v>
      </c>
      <c r="M57" s="495">
        <f>'תקציב הנדסה 2025 '!M44</f>
        <v>509800</v>
      </c>
      <c r="N57" s="497">
        <f>'תקציב הנדסה 2025 '!N44</f>
        <v>0</v>
      </c>
      <c r="O57" s="4">
        <f>'תקציב הנדסה 2025 '!O44</f>
        <v>0</v>
      </c>
      <c r="P57" s="4">
        <f>'תקציב הנדסה 2025 '!P44</f>
        <v>259800</v>
      </c>
      <c r="Q57" s="4">
        <f>'תקציב הנדסה 2025 '!Q44</f>
        <v>250000</v>
      </c>
      <c r="R57" s="4">
        <f>'תקציב הנדסה 2025 '!R44</f>
        <v>0</v>
      </c>
      <c r="S57" s="4">
        <f>'תקציב הנדסה 2025 '!S44</f>
        <v>250000</v>
      </c>
      <c r="T57" s="495">
        <f>'תקציב הנדסה 2025 '!T44</f>
        <v>0</v>
      </c>
      <c r="U57" s="4">
        <f>'תקציב הנדסה 2025 '!U44</f>
        <v>0</v>
      </c>
      <c r="V57" s="4">
        <f>'תקציב הנדסה 2025 '!V44</f>
        <v>0</v>
      </c>
      <c r="W57" s="4">
        <f>'תקציב הנדסה 2025 '!W44</f>
        <v>0</v>
      </c>
      <c r="X57" s="4">
        <f>'תקציב הנדסה 2025 '!X44</f>
        <v>0</v>
      </c>
      <c r="Y57" s="4">
        <f>'תקציב הנדסה 2025 '!Y44</f>
        <v>0</v>
      </c>
      <c r="Z57" s="4">
        <f>'תקציב הנדסה 2025 '!Z44</f>
        <v>0</v>
      </c>
      <c r="AA57" s="4">
        <f>'תקציב הנדסה 2025 '!AA44</f>
        <v>0</v>
      </c>
      <c r="AB57" s="202" t="str">
        <f>'תקציב הנדסה 2025 '!AB44</f>
        <v>הכנת תוכנית עירונית להצללה וקרור באמצעות עצים. מימון מ. הגנת הסביבה.</v>
      </c>
      <c r="AC57" s="3">
        <f>'תקציב הנדסה 2025 '!AC44</f>
        <v>870000</v>
      </c>
      <c r="AD57" s="18"/>
      <c r="AE57" s="18"/>
      <c r="AF57" s="18"/>
      <c r="AG57" s="18"/>
      <c r="AH57" s="18"/>
      <c r="AI57" s="18"/>
      <c r="AJ57" s="484"/>
      <c r="AK57" s="484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6"/>
      <c r="BF57" s="6"/>
      <c r="BG57" s="6"/>
      <c r="BH57" s="6"/>
      <c r="BI57" s="6"/>
      <c r="BJ57" s="6"/>
      <c r="BK57" s="6"/>
      <c r="BL57" s="6"/>
    </row>
    <row r="58" spans="1:64" s="5" customFormat="1" ht="53.25" customHeight="1">
      <c r="A58" s="3">
        <f>A57+1</f>
        <v>23</v>
      </c>
      <c r="B58" s="19">
        <f>'תקציב הנדסה 2025 '!B51</f>
        <v>20147</v>
      </c>
      <c r="C58" s="496" t="str">
        <f>'תקציב הנדסה 2025 '!C51</f>
        <v>תוכנית אב להצללה</v>
      </c>
      <c r="D58" s="112">
        <f>'תקציב הנדסה 2025 '!D51</f>
        <v>600000</v>
      </c>
      <c r="E58" s="434">
        <f>'תקציב הנדסה 2025 '!E51</f>
        <v>0</v>
      </c>
      <c r="F58" s="257">
        <f>'תקציב הנדסה 2025 '!F51</f>
        <v>600000</v>
      </c>
      <c r="G58" s="112">
        <f>'תקציב הנדסה 2025 '!G51</f>
        <v>0</v>
      </c>
      <c r="H58" s="112">
        <f>'תקציב הנדסה 2025 '!H51</f>
        <v>0</v>
      </c>
      <c r="I58" s="112">
        <f>'תקציב הנדסה 2025 '!I51</f>
        <v>0</v>
      </c>
      <c r="J58" s="112">
        <f>'תקציב הנדסה 2025 '!J51</f>
        <v>0</v>
      </c>
      <c r="K58" s="112">
        <f>'תקציב הנדסה 2025 '!K51</f>
        <v>0</v>
      </c>
      <c r="L58" s="112">
        <f>'תקציב הנדסה 2025 '!L51</f>
        <v>0</v>
      </c>
      <c r="M58" s="257">
        <f>'תקציב הנדסה 2025 '!M51</f>
        <v>0</v>
      </c>
      <c r="N58" s="112">
        <f>'תקציב הנדסה 2025 '!N51</f>
        <v>150000</v>
      </c>
      <c r="O58" s="112">
        <f>'תקציב הנדסה 2025 '!O51</f>
        <v>450000</v>
      </c>
      <c r="P58" s="112">
        <f>'תקציב הנדסה 2025 '!P51</f>
        <v>0</v>
      </c>
      <c r="Q58" s="112">
        <f>'תקציב הנדסה 2025 '!Q51</f>
        <v>0</v>
      </c>
      <c r="R58" s="112">
        <f>'תקציב הנדסה 2025 '!R51</f>
        <v>0</v>
      </c>
      <c r="S58" s="112">
        <f>'תקציב הנדסה 2025 '!S51</f>
        <v>0</v>
      </c>
      <c r="T58" s="112">
        <f>'תקציב הנדסה 2025 '!T51</f>
        <v>0</v>
      </c>
      <c r="U58" s="112">
        <f>'תקציב הנדסה 2025 '!U51</f>
        <v>150000</v>
      </c>
      <c r="V58" s="4">
        <f>'תקציב הנדסה 2025 '!V51</f>
        <v>150000</v>
      </c>
      <c r="W58" s="112">
        <f>'תקציב הנדסה 2025 '!W51</f>
        <v>0</v>
      </c>
      <c r="X58" s="112">
        <f>'תקציב הנדסה 2025 '!X51</f>
        <v>0</v>
      </c>
      <c r="Y58" s="112">
        <f>'תקציב הנדסה 2025 '!Y51</f>
        <v>0</v>
      </c>
      <c r="Z58" s="112">
        <f>'תקציב הנדסה 2025 '!Z51</f>
        <v>0</v>
      </c>
      <c r="AA58" s="112">
        <f>'תקציב הנדסה 2025 '!AA51</f>
        <v>0</v>
      </c>
      <c r="AB58" s="202" t="str">
        <f>'תקציב הנדסה 2025 '!AB51</f>
        <v>הכנת מסמך מדיניות אסטרטגית בנושא עידוד הליכתיות והצללה באמצעים מלאכותיים ברחבי העיר.</v>
      </c>
      <c r="AC58" s="3">
        <f>'תקציב הנדסה 2025 '!AC51</f>
        <v>870000</v>
      </c>
      <c r="AD58" s="18"/>
      <c r="AE58" s="18"/>
      <c r="AF58" s="18"/>
      <c r="AG58" s="18"/>
      <c r="AH58" s="18"/>
      <c r="AI58" s="18"/>
      <c r="AJ58" s="484"/>
      <c r="AK58" s="484"/>
      <c r="AL58" s="18"/>
      <c r="AM58" s="18"/>
      <c r="AN58" s="18"/>
      <c r="AO58" s="18"/>
      <c r="AP58" s="18"/>
      <c r="AQ58" s="18"/>
      <c r="AR58" s="18"/>
      <c r="AS58" s="18"/>
      <c r="AT58" s="205"/>
      <c r="AU58" s="205"/>
      <c r="AV58" s="205"/>
      <c r="AW58" s="205"/>
      <c r="AX58" s="205"/>
      <c r="AY58" s="374"/>
      <c r="AZ58" s="374"/>
      <c r="BA58" s="374"/>
      <c r="BB58" s="374"/>
      <c r="BC58" s="374"/>
      <c r="BD58" s="374"/>
      <c r="BE58" s="374"/>
      <c r="BF58" s="374"/>
      <c r="BG58" s="374"/>
    </row>
    <row r="59" spans="1:64" s="40" customFormat="1" ht="20.100000000000001" customHeight="1">
      <c r="A59" s="20"/>
      <c r="B59" s="20"/>
      <c r="C59" s="263" t="s">
        <v>1333</v>
      </c>
      <c r="D59" s="236">
        <f>SUM(D57:D58)</f>
        <v>1600000</v>
      </c>
      <c r="E59" s="236">
        <f t="shared" ref="E59:AA59" si="5">SUM(E57:E58)</f>
        <v>1000000</v>
      </c>
      <c r="F59" s="236">
        <f t="shared" si="5"/>
        <v>600000</v>
      </c>
      <c r="G59" s="236">
        <f t="shared" si="5"/>
        <v>750000</v>
      </c>
      <c r="H59" s="236">
        <f t="shared" si="5"/>
        <v>245100</v>
      </c>
      <c r="I59" s="236">
        <f t="shared" si="5"/>
        <v>0</v>
      </c>
      <c r="J59" s="236">
        <f t="shared" si="5"/>
        <v>245100</v>
      </c>
      <c r="K59" s="236">
        <f t="shared" si="5"/>
        <v>245100</v>
      </c>
      <c r="L59" s="236">
        <f t="shared" si="5"/>
        <v>490200</v>
      </c>
      <c r="M59" s="236">
        <f t="shared" si="5"/>
        <v>509800</v>
      </c>
      <c r="N59" s="236">
        <f t="shared" si="5"/>
        <v>150000</v>
      </c>
      <c r="O59" s="236">
        <f t="shared" si="5"/>
        <v>450000</v>
      </c>
      <c r="P59" s="236">
        <f t="shared" si="5"/>
        <v>259800</v>
      </c>
      <c r="Q59" s="236">
        <f t="shared" si="5"/>
        <v>250000</v>
      </c>
      <c r="R59" s="236">
        <f t="shared" si="5"/>
        <v>0</v>
      </c>
      <c r="S59" s="236">
        <f t="shared" si="5"/>
        <v>250000</v>
      </c>
      <c r="T59" s="236">
        <f t="shared" si="5"/>
        <v>0</v>
      </c>
      <c r="U59" s="236">
        <f t="shared" si="5"/>
        <v>150000</v>
      </c>
      <c r="V59" s="236">
        <f t="shared" si="5"/>
        <v>150000</v>
      </c>
      <c r="W59" s="236">
        <f t="shared" si="5"/>
        <v>0</v>
      </c>
      <c r="X59" s="236">
        <f t="shared" si="5"/>
        <v>0</v>
      </c>
      <c r="Y59" s="236">
        <f t="shared" si="5"/>
        <v>0</v>
      </c>
      <c r="Z59" s="236">
        <f t="shared" si="5"/>
        <v>0</v>
      </c>
      <c r="AA59" s="236">
        <f t="shared" si="5"/>
        <v>0</v>
      </c>
      <c r="AB59" s="263"/>
      <c r="AC59" s="20"/>
      <c r="AD59" s="318"/>
      <c r="AE59" s="318"/>
      <c r="AF59" s="318"/>
      <c r="AG59" s="318"/>
      <c r="AH59" s="318"/>
      <c r="AI59" s="318"/>
      <c r="AJ59" s="484"/>
      <c r="AK59" s="484"/>
      <c r="AL59" s="318"/>
      <c r="AM59" s="318"/>
      <c r="AN59" s="318"/>
      <c r="AO59" s="318"/>
      <c r="AP59" s="318"/>
      <c r="AQ59" s="318"/>
      <c r="AR59" s="318"/>
      <c r="AS59" s="318"/>
      <c r="AT59" s="663"/>
      <c r="AU59" s="663"/>
      <c r="AV59" s="663"/>
      <c r="AW59" s="663"/>
      <c r="AX59" s="663"/>
      <c r="AY59" s="664"/>
      <c r="AZ59" s="664"/>
      <c r="BA59" s="664"/>
      <c r="BB59" s="664"/>
      <c r="BC59" s="664"/>
      <c r="BD59" s="664"/>
      <c r="BE59" s="664"/>
      <c r="BF59" s="664"/>
      <c r="BG59" s="664"/>
    </row>
    <row r="60" spans="1:64" s="40" customFormat="1" ht="40.15" customHeight="1">
      <c r="A60" s="236">
        <f>COUNT(A6:A58)</f>
        <v>47</v>
      </c>
      <c r="B60" s="20"/>
      <c r="C60" s="270" t="s">
        <v>75</v>
      </c>
      <c r="D60" s="236">
        <f>D59+D55+D52+D30</f>
        <v>404874756</v>
      </c>
      <c r="E60" s="236">
        <f t="shared" ref="E60:AA60" si="6">E59+E55+E52+E30</f>
        <v>348068858</v>
      </c>
      <c r="F60" s="236">
        <f t="shared" si="6"/>
        <v>56805898</v>
      </c>
      <c r="G60" s="236">
        <f t="shared" si="6"/>
        <v>121836027</v>
      </c>
      <c r="H60" s="236">
        <f t="shared" si="6"/>
        <v>108070010</v>
      </c>
      <c r="I60" s="236">
        <f t="shared" si="6"/>
        <v>2837879</v>
      </c>
      <c r="J60" s="236">
        <f t="shared" si="6"/>
        <v>6165337</v>
      </c>
      <c r="K60" s="236">
        <f t="shared" si="6"/>
        <v>9003216</v>
      </c>
      <c r="L60" s="236">
        <f t="shared" si="6"/>
        <v>117073226</v>
      </c>
      <c r="M60" s="236">
        <f t="shared" si="6"/>
        <v>7888801</v>
      </c>
      <c r="N60" s="236">
        <f t="shared" si="6"/>
        <v>30095000</v>
      </c>
      <c r="O60" s="236">
        <f t="shared" si="6"/>
        <v>249817729</v>
      </c>
      <c r="P60" s="236">
        <f t="shared" si="6"/>
        <v>4762801</v>
      </c>
      <c r="Q60" s="236">
        <f t="shared" si="6"/>
        <v>250000</v>
      </c>
      <c r="R60" s="236">
        <f t="shared" si="6"/>
        <v>3401000</v>
      </c>
      <c r="S60" s="236">
        <f t="shared" si="6"/>
        <v>3651000</v>
      </c>
      <c r="T60" s="236">
        <f t="shared" si="6"/>
        <v>525000</v>
      </c>
      <c r="U60" s="236">
        <f t="shared" si="6"/>
        <v>29570000</v>
      </c>
      <c r="V60" s="236">
        <f t="shared" si="6"/>
        <v>13170000</v>
      </c>
      <c r="W60" s="236">
        <f t="shared" si="6"/>
        <v>0</v>
      </c>
      <c r="X60" s="236">
        <f t="shared" si="6"/>
        <v>0</v>
      </c>
      <c r="Y60" s="236">
        <f t="shared" si="6"/>
        <v>1400000</v>
      </c>
      <c r="Z60" s="236">
        <f t="shared" si="6"/>
        <v>0</v>
      </c>
      <c r="AA60" s="236">
        <f t="shared" si="6"/>
        <v>15000000</v>
      </c>
      <c r="AB60" s="263"/>
      <c r="AC60" s="20"/>
      <c r="AD60" s="18"/>
      <c r="AE60" s="18"/>
      <c r="AF60" s="18"/>
      <c r="AG60" s="18"/>
      <c r="AH60" s="18"/>
      <c r="AI60" s="18"/>
      <c r="AJ60" s="484"/>
      <c r="AK60" s="484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232"/>
      <c r="AW60" s="232"/>
      <c r="AX60" s="232"/>
      <c r="AY60" s="232"/>
      <c r="AZ60" s="232"/>
      <c r="BA60" s="232"/>
      <c r="BB60" s="232"/>
      <c r="BC60" s="232"/>
      <c r="BD60" s="312"/>
      <c r="BE60" s="312"/>
      <c r="BF60" s="312"/>
      <c r="BG60" s="312"/>
      <c r="BH60" s="312"/>
      <c r="BI60" s="312"/>
      <c r="BJ60" s="312"/>
      <c r="BK60" s="312"/>
      <c r="BL60" s="312"/>
    </row>
    <row r="61" spans="1:64" s="499" customFormat="1" ht="15" hidden="1" customHeight="1">
      <c r="A61" s="650"/>
      <c r="B61" s="388"/>
      <c r="C61" s="656"/>
      <c r="D61" s="650">
        <f>SUM(L60:O60)</f>
        <v>404874756</v>
      </c>
      <c r="E61" s="650"/>
      <c r="F61" s="650">
        <f>D60-E60</f>
        <v>56805898</v>
      </c>
      <c r="G61" s="650"/>
      <c r="H61" s="650"/>
      <c r="I61" s="650"/>
      <c r="J61" s="650"/>
      <c r="K61" s="650"/>
      <c r="L61" s="650">
        <f>H60+K60</f>
        <v>117073226</v>
      </c>
      <c r="M61" s="650">
        <f>P60+S60</f>
        <v>8413801</v>
      </c>
      <c r="N61" s="650"/>
      <c r="O61" s="650"/>
      <c r="P61" s="650">
        <f>G60-L61</f>
        <v>4762801</v>
      </c>
      <c r="Q61" s="11">
        <f>'ריכוז אגפים 2024'!AV7</f>
        <v>600000</v>
      </c>
      <c r="R61" s="11">
        <f>'עדכוני תקציב 2024'!AE35</f>
        <v>3401000</v>
      </c>
      <c r="S61" s="650"/>
      <c r="T61" s="650">
        <f>P61+S60-M60</f>
        <v>525000</v>
      </c>
      <c r="U61" s="650">
        <f>N60-T61</f>
        <v>29570000</v>
      </c>
      <c r="V61" s="650"/>
      <c r="W61" s="650"/>
      <c r="X61" s="650"/>
      <c r="Y61" s="650"/>
      <c r="Z61" s="650"/>
      <c r="AA61" s="650"/>
      <c r="AB61" s="661"/>
      <c r="AC61" s="388"/>
      <c r="AD61" s="18"/>
      <c r="AE61" s="522"/>
      <c r="AF61" s="522"/>
      <c r="AG61" s="522"/>
      <c r="AH61" s="522"/>
      <c r="AI61" s="522"/>
      <c r="AJ61" s="606"/>
      <c r="AK61" s="606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59"/>
      <c r="AW61" s="559"/>
      <c r="AX61" s="559"/>
      <c r="AY61" s="559"/>
      <c r="AZ61" s="559"/>
      <c r="BA61" s="559"/>
      <c r="BB61" s="559"/>
      <c r="BC61" s="559"/>
      <c r="BD61" s="652"/>
      <c r="BE61" s="652"/>
      <c r="BF61" s="652"/>
      <c r="BG61" s="652"/>
      <c r="BH61" s="652"/>
      <c r="BI61" s="652"/>
      <c r="BJ61" s="652"/>
      <c r="BK61" s="652"/>
      <c r="BL61" s="652"/>
    </row>
    <row r="62" spans="1:64" s="40" customFormat="1" ht="15" hidden="1" customHeight="1">
      <c r="A62" s="335"/>
      <c r="B62" s="333"/>
      <c r="C62" s="657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11">
        <f>Q60-Q61</f>
        <v>-350000</v>
      </c>
      <c r="R62" s="11">
        <f>R60-R61</f>
        <v>0</v>
      </c>
      <c r="S62" s="335"/>
      <c r="T62" s="335"/>
      <c r="U62" s="335"/>
      <c r="V62" s="335"/>
      <c r="W62" s="335"/>
      <c r="X62" s="335"/>
      <c r="Y62" s="335"/>
      <c r="Z62" s="335"/>
      <c r="AA62" s="335"/>
      <c r="AB62" s="662"/>
      <c r="AC62" s="333"/>
      <c r="AD62" s="18"/>
      <c r="AE62" s="18"/>
      <c r="AF62" s="18"/>
      <c r="AG62" s="18"/>
      <c r="AH62" s="18"/>
      <c r="AI62" s="18"/>
      <c r="AJ62" s="484"/>
      <c r="AK62" s="484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232"/>
      <c r="AW62" s="232"/>
      <c r="AX62" s="232"/>
      <c r="AY62" s="232"/>
      <c r="AZ62" s="232"/>
      <c r="BA62" s="232"/>
      <c r="BB62" s="232"/>
      <c r="BC62" s="232"/>
      <c r="BD62" s="312"/>
      <c r="BE62" s="312"/>
      <c r="BF62" s="312"/>
      <c r="BG62" s="312"/>
      <c r="BH62" s="312"/>
      <c r="BI62" s="312"/>
      <c r="BJ62" s="312"/>
      <c r="BK62" s="312"/>
      <c r="BL62" s="312"/>
    </row>
    <row r="63" spans="1:64" s="40" customFormat="1" ht="15" hidden="1" customHeight="1">
      <c r="A63" s="335"/>
      <c r="B63" s="333"/>
      <c r="C63" s="657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11" t="s">
        <v>1303</v>
      </c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662"/>
      <c r="AC63" s="333"/>
      <c r="AD63" s="18"/>
      <c r="AE63" s="18"/>
      <c r="AF63" s="18"/>
      <c r="AG63" s="18"/>
      <c r="AH63" s="18"/>
      <c r="AI63" s="18"/>
      <c r="AJ63" s="484"/>
      <c r="AK63" s="484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232"/>
      <c r="AW63" s="232"/>
      <c r="AX63" s="232"/>
      <c r="AY63" s="232"/>
      <c r="AZ63" s="232"/>
      <c r="BA63" s="232"/>
      <c r="BB63" s="232"/>
      <c r="BC63" s="232"/>
      <c r="BD63" s="312"/>
      <c r="BE63" s="312"/>
      <c r="BF63" s="312"/>
      <c r="BG63" s="312"/>
      <c r="BH63" s="312"/>
      <c r="BI63" s="312"/>
      <c r="BJ63" s="312"/>
      <c r="BK63" s="312"/>
      <c r="BL63" s="312"/>
    </row>
    <row r="65" spans="1:56">
      <c r="C65" s="674" t="s">
        <v>1451</v>
      </c>
    </row>
    <row r="66" spans="1:56" s="5" customFormat="1" ht="30" customHeight="1">
      <c r="A66" s="3">
        <v>1</v>
      </c>
      <c r="B66" s="3">
        <v>626</v>
      </c>
      <c r="C66" s="202" t="s">
        <v>331</v>
      </c>
      <c r="D66" s="4">
        <v>76233898</v>
      </c>
      <c r="E66" s="4">
        <v>34775000</v>
      </c>
      <c r="F66" s="495">
        <v>41458898</v>
      </c>
      <c r="G66" s="4">
        <v>20233898</v>
      </c>
      <c r="H66" s="4">
        <v>18190513</v>
      </c>
      <c r="I66" s="4">
        <v>148175</v>
      </c>
      <c r="J66" s="4">
        <v>860630</v>
      </c>
      <c r="K66" s="4">
        <v>1008805</v>
      </c>
      <c r="L66" s="4">
        <v>19199318</v>
      </c>
      <c r="M66" s="495">
        <v>1034580</v>
      </c>
      <c r="N66" s="497">
        <v>18000000</v>
      </c>
      <c r="O66" s="4">
        <v>38000000</v>
      </c>
      <c r="P66" s="4">
        <v>1034580</v>
      </c>
      <c r="Q66" s="310">
        <v>0</v>
      </c>
      <c r="R66" s="4">
        <v>0</v>
      </c>
      <c r="S66" s="4">
        <v>0</v>
      </c>
      <c r="T66" s="495">
        <v>0</v>
      </c>
      <c r="U66" s="4">
        <v>18000000</v>
      </c>
      <c r="V66" s="4">
        <v>3000000</v>
      </c>
      <c r="W66" s="4">
        <v>0</v>
      </c>
      <c r="X66" s="4">
        <v>0</v>
      </c>
      <c r="Y66" s="4">
        <v>0</v>
      </c>
      <c r="Z66" s="4">
        <v>0</v>
      </c>
      <c r="AA66" s="3">
        <v>15000000</v>
      </c>
      <c r="AB66" s="202" t="s">
        <v>1246</v>
      </c>
      <c r="AC66" s="3">
        <v>732000</v>
      </c>
      <c r="AD66" s="18"/>
      <c r="AE66" s="18"/>
      <c r="AF66" s="18"/>
      <c r="AG66" s="18"/>
      <c r="AH66" s="18"/>
      <c r="AI66" s="18"/>
      <c r="AJ66" s="484"/>
      <c r="AK66" s="484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</row>
    <row r="68" spans="1:56">
      <c r="C68" s="655">
        <v>742</v>
      </c>
    </row>
    <row r="102" spans="3:56" ht="37.9" customHeight="1">
      <c r="C102" s="658"/>
      <c r="D102" s="10"/>
      <c r="E102" s="10"/>
      <c r="F102" s="10"/>
      <c r="G102" s="10"/>
      <c r="H102" s="10"/>
      <c r="I102" s="10"/>
      <c r="J102" s="10"/>
      <c r="K102" s="10"/>
      <c r="L102" s="10"/>
      <c r="M102" s="606"/>
      <c r="N102" s="10"/>
      <c r="O102" s="10"/>
      <c r="P102" s="10"/>
      <c r="Q102" s="10"/>
      <c r="R102" s="10"/>
      <c r="S102" s="10"/>
      <c r="T102" s="10"/>
      <c r="AB102" s="658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</row>
    <row r="105" spans="3:56" ht="70.900000000000006" customHeight="1">
      <c r="C105" s="658"/>
      <c r="D105" s="10"/>
      <c r="E105" s="10"/>
      <c r="F105" s="10"/>
      <c r="G105" s="10"/>
      <c r="H105" s="10"/>
      <c r="I105" s="10"/>
      <c r="J105" s="10"/>
      <c r="K105" s="10"/>
      <c r="L105" s="10"/>
      <c r="M105" s="606"/>
      <c r="N105" s="10"/>
      <c r="O105" s="10"/>
      <c r="P105" s="10"/>
      <c r="Q105" s="10"/>
      <c r="R105" s="10"/>
      <c r="S105" s="10"/>
      <c r="T105" s="10"/>
      <c r="AB105" s="658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</row>
    <row r="108" spans="3:56" ht="72" customHeight="1">
      <c r="C108" s="658"/>
      <c r="D108" s="10"/>
      <c r="E108" s="10"/>
      <c r="F108" s="10"/>
      <c r="G108" s="10"/>
      <c r="H108" s="10"/>
      <c r="I108" s="10"/>
      <c r="J108" s="10"/>
      <c r="K108" s="10"/>
      <c r="L108" s="10"/>
      <c r="M108" s="606"/>
      <c r="N108" s="10"/>
      <c r="O108" s="10"/>
      <c r="P108" s="10"/>
      <c r="Q108" s="10"/>
      <c r="R108" s="10"/>
      <c r="S108" s="10"/>
      <c r="T108" s="10"/>
      <c r="AB108" s="658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</row>
    <row r="110" spans="3:56" ht="43.9" customHeight="1">
      <c r="C110" s="658"/>
      <c r="D110" s="10"/>
      <c r="E110" s="10"/>
      <c r="F110" s="10"/>
      <c r="G110" s="10"/>
      <c r="H110" s="10"/>
      <c r="I110" s="10"/>
      <c r="J110" s="10"/>
      <c r="K110" s="10"/>
      <c r="L110" s="10"/>
      <c r="M110" s="606"/>
      <c r="N110" s="10"/>
      <c r="O110" s="10"/>
      <c r="P110" s="10"/>
      <c r="Q110" s="10"/>
      <c r="R110" s="10"/>
      <c r="S110" s="10"/>
      <c r="T110" s="10"/>
      <c r="AB110" s="658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</row>
    <row r="112" spans="3:56" ht="30" customHeight="1">
      <c r="C112" s="658"/>
      <c r="D112" s="10"/>
      <c r="E112" s="10"/>
      <c r="F112" s="10"/>
      <c r="G112" s="10"/>
      <c r="H112" s="10"/>
      <c r="I112" s="10"/>
      <c r="J112" s="10"/>
      <c r="K112" s="10"/>
      <c r="L112" s="10"/>
      <c r="M112" s="606"/>
      <c r="N112" s="10"/>
      <c r="O112" s="10"/>
      <c r="P112" s="10"/>
      <c r="Q112" s="10"/>
      <c r="R112" s="10"/>
      <c r="S112" s="10"/>
      <c r="T112" s="10"/>
      <c r="AB112" s="658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</row>
  </sheetData>
  <sortState xmlns:xlrd2="http://schemas.microsoft.com/office/spreadsheetml/2017/richdata2" ref="A6:BL58">
    <sortCondition ref="AC6:AC58"/>
  </sortState>
  <conditionalFormatting sqref="O1:O5 O64:O65 O67:O1048576">
    <cfRule type="cellIs" dxfId="428" priority="1" operator="lessThan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Q43"/>
  <sheetViews>
    <sheetView showZeros="0" rightToLeft="1" topLeftCell="B1" zoomScaleNormal="100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34.85546875" style="167" customWidth="1"/>
    <col min="5" max="5" width="30.42578125" style="167" customWidth="1"/>
    <col min="6" max="6" width="12.71093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3" spans="1:17" ht="20.25">
      <c r="A3" s="166"/>
      <c r="C3" s="168" t="s">
        <v>167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1" thickBot="1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16.5" thickBot="1">
      <c r="A5" s="166"/>
      <c r="B5" s="169" t="s">
        <v>105</v>
      </c>
      <c r="C5" s="166" t="s">
        <v>889</v>
      </c>
      <c r="D5" s="166"/>
      <c r="E5" s="166"/>
      <c r="F5" s="170">
        <f>'תקציב החברה לפיתוח 2025'!U124</f>
        <v>244259008</v>
      </c>
      <c r="I5" s="166"/>
      <c r="J5" s="166"/>
      <c r="K5" s="166"/>
      <c r="L5" s="166"/>
    </row>
    <row r="6" spans="1:17" ht="21" thickBot="1">
      <c r="A6" s="166"/>
      <c r="C6" s="168"/>
      <c r="D6" s="166"/>
      <c r="E6" s="166"/>
      <c r="F6" s="591"/>
      <c r="H6" s="166"/>
      <c r="I6" s="166"/>
      <c r="J6" s="166"/>
      <c r="K6" s="166"/>
      <c r="L6" s="166"/>
    </row>
    <row r="7" spans="1:17" ht="16.5" thickBot="1">
      <c r="B7" s="169" t="s">
        <v>105</v>
      </c>
      <c r="C7" s="166" t="s">
        <v>777</v>
      </c>
      <c r="D7" s="166"/>
      <c r="F7" s="170">
        <f>'תקציב החברה לפיתוח 2025'!A124</f>
        <v>119</v>
      </c>
      <c r="I7" s="166"/>
      <c r="J7" s="166"/>
      <c r="K7" s="166"/>
      <c r="L7" s="166"/>
      <c r="M7" s="166"/>
      <c r="N7" s="166"/>
      <c r="O7" s="166"/>
      <c r="P7" s="166"/>
      <c r="Q7" s="166"/>
    </row>
    <row r="8" spans="1:17" ht="15.75">
      <c r="B8" s="169"/>
      <c r="C8" s="166"/>
      <c r="D8" s="166"/>
      <c r="E8" s="166"/>
      <c r="F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B9" s="169" t="s">
        <v>105</v>
      </c>
      <c r="C9" s="166" t="s">
        <v>190</v>
      </c>
      <c r="D9" s="166"/>
      <c r="E9" s="166"/>
      <c r="F9" s="166"/>
      <c r="G9" s="166"/>
      <c r="H9" s="166"/>
      <c r="I9" s="166"/>
      <c r="J9" s="166"/>
      <c r="K9" s="166"/>
      <c r="L9" s="166"/>
    </row>
    <row r="10" spans="1:17" ht="16.5" thickBot="1"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D11" s="177" t="s">
        <v>191</v>
      </c>
      <c r="E11" s="178" t="s">
        <v>192</v>
      </c>
      <c r="F11" s="179" t="s">
        <v>193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>
      <c r="C12" s="169"/>
      <c r="D12" s="173" t="s">
        <v>13</v>
      </c>
      <c r="E12" s="180">
        <f>'תקציב החברה לפיתוח 2025'!V124</f>
        <v>182259851</v>
      </c>
      <c r="F12" s="186">
        <f t="shared" ref="F12:F17" si="0">E12/$E$18</f>
        <v>0.74617453207703188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75" hidden="1">
      <c r="C13" s="169"/>
      <c r="D13" s="173" t="s">
        <v>14</v>
      </c>
      <c r="E13" s="180">
        <f>'תקציב החברה לפיתוח 2025'!W124</f>
        <v>0</v>
      </c>
      <c r="F13" s="186">
        <f t="shared" si="0"/>
        <v>0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5.75" hidden="1">
      <c r="C14" s="169"/>
      <c r="D14" s="173" t="s">
        <v>15</v>
      </c>
      <c r="E14" s="180">
        <f>'תקציב החברה לפיתוח 2025'!X124</f>
        <v>0</v>
      </c>
      <c r="F14" s="186">
        <f t="shared" si="0"/>
        <v>0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C15" s="169"/>
      <c r="D15" s="173" t="s">
        <v>185</v>
      </c>
      <c r="E15" s="180">
        <f>'תקציב החברה לפיתוח 2025'!Y124</f>
        <v>29200000</v>
      </c>
      <c r="F15" s="186">
        <f t="shared" si="0"/>
        <v>0.11954523290293556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5.75" hidden="1">
      <c r="C16" s="169"/>
      <c r="D16" s="173" t="s">
        <v>385</v>
      </c>
      <c r="E16" s="180">
        <f>'תקציב החברה לפיתוח 2025'!Z124</f>
        <v>0</v>
      </c>
      <c r="F16" s="186">
        <f t="shared" si="0"/>
        <v>0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15.75">
      <c r="C17" s="169"/>
      <c r="D17" s="173" t="s">
        <v>67</v>
      </c>
      <c r="E17" s="180">
        <f>'תקציב החברה לפיתוח 2025'!AA124</f>
        <v>32799157</v>
      </c>
      <c r="F17" s="186">
        <f t="shared" si="0"/>
        <v>0.1342802350200325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16.5" thickBot="1">
      <c r="C18" s="169"/>
      <c r="D18" s="175" t="s">
        <v>75</v>
      </c>
      <c r="E18" s="182">
        <f>SUM(E12:E17)</f>
        <v>244259008</v>
      </c>
      <c r="F18" s="235">
        <f>SUM(F12:F17)</f>
        <v>1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ht="15.75">
      <c r="C19" s="169"/>
      <c r="D19" s="172"/>
      <c r="E19" s="189"/>
      <c r="F19" s="268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</row>
    <row r="20" spans="1:17" s="227" customFormat="1" ht="15.75">
      <c r="C20" s="229" t="s">
        <v>105</v>
      </c>
      <c r="D20" s="417" t="s">
        <v>395</v>
      </c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</row>
    <row r="21" spans="1:17" s="617" customFormat="1" ht="15.75">
      <c r="A21" s="226"/>
      <c r="B21" s="226"/>
      <c r="C21" s="226"/>
      <c r="D21" s="616" t="s">
        <v>1442</v>
      </c>
      <c r="E21" s="264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</row>
    <row r="22" spans="1:17" s="617" customFormat="1" ht="15.75">
      <c r="A22" s="226"/>
      <c r="B22" s="226"/>
      <c r="C22" s="226"/>
      <c r="D22" s="616" t="s">
        <v>1443</v>
      </c>
      <c r="E22" s="264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</row>
    <row r="23" spans="1:17" s="227" customFormat="1" ht="15.75">
      <c r="A23" s="226"/>
      <c r="B23" s="226"/>
      <c r="C23" s="226"/>
      <c r="D23" s="265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1:17" ht="15.75">
      <c r="C24" s="246" t="s">
        <v>105</v>
      </c>
      <c r="D24" s="247" t="s">
        <v>1431</v>
      </c>
    </row>
    <row r="25" spans="1:17" ht="15.75">
      <c r="C25" s="246"/>
      <c r="D25" s="247"/>
    </row>
    <row r="26" spans="1:17" s="227" customFormat="1" ht="15.75">
      <c r="A26" s="226"/>
      <c r="B26" s="226"/>
      <c r="C26" s="226"/>
      <c r="D26" s="322" t="s">
        <v>1296</v>
      </c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17" s="227" customFormat="1" ht="15.75">
      <c r="A27" s="226"/>
      <c r="B27" s="226"/>
      <c r="C27" s="226"/>
      <c r="D27" s="265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</row>
    <row r="28" spans="1:17" s="227" customFormat="1" ht="15.75">
      <c r="A28" s="226"/>
      <c r="B28" s="226"/>
      <c r="C28" s="226"/>
      <c r="D28" s="265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</row>
    <row r="29" spans="1:17" s="227" customFormat="1" ht="15.75">
      <c r="A29" s="226"/>
      <c r="B29" s="226"/>
      <c r="C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</row>
    <row r="30" spans="1:17" s="227" customFormat="1" ht="15.75">
      <c r="A30" s="226"/>
      <c r="B30" s="226"/>
      <c r="C30" s="226"/>
      <c r="D30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</row>
    <row r="31" spans="1:17" s="227" customFormat="1" ht="15.75">
      <c r="A31" s="226"/>
      <c r="B31" s="226"/>
      <c r="C31" s="226"/>
      <c r="D31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</row>
    <row r="32" spans="1:17" s="227" customFormat="1" ht="15.75">
      <c r="A32" s="226"/>
      <c r="B32" s="226"/>
      <c r="C32" s="226"/>
      <c r="D32" s="265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</row>
    <row r="33" spans="2:17" ht="15.75">
      <c r="B33" s="169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</row>
    <row r="39" spans="2:17" s="245" customFormat="1" ht="15.75"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</row>
    <row r="40" spans="2:17">
      <c r="F40"/>
    </row>
    <row r="43" spans="2:17">
      <c r="D4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Q29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42.140625" style="167" customWidth="1"/>
    <col min="5" max="5" width="30.42578125" style="167" customWidth="1"/>
    <col min="6" max="6" width="12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2" spans="1:17" ht="20.25">
      <c r="A2" s="166"/>
      <c r="C2" s="168" t="s">
        <v>167</v>
      </c>
      <c r="D2" s="166"/>
      <c r="E2" s="166"/>
      <c r="F2" s="166"/>
      <c r="G2" s="166"/>
      <c r="H2" s="166"/>
      <c r="I2" s="166"/>
      <c r="J2" s="166"/>
      <c r="K2" s="166"/>
      <c r="L2" s="166"/>
    </row>
    <row r="3" spans="1:17" ht="20.25">
      <c r="A3" s="166"/>
      <c r="C3" s="168"/>
      <c r="D3" s="166"/>
      <c r="E3" s="166"/>
      <c r="F3" s="166"/>
      <c r="G3" s="166"/>
      <c r="H3" s="166"/>
      <c r="I3" s="166"/>
      <c r="J3" s="166"/>
      <c r="K3" s="166"/>
      <c r="L3" s="166"/>
    </row>
    <row r="4" spans="1:17" ht="15.75">
      <c r="B4" s="169" t="s">
        <v>105</v>
      </c>
      <c r="C4" s="166" t="s">
        <v>890</v>
      </c>
      <c r="D4" s="166"/>
      <c r="E4" s="166"/>
      <c r="F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1:17" ht="16.5" thickBot="1">
      <c r="C5" s="166"/>
      <c r="D5" s="166"/>
      <c r="E5" s="166"/>
      <c r="F5" s="166"/>
      <c r="H5" s="166"/>
      <c r="I5" s="166"/>
      <c r="J5" s="166"/>
      <c r="K5" s="166"/>
      <c r="L5" s="166"/>
    </row>
    <row r="6" spans="1:17" ht="15.75">
      <c r="D6" s="177" t="s">
        <v>194</v>
      </c>
      <c r="E6" s="171" t="s">
        <v>1434</v>
      </c>
      <c r="F6" s="172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</row>
    <row r="7" spans="1:17" ht="15.75" customHeight="1">
      <c r="D7" s="173" t="s">
        <v>367</v>
      </c>
      <c r="E7" s="174">
        <f>'תקציב החברה לפיתוח 2025'!U75</f>
        <v>30000000</v>
      </c>
      <c r="H7" s="239"/>
    </row>
    <row r="8" spans="1:17" ht="15.75">
      <c r="C8" s="169"/>
      <c r="D8" s="173" t="s">
        <v>1432</v>
      </c>
      <c r="E8" s="269">
        <f>'תקציב החברה לפיתוח 2025'!U94</f>
        <v>20000000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C9" s="169"/>
      <c r="D9" s="173" t="s">
        <v>580</v>
      </c>
      <c r="E9" s="269">
        <f>'תקציב החברה לפיתוח 2025'!U97</f>
        <v>20000000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</row>
    <row r="10" spans="1:17" ht="15.6" customHeight="1">
      <c r="C10" s="169"/>
      <c r="D10" s="173" t="s">
        <v>311</v>
      </c>
      <c r="E10" s="174">
        <f>'תקציב החברה לפיתוח 2025'!U62</f>
        <v>17000000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C11" s="169"/>
      <c r="D11" s="173" t="s">
        <v>368</v>
      </c>
      <c r="E11" s="269">
        <f>'תקציב החברה לפיתוח 2025'!U78</f>
        <v>15133449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>
      <c r="C12" s="169"/>
      <c r="D12" s="770" t="s">
        <v>223</v>
      </c>
      <c r="E12" s="269">
        <f>'תקציב החברה לפיתוח 2025'!U50</f>
        <v>13087125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6" customHeight="1">
      <c r="C13" s="169"/>
      <c r="D13" s="770" t="s">
        <v>227</v>
      </c>
      <c r="E13" s="174">
        <f>'תקציב החברה לפיתוח 2025'!U37</f>
        <v>13000000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6.149999999999999" customHeight="1">
      <c r="C14" s="169"/>
      <c r="D14" s="173" t="s">
        <v>458</v>
      </c>
      <c r="E14" s="174">
        <f>'תקציב החברה לפיתוח 2025'!U91</f>
        <v>13000000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C15" s="169"/>
      <c r="D15" s="173" t="s">
        <v>1433</v>
      </c>
      <c r="E15" s="174">
        <f>'תקציב החברה לפיתוח 2025'!U84</f>
        <v>7623214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5.6" customHeight="1" thickBot="1">
      <c r="D16" s="776" t="s">
        <v>532</v>
      </c>
      <c r="E16" s="185">
        <f>'תקציב החברה לפיתוח 2025'!U52</f>
        <v>6500000</v>
      </c>
    </row>
    <row r="18" spans="4:7" ht="15.75">
      <c r="D18" s="240" t="s">
        <v>1297</v>
      </c>
    </row>
    <row r="20" spans="4:7">
      <c r="D20"/>
    </row>
    <row r="21" spans="4:7">
      <c r="D21"/>
    </row>
    <row r="28" spans="4:7">
      <c r="G28" s="771"/>
    </row>
    <row r="29" spans="4:7">
      <c r="D29" s="238"/>
    </row>
  </sheetData>
  <sortState xmlns:xlrd2="http://schemas.microsoft.com/office/spreadsheetml/2017/richdata2" ref="A7:Q16">
    <sortCondition descending="1" ref="E7:E16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C04B-E736-41D8-B04B-91820229AEBE}">
  <dimension ref="A1:BD126"/>
  <sheetViews>
    <sheetView showZeros="0" rightToLeft="1" zoomScaleNormal="100" workbookViewId="0">
      <pane xSplit="6" ySplit="4" topLeftCell="L8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8.75"/>
  <cols>
    <col min="1" max="1" width="5" style="123" customWidth="1"/>
    <col min="2" max="2" width="6.7109375" style="205" customWidth="1"/>
    <col min="3" max="3" width="23.42578125" style="131" customWidth="1"/>
    <col min="4" max="5" width="12.7109375" style="124" customWidth="1"/>
    <col min="6" max="6" width="11.42578125" style="124" customWidth="1"/>
    <col min="7" max="8" width="12.7109375" style="124" hidden="1" customWidth="1"/>
    <col min="9" max="10" width="10.140625" style="124" hidden="1" customWidth="1"/>
    <col min="11" max="11" width="12.7109375" style="124" hidden="1" customWidth="1"/>
    <col min="12" max="12" width="12.7109375" style="124" customWidth="1"/>
    <col min="13" max="13" width="11.140625" style="124" customWidth="1"/>
    <col min="14" max="14" width="11.28515625" style="124" customWidth="1"/>
    <col min="15" max="15" width="12.5703125" style="124" customWidth="1"/>
    <col min="16" max="18" width="11.140625" style="124" hidden="1" customWidth="1"/>
    <col min="19" max="19" width="11.7109375" style="124" hidden="1" customWidth="1"/>
    <col min="20" max="20" width="9.28515625" style="124" customWidth="1"/>
    <col min="21" max="21" width="11.140625" style="559" bestFit="1" customWidth="1"/>
    <col min="22" max="22" width="11.42578125" style="123" customWidth="1"/>
    <col min="23" max="24" width="10.140625" style="123" hidden="1" customWidth="1"/>
    <col min="25" max="25" width="10.140625" style="123" customWidth="1"/>
    <col min="26" max="26" width="10.140625" style="123" hidden="1" customWidth="1"/>
    <col min="27" max="27" width="10.28515625" style="123" customWidth="1"/>
    <col min="28" max="28" width="33.7109375" style="221" hidden="1" customWidth="1"/>
    <col min="29" max="29" width="10.7109375" style="123" hidden="1" customWidth="1"/>
    <col min="30" max="30" width="10.5703125" style="123" customWidth="1"/>
    <col min="31" max="31" width="16.5703125" style="123" customWidth="1"/>
    <col min="32" max="33" width="12.42578125" style="123" customWidth="1"/>
    <col min="34" max="35" width="16.5703125" style="123" customWidth="1"/>
    <col min="36" max="36" width="11.140625" style="123" bestFit="1" customWidth="1"/>
    <col min="37" max="37" width="37" style="505" customWidth="1"/>
    <col min="38" max="38" width="12.7109375" style="505" customWidth="1"/>
    <col min="39" max="39" width="7.28515625" style="505" customWidth="1"/>
    <col min="40" max="40" width="15.140625" style="505" customWidth="1"/>
    <col min="41" max="41" width="17.140625" style="505" customWidth="1"/>
    <col min="42" max="42" width="19.28515625" style="505" customWidth="1"/>
    <col min="43" max="43" width="35.85546875" style="505" customWidth="1"/>
    <col min="44" max="44" width="40.5703125" style="505" customWidth="1"/>
    <col min="45" max="45" width="12.42578125" style="123" customWidth="1"/>
    <col min="46" max="46" width="16.5703125" style="123" customWidth="1"/>
    <col min="47" max="47" width="12.42578125" style="123" customWidth="1"/>
    <col min="48" max="48" width="16.5703125" style="123" customWidth="1"/>
    <col min="49" max="49" width="12.42578125" style="123" customWidth="1"/>
    <col min="50" max="50" width="16.5703125" style="123" customWidth="1"/>
    <col min="51" max="51" width="12.42578125" style="123" customWidth="1"/>
    <col min="52" max="16384" width="9.140625" style="123"/>
  </cols>
  <sheetData>
    <row r="1" spans="1:56" s="132" customFormat="1">
      <c r="A1" s="145"/>
      <c r="B1" s="145"/>
      <c r="C1" s="223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582"/>
      <c r="V1" s="145"/>
      <c r="W1" s="145"/>
      <c r="X1" s="145"/>
      <c r="Y1" s="123"/>
      <c r="Z1" s="123"/>
      <c r="AA1" s="123" t="s">
        <v>1234</v>
      </c>
      <c r="AB1" s="204"/>
      <c r="AD1" s="123"/>
      <c r="AE1" s="123"/>
      <c r="AF1" s="123"/>
      <c r="AG1" s="123"/>
      <c r="AH1" s="123"/>
      <c r="AI1" s="123"/>
      <c r="AJ1" s="123"/>
      <c r="AK1" s="505"/>
      <c r="AL1" s="505"/>
      <c r="AM1" s="505"/>
      <c r="AN1" s="505"/>
      <c r="AO1" s="505"/>
      <c r="AP1" s="505"/>
      <c r="AQ1" s="505"/>
      <c r="AR1" s="505"/>
      <c r="AS1" s="123"/>
      <c r="AT1" s="123"/>
      <c r="AU1" s="123"/>
      <c r="AV1" s="123"/>
      <c r="AW1" s="123"/>
      <c r="AX1" s="123"/>
      <c r="AY1" s="123"/>
    </row>
    <row r="2" spans="1:56">
      <c r="A2" s="145" t="s">
        <v>145</v>
      </c>
      <c r="B2" s="145"/>
      <c r="C2" s="223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408"/>
      <c r="Z2" s="145"/>
      <c r="AA2" s="145"/>
      <c r="AB2" s="409"/>
    </row>
    <row r="3" spans="1:56">
      <c r="U3" s="576"/>
      <c r="V3" s="145"/>
      <c r="W3" s="145"/>
      <c r="X3" s="145"/>
      <c r="Y3" s="145"/>
      <c r="Z3" s="145"/>
      <c r="AA3" s="145"/>
    </row>
    <row r="4" spans="1:56" s="206" customFormat="1" ht="75">
      <c r="A4" s="292" t="s">
        <v>443</v>
      </c>
      <c r="B4" s="125" t="s">
        <v>1</v>
      </c>
      <c r="C4" s="125" t="s">
        <v>2</v>
      </c>
      <c r="D4" s="125" t="s">
        <v>3</v>
      </c>
      <c r="E4" s="125" t="s">
        <v>4</v>
      </c>
      <c r="F4" s="125" t="s">
        <v>5</v>
      </c>
      <c r="G4" s="125" t="s">
        <v>6</v>
      </c>
      <c r="H4" s="125" t="s">
        <v>7</v>
      </c>
      <c r="I4" s="125" t="s">
        <v>9</v>
      </c>
      <c r="J4" s="125" t="s">
        <v>101</v>
      </c>
      <c r="K4" s="125" t="s">
        <v>10</v>
      </c>
      <c r="L4" s="275" t="s">
        <v>11</v>
      </c>
      <c r="M4" s="125" t="s">
        <v>793</v>
      </c>
      <c r="N4" s="125" t="s">
        <v>794</v>
      </c>
      <c r="O4" s="2" t="s">
        <v>795</v>
      </c>
      <c r="P4" s="2" t="s">
        <v>12</v>
      </c>
      <c r="Q4" s="2" t="s">
        <v>796</v>
      </c>
      <c r="R4" s="2" t="s">
        <v>797</v>
      </c>
      <c r="S4" s="2" t="s">
        <v>798</v>
      </c>
      <c r="T4" s="2" t="s">
        <v>799</v>
      </c>
      <c r="U4" s="2" t="s">
        <v>800</v>
      </c>
      <c r="V4" s="13" t="s">
        <v>13</v>
      </c>
      <c r="W4" s="13" t="s">
        <v>14</v>
      </c>
      <c r="X4" s="125" t="s">
        <v>15</v>
      </c>
      <c r="Y4" s="125" t="s">
        <v>185</v>
      </c>
      <c r="Z4" s="125" t="s">
        <v>385</v>
      </c>
      <c r="AA4" s="125" t="s">
        <v>67</v>
      </c>
      <c r="AB4" s="506" t="s">
        <v>207</v>
      </c>
      <c r="AC4" s="125" t="s">
        <v>16</v>
      </c>
      <c r="AD4" s="123"/>
      <c r="AE4" s="123"/>
      <c r="AF4" s="123"/>
      <c r="AG4" s="123"/>
      <c r="AH4" s="123"/>
      <c r="AI4" s="123"/>
      <c r="AJ4" s="123"/>
      <c r="AK4" s="505"/>
      <c r="AL4" s="505"/>
      <c r="AM4" s="505"/>
      <c r="AN4" s="505"/>
      <c r="AO4" s="505"/>
      <c r="AP4" s="505"/>
      <c r="AQ4" s="505"/>
      <c r="AR4" s="505"/>
      <c r="AS4" s="123"/>
      <c r="AT4" s="123"/>
      <c r="AU4" s="123"/>
      <c r="AV4" s="123"/>
      <c r="AW4" s="123"/>
      <c r="AX4" s="123"/>
      <c r="AY4" s="123"/>
    </row>
    <row r="5" spans="1:56" s="206" customFormat="1" ht="30" customHeight="1">
      <c r="A5" s="112">
        <v>1</v>
      </c>
      <c r="B5" s="127">
        <v>382</v>
      </c>
      <c r="C5" s="127" t="s">
        <v>296</v>
      </c>
      <c r="D5" s="112">
        <v>111381330</v>
      </c>
      <c r="E5" s="112">
        <v>111381330</v>
      </c>
      <c r="F5" s="112">
        <f t="shared" ref="F5:F36" si="0">D5-E5</f>
        <v>0</v>
      </c>
      <c r="G5" s="112">
        <v>72381330</v>
      </c>
      <c r="H5" s="112">
        <v>67060829</v>
      </c>
      <c r="I5" s="112">
        <v>0</v>
      </c>
      <c r="J5" s="112">
        <v>3766894</v>
      </c>
      <c r="K5" s="112">
        <f t="shared" ref="K5:K36" si="1">SUM(I5:J5)</f>
        <v>3766894</v>
      </c>
      <c r="L5" s="112">
        <f t="shared" ref="L5:L16" si="2">K5+H5</f>
        <v>70827723</v>
      </c>
      <c r="M5" s="112">
        <f t="shared" ref="M5:M19" si="3">P5+S5</f>
        <v>1553607</v>
      </c>
      <c r="N5" s="112">
        <f>11500000*1.4+6000000-16000000</f>
        <v>6100000</v>
      </c>
      <c r="O5" s="112">
        <f t="shared" ref="O5:O36" si="4">D5-L5-M5-N5</f>
        <v>32900000</v>
      </c>
      <c r="P5" s="112">
        <f t="shared" ref="P5:P36" si="5">G5-L5</f>
        <v>1553607</v>
      </c>
      <c r="Q5" s="112"/>
      <c r="R5" s="112"/>
      <c r="S5" s="112">
        <f t="shared" ref="S5:S47" si="6">SUM(Q5:R5)</f>
        <v>0</v>
      </c>
      <c r="T5" s="112">
        <f t="shared" ref="T5:T36" si="7">P5-M5+S5</f>
        <v>0</v>
      </c>
      <c r="U5" s="257">
        <f t="shared" ref="U5:U36" si="8">N5-T5</f>
        <v>6100000</v>
      </c>
      <c r="V5" s="112">
        <f t="shared" ref="V5:V16" si="9">U5-Z5-X5-AA5-W5-Y5</f>
        <v>500000</v>
      </c>
      <c r="W5" s="112"/>
      <c r="X5" s="112"/>
      <c r="Y5" s="112">
        <v>5600000</v>
      </c>
      <c r="Z5" s="112"/>
      <c r="AA5" s="112"/>
      <c r="AB5" s="207" t="s">
        <v>1289</v>
      </c>
      <c r="AC5" s="127">
        <v>742000</v>
      </c>
      <c r="AD5" s="123"/>
      <c r="AE5" s="123"/>
      <c r="AF5" s="123"/>
      <c r="AG5" s="123"/>
      <c r="AH5" s="123"/>
      <c r="AI5" s="123"/>
      <c r="AJ5" s="123"/>
      <c r="AK5" s="505"/>
      <c r="AL5" s="505"/>
      <c r="AM5" s="505"/>
      <c r="AN5" s="505"/>
      <c r="AO5" s="505"/>
      <c r="AP5" s="505"/>
      <c r="AQ5" s="505"/>
      <c r="AR5" s="505"/>
      <c r="AS5" s="123"/>
      <c r="AT5" s="123"/>
      <c r="AU5" s="123"/>
      <c r="AV5" s="123"/>
      <c r="AW5" s="123"/>
      <c r="AX5" s="123"/>
      <c r="AY5" s="123"/>
    </row>
    <row r="6" spans="1:56" s="126" customFormat="1" ht="30" customHeight="1">
      <c r="A6" s="112">
        <f>1+A5</f>
        <v>2</v>
      </c>
      <c r="B6" s="127">
        <v>576</v>
      </c>
      <c r="C6" s="127" t="s">
        <v>62</v>
      </c>
      <c r="D6" s="112">
        <v>78113000</v>
      </c>
      <c r="E6" s="112">
        <v>78113000</v>
      </c>
      <c r="F6" s="112">
        <f t="shared" si="0"/>
        <v>0</v>
      </c>
      <c r="G6" s="112">
        <v>58113000</v>
      </c>
      <c r="H6" s="112">
        <v>57850912</v>
      </c>
      <c r="I6" s="112">
        <v>0</v>
      </c>
      <c r="J6" s="112">
        <v>52801</v>
      </c>
      <c r="K6" s="112">
        <f t="shared" si="1"/>
        <v>52801</v>
      </c>
      <c r="L6" s="112">
        <f t="shared" si="2"/>
        <v>57903713</v>
      </c>
      <c r="M6" s="112">
        <f t="shared" si="3"/>
        <v>209287</v>
      </c>
      <c r="N6" s="112">
        <f>14000000-14000000</f>
        <v>0</v>
      </c>
      <c r="O6" s="112">
        <f t="shared" si="4"/>
        <v>20000000</v>
      </c>
      <c r="P6" s="112">
        <f t="shared" si="5"/>
        <v>209287</v>
      </c>
      <c r="Q6" s="112"/>
      <c r="R6" s="112"/>
      <c r="S6" s="112">
        <f t="shared" si="6"/>
        <v>0</v>
      </c>
      <c r="T6" s="112">
        <f t="shared" si="7"/>
        <v>0</v>
      </c>
      <c r="U6" s="257">
        <f t="shared" si="8"/>
        <v>0</v>
      </c>
      <c r="V6" s="112">
        <f t="shared" si="9"/>
        <v>0</v>
      </c>
      <c r="W6" s="112"/>
      <c r="X6" s="112"/>
      <c r="Y6" s="112"/>
      <c r="Z6" s="112"/>
      <c r="AA6" s="112">
        <f>3000000-3000000</f>
        <v>0</v>
      </c>
      <c r="AB6" s="127" t="s">
        <v>1453</v>
      </c>
      <c r="AC6" s="127">
        <v>760000</v>
      </c>
      <c r="AD6" s="123"/>
      <c r="AE6" s="123"/>
      <c r="AF6" s="123"/>
      <c r="AG6" s="123"/>
      <c r="AH6" s="123"/>
      <c r="AI6" s="123"/>
      <c r="AJ6" s="123"/>
      <c r="AK6" s="505"/>
      <c r="AL6" s="505"/>
      <c r="AM6" s="505"/>
      <c r="AN6" s="505"/>
      <c r="AO6" s="505"/>
      <c r="AP6" s="505"/>
      <c r="AQ6" s="505"/>
      <c r="AR6" s="505"/>
      <c r="AS6" s="123"/>
      <c r="AT6" s="123"/>
      <c r="AU6" s="123"/>
      <c r="AV6" s="123"/>
      <c r="AW6" s="123"/>
      <c r="AX6" s="123"/>
      <c r="AY6" s="123"/>
      <c r="AZ6" s="5"/>
      <c r="BA6" s="5"/>
      <c r="BB6" s="5"/>
      <c r="BC6" s="5"/>
      <c r="BD6" s="5"/>
    </row>
    <row r="7" spans="1:56" s="128" customFormat="1" ht="30" customHeight="1">
      <c r="A7" s="112">
        <f t="shared" ref="A7:A70" si="10">1+A6</f>
        <v>3</v>
      </c>
      <c r="B7" s="127">
        <v>1067</v>
      </c>
      <c r="C7" s="127" t="s">
        <v>63</v>
      </c>
      <c r="D7" s="112">
        <f>5475000+200000</f>
        <v>5675000</v>
      </c>
      <c r="E7" s="112">
        <v>5475000</v>
      </c>
      <c r="F7" s="112">
        <f t="shared" si="0"/>
        <v>200000</v>
      </c>
      <c r="G7" s="112">
        <v>4975000</v>
      </c>
      <c r="H7" s="112">
        <v>4792332</v>
      </c>
      <c r="I7" s="112">
        <v>0</v>
      </c>
      <c r="J7" s="112">
        <v>113500</v>
      </c>
      <c r="K7" s="112">
        <f t="shared" si="1"/>
        <v>113500</v>
      </c>
      <c r="L7" s="112">
        <f t="shared" si="2"/>
        <v>4905832</v>
      </c>
      <c r="M7" s="112">
        <f t="shared" si="3"/>
        <v>269168</v>
      </c>
      <c r="N7" s="112">
        <f>2000000-1500000</f>
        <v>500000</v>
      </c>
      <c r="O7" s="112">
        <f t="shared" si="4"/>
        <v>0</v>
      </c>
      <c r="P7" s="112">
        <f t="shared" si="5"/>
        <v>69168</v>
      </c>
      <c r="Q7" s="112">
        <v>200000</v>
      </c>
      <c r="R7" s="112"/>
      <c r="S7" s="112">
        <f t="shared" si="6"/>
        <v>200000</v>
      </c>
      <c r="T7" s="112">
        <f t="shared" si="7"/>
        <v>0</v>
      </c>
      <c r="U7" s="257">
        <f t="shared" si="8"/>
        <v>500000</v>
      </c>
      <c r="V7" s="112">
        <f t="shared" si="9"/>
        <v>500000</v>
      </c>
      <c r="W7" s="112"/>
      <c r="X7" s="112"/>
      <c r="Y7" s="112"/>
      <c r="Z7" s="112"/>
      <c r="AA7" s="127"/>
      <c r="AB7" s="210" t="s">
        <v>218</v>
      </c>
      <c r="AC7" s="127">
        <v>742000</v>
      </c>
      <c r="AD7" s="123"/>
      <c r="AE7" s="123"/>
      <c r="AF7" s="123"/>
      <c r="AG7" s="123"/>
      <c r="AH7" s="123"/>
      <c r="AI7" s="123"/>
      <c r="AJ7" s="123"/>
      <c r="AK7" s="505"/>
      <c r="AL7" s="505"/>
      <c r="AM7" s="505"/>
      <c r="AN7" s="505"/>
      <c r="AO7" s="505"/>
      <c r="AP7" s="505"/>
      <c r="AQ7" s="505"/>
      <c r="AR7" s="505"/>
      <c r="AS7" s="123"/>
      <c r="AT7" s="123"/>
      <c r="AU7" s="123"/>
      <c r="AV7" s="123"/>
      <c r="AW7" s="123"/>
      <c r="AX7" s="123"/>
      <c r="AY7" s="123"/>
      <c r="AZ7" s="5"/>
      <c r="BA7" s="5"/>
      <c r="BB7" s="5"/>
      <c r="BC7" s="5"/>
      <c r="BD7" s="5"/>
    </row>
    <row r="8" spans="1:56" s="126" customFormat="1" ht="30" customHeight="1">
      <c r="A8" s="112">
        <f t="shared" si="10"/>
        <v>4</v>
      </c>
      <c r="B8" s="127">
        <v>1207</v>
      </c>
      <c r="C8" s="127" t="s">
        <v>64</v>
      </c>
      <c r="D8" s="112">
        <v>45650000</v>
      </c>
      <c r="E8" s="112">
        <v>45650000</v>
      </c>
      <c r="F8" s="112">
        <f t="shared" si="0"/>
        <v>0</v>
      </c>
      <c r="G8" s="112">
        <v>43370000</v>
      </c>
      <c r="H8" s="112">
        <v>43349903</v>
      </c>
      <c r="I8" s="112">
        <v>0</v>
      </c>
      <c r="J8" s="112">
        <v>0</v>
      </c>
      <c r="K8" s="112">
        <f t="shared" si="1"/>
        <v>0</v>
      </c>
      <c r="L8" s="112">
        <f t="shared" si="2"/>
        <v>43349903</v>
      </c>
      <c r="M8" s="112">
        <f t="shared" si="3"/>
        <v>20097</v>
      </c>
      <c r="N8" s="112"/>
      <c r="O8" s="112">
        <f t="shared" si="4"/>
        <v>2280000</v>
      </c>
      <c r="P8" s="112">
        <f t="shared" si="5"/>
        <v>20097</v>
      </c>
      <c r="Q8" s="112"/>
      <c r="R8" s="112"/>
      <c r="S8" s="112">
        <f t="shared" si="6"/>
        <v>0</v>
      </c>
      <c r="T8" s="112">
        <f t="shared" si="7"/>
        <v>0</v>
      </c>
      <c r="U8" s="257">
        <f t="shared" si="8"/>
        <v>0</v>
      </c>
      <c r="V8" s="112">
        <f t="shared" si="9"/>
        <v>0</v>
      </c>
      <c r="W8" s="112"/>
      <c r="X8" s="112"/>
      <c r="Y8" s="112"/>
      <c r="Z8" s="112"/>
      <c r="AA8" s="127"/>
      <c r="AB8" s="210" t="s">
        <v>519</v>
      </c>
      <c r="AC8" s="127">
        <v>742000</v>
      </c>
      <c r="AD8" s="123"/>
      <c r="AE8" s="123"/>
      <c r="AF8" s="123"/>
      <c r="AG8" s="123"/>
      <c r="AH8" s="123"/>
      <c r="AI8" s="123"/>
      <c r="AJ8" s="123"/>
      <c r="AK8" s="505"/>
      <c r="AL8" s="505"/>
      <c r="AM8" s="505"/>
      <c r="AN8" s="505"/>
      <c r="AO8" s="505"/>
      <c r="AP8" s="505"/>
      <c r="AQ8" s="505"/>
      <c r="AR8" s="505"/>
      <c r="AS8" s="123"/>
      <c r="AT8" s="123"/>
      <c r="AU8" s="123"/>
      <c r="AV8" s="123"/>
      <c r="AW8" s="123"/>
      <c r="AX8" s="123"/>
      <c r="AY8" s="123"/>
      <c r="AZ8" s="5"/>
      <c r="BA8" s="5"/>
      <c r="BB8" s="5"/>
      <c r="BC8" s="5"/>
      <c r="BD8" s="5"/>
    </row>
    <row r="9" spans="1:56" s="128" customFormat="1" ht="30" customHeight="1">
      <c r="A9" s="112">
        <f t="shared" si="10"/>
        <v>5</v>
      </c>
      <c r="B9" s="127">
        <v>1238</v>
      </c>
      <c r="C9" s="127" t="s">
        <v>476</v>
      </c>
      <c r="D9" s="112">
        <v>40500000</v>
      </c>
      <c r="E9" s="112">
        <v>40500000</v>
      </c>
      <c r="F9" s="112">
        <f t="shared" si="0"/>
        <v>0</v>
      </c>
      <c r="G9" s="112">
        <v>29000000</v>
      </c>
      <c r="H9" s="112">
        <v>28114558</v>
      </c>
      <c r="I9" s="112">
        <v>0</v>
      </c>
      <c r="J9" s="112">
        <v>657578</v>
      </c>
      <c r="K9" s="112">
        <f t="shared" si="1"/>
        <v>657578</v>
      </c>
      <c r="L9" s="112">
        <f t="shared" si="2"/>
        <v>28772136</v>
      </c>
      <c r="M9" s="112">
        <f t="shared" si="3"/>
        <v>4227864</v>
      </c>
      <c r="N9" s="112">
        <f>7500000-2000000</f>
        <v>5500000</v>
      </c>
      <c r="O9" s="112">
        <f t="shared" si="4"/>
        <v>2000000</v>
      </c>
      <c r="P9" s="112">
        <f t="shared" si="5"/>
        <v>227864</v>
      </c>
      <c r="Q9" s="112">
        <v>4000000</v>
      </c>
      <c r="R9" s="112"/>
      <c r="S9" s="112">
        <f t="shared" si="6"/>
        <v>4000000</v>
      </c>
      <c r="T9" s="112">
        <f t="shared" si="7"/>
        <v>0</v>
      </c>
      <c r="U9" s="257">
        <f t="shared" si="8"/>
        <v>5500000</v>
      </c>
      <c r="V9" s="112">
        <f t="shared" si="9"/>
        <v>3730988</v>
      </c>
      <c r="W9" s="112"/>
      <c r="X9" s="112"/>
      <c r="Y9" s="112"/>
      <c r="Z9" s="112"/>
      <c r="AA9" s="112">
        <v>1769012</v>
      </c>
      <c r="AB9" s="222" t="s">
        <v>1254</v>
      </c>
      <c r="AC9" s="127">
        <v>742000</v>
      </c>
      <c r="AD9" s="123"/>
      <c r="AE9" s="123"/>
      <c r="AF9" s="123"/>
      <c r="AG9" s="123"/>
      <c r="AH9" s="123"/>
      <c r="AI9" s="123"/>
      <c r="AJ9" s="123"/>
      <c r="AK9" s="505"/>
      <c r="AL9" s="505"/>
      <c r="AM9" s="505"/>
      <c r="AN9" s="505"/>
      <c r="AO9" s="505"/>
      <c r="AP9" s="505"/>
      <c r="AQ9" s="505"/>
      <c r="AR9" s="505"/>
      <c r="AS9" s="123"/>
      <c r="AT9" s="123"/>
      <c r="AU9" s="123"/>
      <c r="AV9" s="123"/>
      <c r="AW9" s="123"/>
      <c r="AX9" s="123"/>
      <c r="AY9" s="123"/>
    </row>
    <row r="10" spans="1:56" s="128" customFormat="1" ht="30" customHeight="1">
      <c r="A10" s="112">
        <f t="shared" si="10"/>
        <v>6</v>
      </c>
      <c r="B10" s="127">
        <v>1298</v>
      </c>
      <c r="C10" s="127" t="s">
        <v>31</v>
      </c>
      <c r="D10" s="112">
        <f>6770000+500000+300000</f>
        <v>7570000</v>
      </c>
      <c r="E10" s="112">
        <v>6770000</v>
      </c>
      <c r="F10" s="112">
        <f t="shared" si="0"/>
        <v>800000</v>
      </c>
      <c r="G10" s="112">
        <v>6100000</v>
      </c>
      <c r="H10" s="112">
        <v>5896692</v>
      </c>
      <c r="I10" s="112">
        <v>0</v>
      </c>
      <c r="J10" s="112">
        <v>130240</v>
      </c>
      <c r="K10" s="112">
        <f t="shared" si="1"/>
        <v>130240</v>
      </c>
      <c r="L10" s="112">
        <f t="shared" si="2"/>
        <v>6026932</v>
      </c>
      <c r="M10" s="112">
        <f t="shared" si="3"/>
        <v>743068</v>
      </c>
      <c r="N10" s="112">
        <f>500000+300000</f>
        <v>800000</v>
      </c>
      <c r="O10" s="112">
        <f t="shared" si="4"/>
        <v>0</v>
      </c>
      <c r="P10" s="112">
        <f t="shared" si="5"/>
        <v>73068</v>
      </c>
      <c r="Q10" s="112">
        <v>270000</v>
      </c>
      <c r="R10" s="112">
        <v>400000</v>
      </c>
      <c r="S10" s="112">
        <f t="shared" si="6"/>
        <v>670000</v>
      </c>
      <c r="T10" s="112">
        <f t="shared" si="7"/>
        <v>0</v>
      </c>
      <c r="U10" s="257">
        <f t="shared" si="8"/>
        <v>800000</v>
      </c>
      <c r="V10" s="112">
        <f t="shared" si="9"/>
        <v>500000</v>
      </c>
      <c r="W10" s="112"/>
      <c r="X10" s="112"/>
      <c r="Y10" s="112"/>
      <c r="Z10" s="112"/>
      <c r="AA10" s="112">
        <v>300000</v>
      </c>
      <c r="AB10" s="210" t="s">
        <v>1257</v>
      </c>
      <c r="AC10" s="127">
        <v>742000</v>
      </c>
      <c r="AD10" s="123"/>
      <c r="AE10" s="123"/>
      <c r="AF10" s="123"/>
      <c r="AG10" s="123"/>
      <c r="AH10" s="123"/>
      <c r="AI10" s="123"/>
      <c r="AJ10" s="123"/>
      <c r="AK10" s="505"/>
      <c r="AL10" s="505"/>
      <c r="AM10" s="505"/>
      <c r="AN10" s="505"/>
      <c r="AO10" s="505"/>
      <c r="AP10" s="505"/>
      <c r="AQ10" s="505"/>
      <c r="AR10" s="505"/>
      <c r="AS10" s="123"/>
      <c r="AT10" s="123"/>
      <c r="AU10" s="123"/>
      <c r="AV10" s="123"/>
      <c r="AW10" s="123"/>
      <c r="AX10" s="123"/>
      <c r="AY10" s="123"/>
      <c r="AZ10" s="5"/>
      <c r="BA10" s="5"/>
      <c r="BB10" s="5"/>
      <c r="BC10" s="5"/>
      <c r="BD10" s="5"/>
    </row>
    <row r="11" spans="1:56" s="128" customFormat="1" ht="30" customHeight="1">
      <c r="A11" s="112">
        <f t="shared" si="10"/>
        <v>7</v>
      </c>
      <c r="B11" s="3">
        <v>1322</v>
      </c>
      <c r="C11" s="3" t="s">
        <v>32</v>
      </c>
      <c r="D11" s="112">
        <v>18500000</v>
      </c>
      <c r="E11" s="112">
        <v>18500000</v>
      </c>
      <c r="F11" s="112">
        <f t="shared" si="0"/>
        <v>0</v>
      </c>
      <c r="G11" s="112">
        <v>10850000</v>
      </c>
      <c r="H11" s="112">
        <v>9799391</v>
      </c>
      <c r="I11" s="112">
        <v>0</v>
      </c>
      <c r="J11" s="112">
        <v>0</v>
      </c>
      <c r="K11" s="112">
        <f t="shared" si="1"/>
        <v>0</v>
      </c>
      <c r="L11" s="112">
        <f t="shared" si="2"/>
        <v>9799391</v>
      </c>
      <c r="M11" s="112">
        <f t="shared" si="3"/>
        <v>1050609</v>
      </c>
      <c r="N11" s="112"/>
      <c r="O11" s="112">
        <f t="shared" si="4"/>
        <v>7650000</v>
      </c>
      <c r="P11" s="112">
        <f t="shared" si="5"/>
        <v>1050609</v>
      </c>
      <c r="Q11" s="112"/>
      <c r="R11" s="112"/>
      <c r="S11" s="112">
        <f t="shared" si="6"/>
        <v>0</v>
      </c>
      <c r="T11" s="112">
        <f t="shared" si="7"/>
        <v>0</v>
      </c>
      <c r="U11" s="257">
        <f t="shared" si="8"/>
        <v>0</v>
      </c>
      <c r="V11" s="112">
        <f t="shared" si="9"/>
        <v>0</v>
      </c>
      <c r="W11" s="112"/>
      <c r="X11" s="112"/>
      <c r="Y11" s="112"/>
      <c r="Z11" s="112"/>
      <c r="AA11" s="127"/>
      <c r="AB11" s="3" t="s">
        <v>389</v>
      </c>
      <c r="AC11" s="3">
        <v>742000</v>
      </c>
      <c r="AD11" s="123"/>
      <c r="AE11" s="123"/>
      <c r="AF11" s="123"/>
      <c r="AG11" s="123"/>
      <c r="AH11" s="123"/>
      <c r="AI11" s="123"/>
      <c r="AJ11" s="123"/>
      <c r="AK11" s="505"/>
      <c r="AL11" s="505"/>
      <c r="AM11" s="505"/>
      <c r="AN11" s="505"/>
      <c r="AO11" s="505"/>
      <c r="AP11" s="505"/>
      <c r="AQ11" s="505"/>
      <c r="AR11" s="505"/>
      <c r="AS11" s="123"/>
      <c r="AT11" s="123"/>
      <c r="AU11" s="123"/>
      <c r="AV11" s="123"/>
      <c r="AW11" s="123"/>
      <c r="AX11" s="123"/>
      <c r="AY11" s="123"/>
      <c r="AZ11" s="126"/>
      <c r="BA11" s="126"/>
      <c r="BB11" s="126"/>
      <c r="BC11" s="126"/>
      <c r="BD11" s="126"/>
    </row>
    <row r="12" spans="1:56" s="5" customFormat="1" ht="30" customHeight="1">
      <c r="A12" s="112">
        <f t="shared" si="10"/>
        <v>8</v>
      </c>
      <c r="B12" s="3">
        <v>1357</v>
      </c>
      <c r="C12" s="3" t="s">
        <v>37</v>
      </c>
      <c r="D12" s="112">
        <v>18812000</v>
      </c>
      <c r="E12" s="112">
        <v>18812000</v>
      </c>
      <c r="F12" s="112">
        <f t="shared" si="0"/>
        <v>0</v>
      </c>
      <c r="G12" s="112">
        <v>18812000</v>
      </c>
      <c r="H12" s="112">
        <v>17962840</v>
      </c>
      <c r="I12" s="112">
        <v>0</v>
      </c>
      <c r="J12" s="112">
        <v>113649</v>
      </c>
      <c r="K12" s="112">
        <f t="shared" si="1"/>
        <v>113649</v>
      </c>
      <c r="L12" s="112">
        <f t="shared" si="2"/>
        <v>18076489</v>
      </c>
      <c r="M12" s="112">
        <f t="shared" si="3"/>
        <v>735511</v>
      </c>
      <c r="N12" s="112"/>
      <c r="O12" s="112">
        <f t="shared" si="4"/>
        <v>0</v>
      </c>
      <c r="P12" s="112">
        <f t="shared" si="5"/>
        <v>735511</v>
      </c>
      <c r="Q12" s="112"/>
      <c r="R12" s="112"/>
      <c r="S12" s="112">
        <f t="shared" si="6"/>
        <v>0</v>
      </c>
      <c r="T12" s="112">
        <f t="shared" si="7"/>
        <v>0</v>
      </c>
      <c r="U12" s="257">
        <f t="shared" si="8"/>
        <v>0</v>
      </c>
      <c r="V12" s="112">
        <f t="shared" si="9"/>
        <v>0</v>
      </c>
      <c r="W12" s="112"/>
      <c r="X12" s="112"/>
      <c r="Y12" s="112"/>
      <c r="Z12" s="112"/>
      <c r="AA12" s="127"/>
      <c r="AB12" s="3" t="s">
        <v>1454</v>
      </c>
      <c r="AC12" s="3">
        <v>829000</v>
      </c>
      <c r="AD12" s="123"/>
      <c r="AE12" s="123"/>
      <c r="AF12" s="123"/>
      <c r="AG12" s="123"/>
      <c r="AH12" s="123"/>
      <c r="AI12" s="123"/>
      <c r="AJ12" s="123"/>
      <c r="AK12" s="505"/>
      <c r="AL12" s="505"/>
      <c r="AM12" s="505"/>
      <c r="AN12" s="505"/>
      <c r="AO12" s="505"/>
      <c r="AP12" s="505"/>
      <c r="AQ12" s="505"/>
      <c r="AR12" s="505"/>
      <c r="AS12" s="123"/>
      <c r="AT12" s="123"/>
      <c r="AU12" s="123"/>
      <c r="AV12" s="123"/>
      <c r="AW12" s="123"/>
      <c r="AX12" s="123"/>
      <c r="AY12" s="123"/>
    </row>
    <row r="13" spans="1:56" s="5" customFormat="1" ht="30" customHeight="1">
      <c r="A13" s="112">
        <f t="shared" si="10"/>
        <v>9</v>
      </c>
      <c r="B13" s="127">
        <v>1375</v>
      </c>
      <c r="C13" s="127" t="s">
        <v>265</v>
      </c>
      <c r="D13" s="112">
        <v>42150000</v>
      </c>
      <c r="E13" s="112">
        <v>42150000</v>
      </c>
      <c r="F13" s="112">
        <f t="shared" si="0"/>
        <v>0</v>
      </c>
      <c r="G13" s="112">
        <v>30150000</v>
      </c>
      <c r="H13" s="112">
        <v>30140054</v>
      </c>
      <c r="I13" s="112">
        <v>0</v>
      </c>
      <c r="J13" s="112">
        <v>0</v>
      </c>
      <c r="K13" s="112">
        <f t="shared" si="1"/>
        <v>0</v>
      </c>
      <c r="L13" s="112">
        <f t="shared" si="2"/>
        <v>30140054</v>
      </c>
      <c r="M13" s="112">
        <f t="shared" si="3"/>
        <v>9946</v>
      </c>
      <c r="N13" s="112"/>
      <c r="O13" s="112">
        <f t="shared" si="4"/>
        <v>12000000</v>
      </c>
      <c r="P13" s="112">
        <f t="shared" si="5"/>
        <v>9946</v>
      </c>
      <c r="Q13" s="112"/>
      <c r="R13" s="112"/>
      <c r="S13" s="112">
        <f t="shared" si="6"/>
        <v>0</v>
      </c>
      <c r="T13" s="112">
        <f t="shared" si="7"/>
        <v>0</v>
      </c>
      <c r="U13" s="257">
        <f t="shared" si="8"/>
        <v>0</v>
      </c>
      <c r="V13" s="112">
        <f t="shared" si="9"/>
        <v>0</v>
      </c>
      <c r="W13" s="112"/>
      <c r="X13" s="112"/>
      <c r="Y13" s="112"/>
      <c r="Z13" s="112"/>
      <c r="AA13" s="127"/>
      <c r="AB13" s="127" t="s">
        <v>550</v>
      </c>
      <c r="AC13" s="127">
        <v>747000</v>
      </c>
      <c r="AD13" s="123"/>
      <c r="AE13" s="123"/>
      <c r="AF13" s="123"/>
      <c r="AG13" s="123"/>
      <c r="AH13" s="123"/>
      <c r="AI13" s="123"/>
      <c r="AJ13" s="123"/>
      <c r="AK13" s="505"/>
      <c r="AL13" s="505"/>
      <c r="AM13" s="505"/>
      <c r="AN13" s="505"/>
      <c r="AO13" s="505"/>
      <c r="AP13" s="505"/>
      <c r="AQ13" s="505"/>
      <c r="AR13" s="505"/>
      <c r="AS13" s="123"/>
      <c r="AT13" s="123"/>
      <c r="AU13" s="123"/>
      <c r="AV13" s="123"/>
      <c r="AW13" s="123"/>
      <c r="AX13" s="123"/>
      <c r="AY13" s="123"/>
    </row>
    <row r="14" spans="1:56" s="126" customFormat="1" ht="30" customHeight="1">
      <c r="A14" s="112">
        <f t="shared" si="10"/>
        <v>10</v>
      </c>
      <c r="B14" s="127">
        <v>1547</v>
      </c>
      <c r="C14" s="127" t="s">
        <v>308</v>
      </c>
      <c r="D14" s="112">
        <v>144000000</v>
      </c>
      <c r="E14" s="112">
        <v>144000000</v>
      </c>
      <c r="F14" s="112">
        <f t="shared" si="0"/>
        <v>0</v>
      </c>
      <c r="G14" s="112">
        <f>114350000+300000</f>
        <v>114650000</v>
      </c>
      <c r="H14" s="112">
        <v>114334499</v>
      </c>
      <c r="I14" s="112">
        <v>0</v>
      </c>
      <c r="J14" s="112">
        <v>8286</v>
      </c>
      <c r="K14" s="112">
        <f t="shared" si="1"/>
        <v>8286</v>
      </c>
      <c r="L14" s="112">
        <f t="shared" si="2"/>
        <v>114342785</v>
      </c>
      <c r="M14" s="112">
        <f t="shared" si="3"/>
        <v>4895327</v>
      </c>
      <c r="N14" s="112">
        <f>5000000-5000000</f>
        <v>0</v>
      </c>
      <c r="O14" s="112">
        <f t="shared" si="4"/>
        <v>24761888</v>
      </c>
      <c r="P14" s="112">
        <f t="shared" si="5"/>
        <v>307215</v>
      </c>
      <c r="Q14" s="112">
        <v>4588112</v>
      </c>
      <c r="R14" s="112"/>
      <c r="S14" s="112">
        <f t="shared" si="6"/>
        <v>4588112</v>
      </c>
      <c r="T14" s="112">
        <f t="shared" si="7"/>
        <v>0</v>
      </c>
      <c r="U14" s="257">
        <f t="shared" si="8"/>
        <v>0</v>
      </c>
      <c r="V14" s="112">
        <f t="shared" si="9"/>
        <v>0</v>
      </c>
      <c r="W14" s="112"/>
      <c r="X14" s="112"/>
      <c r="Y14" s="112"/>
      <c r="Z14" s="112"/>
      <c r="AA14" s="112"/>
      <c r="AB14" s="127" t="s">
        <v>1252</v>
      </c>
      <c r="AC14" s="127">
        <v>742000</v>
      </c>
      <c r="AD14" s="123"/>
      <c r="AE14" s="123"/>
      <c r="AF14" s="123"/>
      <c r="AG14" s="123"/>
      <c r="AH14" s="123"/>
      <c r="AI14" s="123"/>
      <c r="AJ14" s="123"/>
      <c r="AK14" s="505"/>
      <c r="AL14" s="505"/>
      <c r="AM14" s="505"/>
      <c r="AN14" s="505"/>
      <c r="AO14" s="505"/>
      <c r="AP14" s="505"/>
      <c r="AQ14" s="505"/>
      <c r="AR14" s="505"/>
      <c r="AS14" s="123"/>
      <c r="AT14" s="123"/>
      <c r="AU14" s="123"/>
      <c r="AV14" s="123"/>
      <c r="AW14" s="123"/>
      <c r="AX14" s="123"/>
      <c r="AY14" s="123"/>
    </row>
    <row r="15" spans="1:56" s="126" customFormat="1" ht="30" customHeight="1">
      <c r="A15" s="112">
        <f t="shared" si="10"/>
        <v>11</v>
      </c>
      <c r="B15" s="127">
        <v>1588</v>
      </c>
      <c r="C15" s="127" t="s">
        <v>24</v>
      </c>
      <c r="D15" s="112">
        <f>53500000+500000+10000000</f>
        <v>64000000</v>
      </c>
      <c r="E15" s="112">
        <v>53500000</v>
      </c>
      <c r="F15" s="112">
        <f t="shared" si="0"/>
        <v>10500000</v>
      </c>
      <c r="G15" s="112">
        <v>45500000</v>
      </c>
      <c r="H15" s="112">
        <v>44535997</v>
      </c>
      <c r="I15" s="112">
        <v>0</v>
      </c>
      <c r="J15" s="112">
        <v>224796</v>
      </c>
      <c r="K15" s="112">
        <f t="shared" si="1"/>
        <v>224796</v>
      </c>
      <c r="L15" s="112">
        <f t="shared" si="2"/>
        <v>44760793</v>
      </c>
      <c r="M15" s="112">
        <f t="shared" si="3"/>
        <v>2239207</v>
      </c>
      <c r="N15" s="112">
        <f>7000000+10000000-5000000-5000000-1000000</f>
        <v>6000000</v>
      </c>
      <c r="O15" s="112">
        <f t="shared" si="4"/>
        <v>11000000</v>
      </c>
      <c r="P15" s="112">
        <f t="shared" si="5"/>
        <v>739207</v>
      </c>
      <c r="Q15" s="112">
        <v>1500000</v>
      </c>
      <c r="R15" s="112"/>
      <c r="S15" s="112">
        <f t="shared" si="6"/>
        <v>1500000</v>
      </c>
      <c r="T15" s="112">
        <f t="shared" si="7"/>
        <v>0</v>
      </c>
      <c r="U15" s="257">
        <f t="shared" si="8"/>
        <v>6000000</v>
      </c>
      <c r="V15" s="112">
        <f t="shared" si="9"/>
        <v>6000000</v>
      </c>
      <c r="W15" s="112"/>
      <c r="X15" s="112"/>
      <c r="Y15" s="112"/>
      <c r="Z15" s="112"/>
      <c r="AA15" s="112"/>
      <c r="AB15" s="127" t="s">
        <v>1251</v>
      </c>
      <c r="AC15" s="127">
        <v>742000</v>
      </c>
      <c r="AD15" s="123"/>
      <c r="AE15" s="123"/>
      <c r="AF15" s="123"/>
      <c r="AG15" s="123"/>
      <c r="AH15" s="123"/>
      <c r="AI15" s="123"/>
      <c r="AJ15" s="123"/>
      <c r="AK15" s="505"/>
      <c r="AL15" s="505"/>
      <c r="AM15" s="505"/>
      <c r="AN15" s="505"/>
      <c r="AO15" s="505"/>
      <c r="AP15" s="505"/>
      <c r="AQ15" s="505"/>
      <c r="AR15" s="505"/>
      <c r="AS15" s="123"/>
      <c r="AT15" s="123"/>
      <c r="AU15" s="123"/>
      <c r="AV15" s="123"/>
      <c r="AW15" s="123"/>
      <c r="AX15" s="123"/>
      <c r="AY15" s="123"/>
    </row>
    <row r="16" spans="1:56" s="126" customFormat="1" ht="30" customHeight="1">
      <c r="A16" s="112">
        <f t="shared" si="10"/>
        <v>12</v>
      </c>
      <c r="B16" s="127">
        <v>1615</v>
      </c>
      <c r="C16" s="127" t="s">
        <v>83</v>
      </c>
      <c r="D16" s="112">
        <v>27700000</v>
      </c>
      <c r="E16" s="112">
        <v>27700000</v>
      </c>
      <c r="F16" s="112">
        <f t="shared" si="0"/>
        <v>0</v>
      </c>
      <c r="G16" s="112">
        <v>22700000</v>
      </c>
      <c r="H16" s="112">
        <v>22550373</v>
      </c>
      <c r="I16" s="112">
        <v>0</v>
      </c>
      <c r="J16" s="112">
        <v>9415</v>
      </c>
      <c r="K16" s="112">
        <f t="shared" si="1"/>
        <v>9415</v>
      </c>
      <c r="L16" s="112">
        <f t="shared" si="2"/>
        <v>22559788</v>
      </c>
      <c r="M16" s="112">
        <f t="shared" si="3"/>
        <v>140212</v>
      </c>
      <c r="N16" s="112">
        <f>5000000-5000000</f>
        <v>0</v>
      </c>
      <c r="O16" s="112">
        <f t="shared" si="4"/>
        <v>5000000</v>
      </c>
      <c r="P16" s="112">
        <f t="shared" si="5"/>
        <v>140212</v>
      </c>
      <c r="Q16" s="112"/>
      <c r="R16" s="112"/>
      <c r="S16" s="112">
        <f t="shared" si="6"/>
        <v>0</v>
      </c>
      <c r="T16" s="112">
        <f t="shared" si="7"/>
        <v>0</v>
      </c>
      <c r="U16" s="257">
        <f t="shared" si="8"/>
        <v>0</v>
      </c>
      <c r="V16" s="112">
        <f t="shared" si="9"/>
        <v>0</v>
      </c>
      <c r="W16" s="112"/>
      <c r="X16" s="112"/>
      <c r="Y16" s="112"/>
      <c r="Z16" s="112"/>
      <c r="AA16" s="127"/>
      <c r="AB16" s="127" t="s">
        <v>661</v>
      </c>
      <c r="AC16" s="127">
        <v>742000</v>
      </c>
      <c r="AD16" s="123"/>
      <c r="AE16" s="123"/>
      <c r="AF16" s="123"/>
      <c r="AG16" s="123"/>
      <c r="AH16" s="123"/>
      <c r="AI16" s="123"/>
      <c r="AJ16" s="123"/>
      <c r="AK16" s="505"/>
      <c r="AL16" s="505"/>
      <c r="AM16" s="505"/>
      <c r="AN16" s="505"/>
      <c r="AO16" s="505"/>
      <c r="AP16" s="505"/>
      <c r="AQ16" s="505"/>
      <c r="AR16" s="505"/>
      <c r="AS16" s="123"/>
      <c r="AT16" s="123"/>
      <c r="AU16" s="123"/>
      <c r="AV16" s="123"/>
      <c r="AW16" s="123"/>
      <c r="AX16" s="123"/>
      <c r="AY16" s="123"/>
    </row>
    <row r="17" spans="1:56" s="5" customFormat="1" ht="30" customHeight="1">
      <c r="A17" s="112">
        <f t="shared" si="10"/>
        <v>13</v>
      </c>
      <c r="B17" s="3">
        <v>1620</v>
      </c>
      <c r="C17" s="19" t="s">
        <v>694</v>
      </c>
      <c r="D17" s="4">
        <v>4200000</v>
      </c>
      <c r="E17" s="4">
        <v>4200000</v>
      </c>
      <c r="F17" s="112">
        <f t="shared" si="0"/>
        <v>0</v>
      </c>
      <c r="G17" s="4">
        <v>500000</v>
      </c>
      <c r="H17" s="4">
        <v>0</v>
      </c>
      <c r="I17" s="4">
        <v>0</v>
      </c>
      <c r="J17" s="4">
        <v>0</v>
      </c>
      <c r="K17" s="4">
        <f t="shared" si="1"/>
        <v>0</v>
      </c>
      <c r="L17" s="4">
        <f>H17+K17</f>
        <v>0</v>
      </c>
      <c r="M17" s="112">
        <f t="shared" si="3"/>
        <v>500000</v>
      </c>
      <c r="N17" s="112">
        <f>2000000-1000000-500000</f>
        <v>500000</v>
      </c>
      <c r="O17" s="4">
        <f t="shared" si="4"/>
        <v>3200000</v>
      </c>
      <c r="P17" s="4">
        <f t="shared" si="5"/>
        <v>500000</v>
      </c>
      <c r="Q17" s="4"/>
      <c r="R17" s="4"/>
      <c r="S17" s="4">
        <f t="shared" si="6"/>
        <v>0</v>
      </c>
      <c r="T17" s="4">
        <f t="shared" si="7"/>
        <v>0</v>
      </c>
      <c r="U17" s="495">
        <f t="shared" si="8"/>
        <v>500000</v>
      </c>
      <c r="V17" s="4">
        <f>U17-AA17-W17-Z17-Y17-X17</f>
        <v>500000</v>
      </c>
      <c r="W17" s="4"/>
      <c r="X17" s="4"/>
      <c r="Y17" s="4"/>
      <c r="Z17" s="4"/>
      <c r="AA17" s="3"/>
      <c r="AB17" s="3" t="s">
        <v>513</v>
      </c>
      <c r="AC17" s="3">
        <v>732000</v>
      </c>
      <c r="AD17" s="123"/>
      <c r="AE17" s="123"/>
      <c r="AF17" s="123"/>
      <c r="AG17" s="123"/>
      <c r="AH17" s="123"/>
      <c r="AI17" s="123"/>
      <c r="AJ17" s="123"/>
      <c r="AK17" s="505"/>
      <c r="AL17" s="505"/>
      <c r="AM17" s="505"/>
      <c r="AN17" s="505"/>
      <c r="AO17" s="505"/>
      <c r="AP17" s="505"/>
      <c r="AQ17" s="505"/>
      <c r="AR17" s="505"/>
      <c r="AS17" s="123"/>
      <c r="AT17" s="123"/>
      <c r="AU17" s="123"/>
      <c r="AV17" s="123"/>
      <c r="AW17" s="123"/>
      <c r="AX17" s="123"/>
      <c r="AY17" s="123"/>
    </row>
    <row r="18" spans="1:56" s="126" customFormat="1" ht="30" customHeight="1">
      <c r="A18" s="112">
        <f t="shared" si="10"/>
        <v>14</v>
      </c>
      <c r="B18" s="127">
        <v>1657</v>
      </c>
      <c r="C18" s="127" t="s">
        <v>25</v>
      </c>
      <c r="D18" s="4">
        <v>65000000</v>
      </c>
      <c r="E18" s="112">
        <v>65000000</v>
      </c>
      <c r="F18" s="112">
        <f t="shared" si="0"/>
        <v>0</v>
      </c>
      <c r="G18" s="112">
        <v>54519789</v>
      </c>
      <c r="H18" s="112">
        <v>42830239</v>
      </c>
      <c r="I18" s="112">
        <v>0</v>
      </c>
      <c r="J18" s="112">
        <v>1303874</v>
      </c>
      <c r="K18" s="112">
        <f t="shared" si="1"/>
        <v>1303874</v>
      </c>
      <c r="L18" s="112">
        <f t="shared" ref="L18:L49" si="11">K18+H18</f>
        <v>44134113</v>
      </c>
      <c r="M18" s="112">
        <f t="shared" si="3"/>
        <v>5685676</v>
      </c>
      <c r="N18" s="112">
        <f>10480211-7000000</f>
        <v>3480211</v>
      </c>
      <c r="O18" s="112">
        <f t="shared" si="4"/>
        <v>11700000</v>
      </c>
      <c r="P18" s="112">
        <f t="shared" si="5"/>
        <v>10385676</v>
      </c>
      <c r="Q18" s="112"/>
      <c r="R18" s="112">
        <v>-4700000</v>
      </c>
      <c r="S18" s="112">
        <f t="shared" si="6"/>
        <v>-4700000</v>
      </c>
      <c r="T18" s="112">
        <f t="shared" si="7"/>
        <v>0</v>
      </c>
      <c r="U18" s="257">
        <f t="shared" si="8"/>
        <v>3480211</v>
      </c>
      <c r="V18" s="112">
        <f t="shared" ref="V18:V23" si="12">U18-Z18-X18-AA18-W18-Y18</f>
        <v>3480211</v>
      </c>
      <c r="W18" s="112"/>
      <c r="X18" s="112"/>
      <c r="Y18" s="112"/>
      <c r="Z18" s="112"/>
      <c r="AA18" s="127"/>
      <c r="AB18" s="3" t="s">
        <v>1480</v>
      </c>
      <c r="AC18" s="127">
        <v>742000</v>
      </c>
      <c r="AD18" s="123"/>
      <c r="AE18" s="123"/>
      <c r="AF18" s="123"/>
      <c r="AG18" s="123"/>
      <c r="AH18" s="123"/>
      <c r="AI18" s="123"/>
      <c r="AJ18" s="123"/>
      <c r="AK18" s="505"/>
      <c r="AL18" s="505"/>
      <c r="AM18" s="505"/>
      <c r="AN18" s="505"/>
      <c r="AO18" s="505"/>
      <c r="AP18" s="505"/>
      <c r="AQ18" s="505"/>
      <c r="AR18" s="505"/>
      <c r="AS18" s="123"/>
      <c r="AT18" s="123"/>
      <c r="AU18" s="123"/>
      <c r="AV18" s="123"/>
      <c r="AW18" s="123"/>
      <c r="AX18" s="123"/>
      <c r="AY18" s="123"/>
      <c r="AZ18" s="128"/>
      <c r="BA18" s="128"/>
      <c r="BB18" s="128"/>
      <c r="BC18" s="128"/>
      <c r="BD18" s="128"/>
    </row>
    <row r="19" spans="1:56" s="5" customFormat="1" ht="30" customHeight="1">
      <c r="A19" s="112">
        <f t="shared" si="10"/>
        <v>15</v>
      </c>
      <c r="B19" s="3">
        <v>1670</v>
      </c>
      <c r="C19" s="3" t="s">
        <v>78</v>
      </c>
      <c r="D19" s="112">
        <v>37700000</v>
      </c>
      <c r="E19" s="112">
        <v>37700000</v>
      </c>
      <c r="F19" s="112">
        <f t="shared" si="0"/>
        <v>0</v>
      </c>
      <c r="G19" s="112">
        <v>7050000</v>
      </c>
      <c r="H19" s="112">
        <v>7034230</v>
      </c>
      <c r="I19" s="112">
        <v>0</v>
      </c>
      <c r="J19" s="112">
        <v>6398</v>
      </c>
      <c r="K19" s="112">
        <f t="shared" si="1"/>
        <v>6398</v>
      </c>
      <c r="L19" s="112">
        <f t="shared" si="11"/>
        <v>7040628</v>
      </c>
      <c r="M19" s="112">
        <f t="shared" si="3"/>
        <v>9372</v>
      </c>
      <c r="N19" s="112">
        <f>15000000-15000000</f>
        <v>0</v>
      </c>
      <c r="O19" s="112">
        <f t="shared" si="4"/>
        <v>30650000</v>
      </c>
      <c r="P19" s="112">
        <f t="shared" si="5"/>
        <v>9372</v>
      </c>
      <c r="Q19" s="112"/>
      <c r="R19" s="112"/>
      <c r="S19" s="112">
        <f t="shared" si="6"/>
        <v>0</v>
      </c>
      <c r="T19" s="112">
        <f t="shared" si="7"/>
        <v>0</v>
      </c>
      <c r="U19" s="257">
        <f t="shared" si="8"/>
        <v>0</v>
      </c>
      <c r="V19" s="112">
        <f t="shared" si="12"/>
        <v>0</v>
      </c>
      <c r="W19" s="112"/>
      <c r="X19" s="112"/>
      <c r="Y19" s="112"/>
      <c r="Z19" s="112"/>
      <c r="AA19" s="127"/>
      <c r="AB19" s="3" t="s">
        <v>818</v>
      </c>
      <c r="AC19" s="3">
        <v>742000</v>
      </c>
      <c r="AD19" s="123"/>
      <c r="AE19" s="123"/>
      <c r="AF19" s="123"/>
      <c r="AG19" s="123"/>
      <c r="AH19" s="123"/>
      <c r="AI19" s="123"/>
      <c r="AJ19" s="123"/>
      <c r="AK19" s="505"/>
      <c r="AL19" s="505"/>
      <c r="AM19" s="505"/>
      <c r="AN19" s="505"/>
      <c r="AO19" s="505"/>
      <c r="AP19" s="505"/>
      <c r="AQ19" s="505"/>
      <c r="AR19" s="505"/>
      <c r="AS19" s="123"/>
      <c r="AT19" s="123"/>
      <c r="AU19" s="123"/>
      <c r="AV19" s="123"/>
      <c r="AW19" s="123"/>
      <c r="AX19" s="123"/>
      <c r="AY19" s="123"/>
      <c r="AZ19" s="126"/>
      <c r="BA19" s="126"/>
      <c r="BB19" s="126"/>
      <c r="BC19" s="126"/>
      <c r="BD19" s="126"/>
    </row>
    <row r="20" spans="1:56" s="5" customFormat="1" ht="30" customHeight="1">
      <c r="A20" s="112">
        <f t="shared" si="10"/>
        <v>16</v>
      </c>
      <c r="B20" s="3">
        <v>1693</v>
      </c>
      <c r="C20" s="3" t="s">
        <v>85</v>
      </c>
      <c r="D20" s="112">
        <v>4500000</v>
      </c>
      <c r="E20" s="112">
        <v>4500000</v>
      </c>
      <c r="F20" s="112">
        <f t="shared" si="0"/>
        <v>0</v>
      </c>
      <c r="G20" s="112">
        <v>2416703</v>
      </c>
      <c r="H20" s="112">
        <v>716630</v>
      </c>
      <c r="I20" s="112">
        <v>449944</v>
      </c>
      <c r="J20" s="112">
        <v>159045</v>
      </c>
      <c r="K20" s="112">
        <f t="shared" si="1"/>
        <v>608989</v>
      </c>
      <c r="L20" s="112">
        <f t="shared" si="11"/>
        <v>1325619</v>
      </c>
      <c r="M20" s="112">
        <f>P20+S20-1090000</f>
        <v>1084</v>
      </c>
      <c r="N20" s="112">
        <v>1090000</v>
      </c>
      <c r="O20" s="112">
        <f t="shared" si="4"/>
        <v>2083297</v>
      </c>
      <c r="P20" s="112">
        <f t="shared" si="5"/>
        <v>1091084</v>
      </c>
      <c r="Q20" s="112"/>
      <c r="R20" s="112"/>
      <c r="S20" s="112">
        <f t="shared" si="6"/>
        <v>0</v>
      </c>
      <c r="T20" s="112">
        <f t="shared" si="7"/>
        <v>1090000</v>
      </c>
      <c r="U20" s="257">
        <f t="shared" si="8"/>
        <v>0</v>
      </c>
      <c r="V20" s="112">
        <f t="shared" si="12"/>
        <v>0</v>
      </c>
      <c r="W20" s="112"/>
      <c r="X20" s="112"/>
      <c r="Y20" s="112"/>
      <c r="Z20" s="112"/>
      <c r="AA20" s="127"/>
      <c r="AB20" s="3" t="s">
        <v>507</v>
      </c>
      <c r="AC20" s="3">
        <v>732000</v>
      </c>
      <c r="AD20" s="123"/>
      <c r="AE20" s="123"/>
      <c r="AF20" s="123"/>
      <c r="AG20" s="123"/>
      <c r="AH20" s="123"/>
      <c r="AI20" s="123"/>
      <c r="AJ20" s="123"/>
      <c r="AK20" s="505"/>
      <c r="AL20" s="505"/>
      <c r="AM20" s="505"/>
      <c r="AN20" s="505"/>
      <c r="AO20" s="505"/>
      <c r="AP20" s="505"/>
      <c r="AQ20" s="505"/>
      <c r="AR20" s="505"/>
      <c r="AS20" s="123"/>
      <c r="AT20" s="123"/>
      <c r="AU20" s="123"/>
      <c r="AV20" s="123"/>
      <c r="AW20" s="123"/>
      <c r="AX20" s="123"/>
      <c r="AY20" s="123"/>
    </row>
    <row r="21" spans="1:56" s="126" customFormat="1" ht="30" customHeight="1">
      <c r="A21" s="112">
        <f t="shared" si="10"/>
        <v>17</v>
      </c>
      <c r="B21" s="127">
        <v>1723</v>
      </c>
      <c r="C21" s="127" t="s">
        <v>26</v>
      </c>
      <c r="D21" s="112">
        <f>1978521-200000</f>
        <v>1778521</v>
      </c>
      <c r="E21" s="112">
        <v>1978521</v>
      </c>
      <c r="F21" s="112">
        <f t="shared" si="0"/>
        <v>-200000</v>
      </c>
      <c r="G21" s="112">
        <v>1778521</v>
      </c>
      <c r="H21" s="112">
        <v>1651128</v>
      </c>
      <c r="I21" s="112">
        <v>0</v>
      </c>
      <c r="J21" s="112">
        <v>0</v>
      </c>
      <c r="K21" s="112">
        <f t="shared" si="1"/>
        <v>0</v>
      </c>
      <c r="L21" s="112">
        <f t="shared" si="11"/>
        <v>1651128</v>
      </c>
      <c r="M21" s="112">
        <f t="shared" ref="M21:M26" si="13">P21+S21</f>
        <v>127393</v>
      </c>
      <c r="N21" s="112"/>
      <c r="O21" s="112">
        <f t="shared" si="4"/>
        <v>0</v>
      </c>
      <c r="P21" s="112">
        <f t="shared" si="5"/>
        <v>127393</v>
      </c>
      <c r="Q21" s="112"/>
      <c r="R21" s="112"/>
      <c r="S21" s="112">
        <f t="shared" si="6"/>
        <v>0</v>
      </c>
      <c r="T21" s="112">
        <f t="shared" si="7"/>
        <v>0</v>
      </c>
      <c r="U21" s="257">
        <f t="shared" si="8"/>
        <v>0</v>
      </c>
      <c r="V21" s="112">
        <f t="shared" si="12"/>
        <v>0</v>
      </c>
      <c r="W21" s="112"/>
      <c r="X21" s="112"/>
      <c r="Y21" s="112"/>
      <c r="Z21" s="112"/>
      <c r="AA21" s="127"/>
      <c r="AB21" s="127" t="s">
        <v>658</v>
      </c>
      <c r="AC21" s="127">
        <v>732000</v>
      </c>
      <c r="AD21" s="123"/>
      <c r="AE21" s="123"/>
      <c r="AF21" s="123"/>
      <c r="AG21" s="123"/>
      <c r="AH21" s="123"/>
      <c r="AI21" s="123"/>
      <c r="AJ21" s="123"/>
      <c r="AK21" s="505"/>
      <c r="AL21" s="505"/>
      <c r="AM21" s="505"/>
      <c r="AN21" s="505"/>
      <c r="AO21" s="505"/>
      <c r="AP21" s="505"/>
      <c r="AQ21" s="505"/>
      <c r="AR21" s="505"/>
      <c r="AS21" s="123"/>
      <c r="AT21" s="123"/>
      <c r="AU21" s="123"/>
      <c r="AV21" s="123"/>
      <c r="AW21" s="123"/>
      <c r="AX21" s="123"/>
      <c r="AY21" s="123"/>
      <c r="AZ21" s="5"/>
      <c r="BA21" s="5"/>
      <c r="BB21" s="5"/>
      <c r="BC21" s="5"/>
      <c r="BD21" s="5"/>
    </row>
    <row r="22" spans="1:56" s="5" customFormat="1" ht="30" customHeight="1">
      <c r="A22" s="112">
        <f t="shared" si="10"/>
        <v>18</v>
      </c>
      <c r="B22" s="209">
        <v>1819</v>
      </c>
      <c r="C22" s="127" t="s">
        <v>295</v>
      </c>
      <c r="D22" s="112">
        <f>17545000-1500000</f>
        <v>16045000</v>
      </c>
      <c r="E22" s="112">
        <v>17545000</v>
      </c>
      <c r="F22" s="112">
        <f t="shared" si="0"/>
        <v>-1500000</v>
      </c>
      <c r="G22" s="112">
        <v>16045000</v>
      </c>
      <c r="H22" s="112">
        <v>15717150</v>
      </c>
      <c r="I22" s="112">
        <v>0</v>
      </c>
      <c r="J22" s="112">
        <v>0</v>
      </c>
      <c r="K22" s="112">
        <f t="shared" si="1"/>
        <v>0</v>
      </c>
      <c r="L22" s="112">
        <f t="shared" si="11"/>
        <v>15717150</v>
      </c>
      <c r="M22" s="112">
        <f t="shared" si="13"/>
        <v>327850</v>
      </c>
      <c r="N22" s="112"/>
      <c r="O22" s="112">
        <f t="shared" si="4"/>
        <v>0</v>
      </c>
      <c r="P22" s="112">
        <f t="shared" si="5"/>
        <v>327850</v>
      </c>
      <c r="Q22" s="112"/>
      <c r="R22" s="112"/>
      <c r="S22" s="112">
        <f t="shared" si="6"/>
        <v>0</v>
      </c>
      <c r="T22" s="112">
        <f t="shared" si="7"/>
        <v>0</v>
      </c>
      <c r="U22" s="257">
        <f t="shared" si="8"/>
        <v>0</v>
      </c>
      <c r="V22" s="112">
        <f t="shared" si="12"/>
        <v>0</v>
      </c>
      <c r="W22" s="112"/>
      <c r="X22" s="112"/>
      <c r="Y22" s="112"/>
      <c r="Z22" s="112"/>
      <c r="AA22" s="127"/>
      <c r="AB22" s="127" t="s">
        <v>662</v>
      </c>
      <c r="AC22" s="127">
        <v>742000</v>
      </c>
      <c r="AD22" s="123"/>
      <c r="AE22" s="123"/>
      <c r="AF22" s="123"/>
      <c r="AG22" s="123"/>
      <c r="AH22" s="123"/>
      <c r="AI22" s="123"/>
      <c r="AJ22" s="123"/>
      <c r="AK22" s="505"/>
      <c r="AL22" s="505"/>
      <c r="AM22" s="505"/>
      <c r="AN22" s="505"/>
      <c r="AO22" s="505"/>
      <c r="AP22" s="505"/>
      <c r="AQ22" s="505"/>
      <c r="AR22" s="505"/>
      <c r="AS22" s="123"/>
      <c r="AT22" s="123"/>
      <c r="AU22" s="123"/>
      <c r="AV22" s="123"/>
      <c r="AW22" s="123"/>
      <c r="AX22" s="123"/>
      <c r="AY22" s="123"/>
    </row>
    <row r="23" spans="1:56" ht="30" customHeight="1">
      <c r="A23" s="112">
        <f t="shared" si="10"/>
        <v>19</v>
      </c>
      <c r="B23" s="209">
        <v>1827</v>
      </c>
      <c r="C23" s="127" t="s">
        <v>309</v>
      </c>
      <c r="D23" s="112">
        <v>100000000</v>
      </c>
      <c r="E23" s="112">
        <v>100000000</v>
      </c>
      <c r="F23" s="112">
        <f t="shared" si="0"/>
        <v>0</v>
      </c>
      <c r="G23" s="112">
        <v>100000000</v>
      </c>
      <c r="H23" s="112">
        <v>92813340</v>
      </c>
      <c r="I23" s="112">
        <v>0</v>
      </c>
      <c r="J23" s="112">
        <v>98762</v>
      </c>
      <c r="K23" s="112">
        <f t="shared" si="1"/>
        <v>98762</v>
      </c>
      <c r="L23" s="112">
        <f t="shared" si="11"/>
        <v>92912102</v>
      </c>
      <c r="M23" s="112">
        <f t="shared" si="13"/>
        <v>7087898</v>
      </c>
      <c r="N23" s="112"/>
      <c r="O23" s="112">
        <f t="shared" si="4"/>
        <v>0</v>
      </c>
      <c r="P23" s="112">
        <f t="shared" si="5"/>
        <v>7087898</v>
      </c>
      <c r="Q23" s="112"/>
      <c r="R23" s="112"/>
      <c r="S23" s="112">
        <f t="shared" si="6"/>
        <v>0</v>
      </c>
      <c r="T23" s="112">
        <f t="shared" si="7"/>
        <v>0</v>
      </c>
      <c r="U23" s="257">
        <f t="shared" si="8"/>
        <v>0</v>
      </c>
      <c r="V23" s="112">
        <f t="shared" si="12"/>
        <v>0</v>
      </c>
      <c r="W23" s="112"/>
      <c r="X23" s="112"/>
      <c r="Y23" s="112"/>
      <c r="Z23" s="112"/>
      <c r="AA23" s="127"/>
      <c r="AB23" s="127" t="s">
        <v>665</v>
      </c>
      <c r="AC23" s="127">
        <v>746000</v>
      </c>
      <c r="AZ23" s="5"/>
      <c r="BA23" s="5"/>
      <c r="BB23" s="5"/>
      <c r="BC23" s="5"/>
      <c r="BD23" s="5"/>
    </row>
    <row r="24" spans="1:56" s="126" customFormat="1" ht="30" customHeight="1">
      <c r="A24" s="112">
        <f t="shared" si="10"/>
        <v>20</v>
      </c>
      <c r="B24" s="127">
        <v>1834</v>
      </c>
      <c r="C24" s="127" t="s">
        <v>82</v>
      </c>
      <c r="D24" s="112">
        <v>65050000</v>
      </c>
      <c r="E24" s="112">
        <v>65050000</v>
      </c>
      <c r="F24" s="112">
        <f t="shared" si="0"/>
        <v>0</v>
      </c>
      <c r="G24" s="112">
        <v>64803780</v>
      </c>
      <c r="H24" s="112">
        <v>63925209</v>
      </c>
      <c r="I24" s="112">
        <v>0</v>
      </c>
      <c r="J24" s="112">
        <v>367749</v>
      </c>
      <c r="K24" s="112">
        <f t="shared" si="1"/>
        <v>367749</v>
      </c>
      <c r="L24" s="112">
        <f t="shared" si="11"/>
        <v>64292958</v>
      </c>
      <c r="M24" s="112">
        <f t="shared" si="13"/>
        <v>757042</v>
      </c>
      <c r="N24" s="112"/>
      <c r="O24" s="112">
        <f t="shared" si="4"/>
        <v>0</v>
      </c>
      <c r="P24" s="112">
        <f t="shared" si="5"/>
        <v>510822</v>
      </c>
      <c r="Q24" s="112">
        <v>246220</v>
      </c>
      <c r="R24" s="112"/>
      <c r="S24" s="112">
        <f t="shared" si="6"/>
        <v>246220</v>
      </c>
      <c r="T24" s="112">
        <f t="shared" si="7"/>
        <v>0</v>
      </c>
      <c r="U24" s="257">
        <f t="shared" si="8"/>
        <v>0</v>
      </c>
      <c r="V24" s="112">
        <f>U24-W24-X24-Y24-Z24-AA24</f>
        <v>0</v>
      </c>
      <c r="W24" s="112"/>
      <c r="X24" s="112"/>
      <c r="Y24" s="112"/>
      <c r="Z24" s="112"/>
      <c r="AA24" s="112"/>
      <c r="AB24" s="19" t="s">
        <v>1232</v>
      </c>
      <c r="AC24" s="127">
        <v>824000</v>
      </c>
      <c r="AD24" s="123"/>
      <c r="AE24" s="123"/>
      <c r="AF24" s="123"/>
      <c r="AG24" s="123"/>
      <c r="AH24" s="123"/>
      <c r="AI24" s="123"/>
      <c r="AJ24" s="123"/>
      <c r="AK24" s="505"/>
      <c r="AL24" s="505"/>
      <c r="AM24" s="505"/>
      <c r="AN24" s="505"/>
      <c r="AO24" s="505"/>
      <c r="AP24" s="505"/>
      <c r="AQ24" s="505"/>
      <c r="AR24" s="505"/>
      <c r="AS24" s="123"/>
      <c r="AT24" s="123"/>
      <c r="AU24" s="123"/>
      <c r="AV24" s="123"/>
      <c r="AW24" s="123"/>
      <c r="AX24" s="123"/>
      <c r="AY24" s="123"/>
      <c r="AZ24" s="128"/>
      <c r="BA24" s="128"/>
      <c r="BB24" s="128"/>
      <c r="BC24" s="128"/>
      <c r="BD24" s="128"/>
    </row>
    <row r="25" spans="1:56" ht="30" customHeight="1">
      <c r="A25" s="112">
        <f t="shared" si="10"/>
        <v>21</v>
      </c>
      <c r="B25" s="127">
        <v>1835</v>
      </c>
      <c r="C25" s="127" t="s">
        <v>266</v>
      </c>
      <c r="D25" s="112">
        <v>51500000</v>
      </c>
      <c r="E25" s="112">
        <v>51500000</v>
      </c>
      <c r="F25" s="112">
        <f t="shared" si="0"/>
        <v>0</v>
      </c>
      <c r="G25" s="112">
        <v>23400000</v>
      </c>
      <c r="H25" s="112">
        <v>21450370</v>
      </c>
      <c r="I25" s="112">
        <v>0</v>
      </c>
      <c r="J25" s="112">
        <v>624783</v>
      </c>
      <c r="K25" s="112">
        <f t="shared" si="1"/>
        <v>624783</v>
      </c>
      <c r="L25" s="112">
        <f t="shared" si="11"/>
        <v>22075153</v>
      </c>
      <c r="M25" s="112">
        <f t="shared" si="13"/>
        <v>3474847</v>
      </c>
      <c r="N25" s="112">
        <f>15000000-12000000-2000000</f>
        <v>1000000</v>
      </c>
      <c r="O25" s="112">
        <f t="shared" si="4"/>
        <v>24950000</v>
      </c>
      <c r="P25" s="112">
        <f t="shared" si="5"/>
        <v>1324847</v>
      </c>
      <c r="Q25" s="112">
        <v>2150000</v>
      </c>
      <c r="R25" s="112"/>
      <c r="S25" s="112">
        <f t="shared" si="6"/>
        <v>2150000</v>
      </c>
      <c r="T25" s="112">
        <f t="shared" si="7"/>
        <v>0</v>
      </c>
      <c r="U25" s="257">
        <f t="shared" si="8"/>
        <v>1000000</v>
      </c>
      <c r="V25" s="112">
        <f t="shared" ref="V25:V70" si="14">U25-Z25-X25-AA25-W25-Y25</f>
        <v>1000000</v>
      </c>
      <c r="W25" s="112"/>
      <c r="X25" s="112"/>
      <c r="Y25" s="112"/>
      <c r="Z25" s="112"/>
      <c r="AA25" s="112"/>
      <c r="AB25" s="3" t="s">
        <v>1506</v>
      </c>
      <c r="AC25" s="127">
        <v>824000</v>
      </c>
    </row>
    <row r="26" spans="1:56" ht="30" customHeight="1">
      <c r="A26" s="112">
        <f t="shared" si="10"/>
        <v>22</v>
      </c>
      <c r="B26" s="209">
        <v>1845</v>
      </c>
      <c r="C26" s="127" t="s">
        <v>819</v>
      </c>
      <c r="D26" s="112">
        <v>137500000</v>
      </c>
      <c r="E26" s="112">
        <v>137500000</v>
      </c>
      <c r="F26" s="112">
        <f t="shared" si="0"/>
        <v>0</v>
      </c>
      <c r="G26" s="112">
        <v>2740000</v>
      </c>
      <c r="H26" s="112">
        <v>2721383</v>
      </c>
      <c r="I26" s="112">
        <v>0</v>
      </c>
      <c r="J26" s="112">
        <v>0</v>
      </c>
      <c r="K26" s="112">
        <f t="shared" si="1"/>
        <v>0</v>
      </c>
      <c r="L26" s="112">
        <f t="shared" si="11"/>
        <v>2721383</v>
      </c>
      <c r="M26" s="112">
        <f t="shared" si="13"/>
        <v>18617</v>
      </c>
      <c r="N26" s="112">
        <f>40000000-40000000</f>
        <v>0</v>
      </c>
      <c r="O26" s="112">
        <f t="shared" si="4"/>
        <v>134760000</v>
      </c>
      <c r="P26" s="112">
        <f t="shared" si="5"/>
        <v>18617</v>
      </c>
      <c r="Q26" s="112"/>
      <c r="R26" s="112"/>
      <c r="S26" s="112">
        <f t="shared" si="6"/>
        <v>0</v>
      </c>
      <c r="T26" s="112">
        <f t="shared" si="7"/>
        <v>0</v>
      </c>
      <c r="U26" s="257">
        <f t="shared" si="8"/>
        <v>0</v>
      </c>
      <c r="V26" s="112">
        <f t="shared" si="14"/>
        <v>0</v>
      </c>
      <c r="W26" s="112"/>
      <c r="X26" s="112"/>
      <c r="Y26" s="112"/>
      <c r="Z26" s="112"/>
      <c r="AA26" s="127"/>
      <c r="AB26" s="127" t="s">
        <v>820</v>
      </c>
      <c r="AC26" s="127">
        <v>742000</v>
      </c>
    </row>
    <row r="27" spans="1:56" ht="30" customHeight="1">
      <c r="A27" s="112">
        <f t="shared" si="10"/>
        <v>23</v>
      </c>
      <c r="B27" s="209">
        <v>1896</v>
      </c>
      <c r="C27" s="127" t="s">
        <v>267</v>
      </c>
      <c r="D27" s="112">
        <v>10300000</v>
      </c>
      <c r="E27" s="112">
        <v>10300000</v>
      </c>
      <c r="F27" s="112">
        <f t="shared" si="0"/>
        <v>0</v>
      </c>
      <c r="G27" s="112">
        <v>10300000</v>
      </c>
      <c r="H27" s="112">
        <v>9075740</v>
      </c>
      <c r="I27" s="112">
        <v>0</v>
      </c>
      <c r="J27" s="112">
        <f>1056466-951442</f>
        <v>105024</v>
      </c>
      <c r="K27" s="112">
        <f t="shared" si="1"/>
        <v>105024</v>
      </c>
      <c r="L27" s="112">
        <f t="shared" si="11"/>
        <v>9180764</v>
      </c>
      <c r="M27" s="112">
        <f>P27+S27-1000000</f>
        <v>119236</v>
      </c>
      <c r="N27" s="112"/>
      <c r="O27" s="112">
        <f t="shared" si="4"/>
        <v>1000000</v>
      </c>
      <c r="P27" s="112">
        <f t="shared" si="5"/>
        <v>1119236</v>
      </c>
      <c r="Q27" s="112"/>
      <c r="R27" s="112"/>
      <c r="S27" s="112">
        <f t="shared" si="6"/>
        <v>0</v>
      </c>
      <c r="T27" s="112">
        <f t="shared" si="7"/>
        <v>1000000</v>
      </c>
      <c r="U27" s="257">
        <f t="shared" si="8"/>
        <v>-1000000</v>
      </c>
      <c r="V27" s="112">
        <f t="shared" si="14"/>
        <v>-1000000</v>
      </c>
      <c r="W27" s="112"/>
      <c r="X27" s="112"/>
      <c r="Y27" s="112"/>
      <c r="Z27" s="112"/>
      <c r="AA27" s="127"/>
      <c r="AB27" s="127" t="s">
        <v>1242</v>
      </c>
      <c r="AC27" s="127">
        <v>829000</v>
      </c>
      <c r="AZ27" s="212"/>
      <c r="BA27" s="212"/>
      <c r="BB27" s="212"/>
      <c r="BC27" s="212"/>
      <c r="BD27" s="212"/>
    </row>
    <row r="28" spans="1:56" s="131" customFormat="1" ht="30" customHeight="1">
      <c r="A28" s="112">
        <f t="shared" si="10"/>
        <v>24</v>
      </c>
      <c r="B28" s="209">
        <v>1909</v>
      </c>
      <c r="C28" s="127" t="s">
        <v>327</v>
      </c>
      <c r="D28" s="112">
        <v>184500000</v>
      </c>
      <c r="E28" s="112">
        <v>184500000</v>
      </c>
      <c r="F28" s="112">
        <f t="shared" si="0"/>
        <v>0</v>
      </c>
      <c r="G28" s="112">
        <v>180283198</v>
      </c>
      <c r="H28" s="112">
        <v>177686049</v>
      </c>
      <c r="I28" s="112">
        <v>0</v>
      </c>
      <c r="J28" s="112">
        <v>2015800</v>
      </c>
      <c r="K28" s="112">
        <f t="shared" si="1"/>
        <v>2015800</v>
      </c>
      <c r="L28" s="112">
        <f t="shared" si="11"/>
        <v>179701849</v>
      </c>
      <c r="M28" s="112">
        <f t="shared" ref="M28:M59" si="15">P28+S28</f>
        <v>798151</v>
      </c>
      <c r="N28" s="112">
        <f>2000000-1000000</f>
        <v>1000000</v>
      </c>
      <c r="O28" s="112">
        <f t="shared" si="4"/>
        <v>3000000</v>
      </c>
      <c r="P28" s="112">
        <f t="shared" si="5"/>
        <v>581349</v>
      </c>
      <c r="Q28" s="112">
        <v>216802</v>
      </c>
      <c r="R28" s="112"/>
      <c r="S28" s="112">
        <f t="shared" si="6"/>
        <v>216802</v>
      </c>
      <c r="T28" s="112">
        <f t="shared" si="7"/>
        <v>0</v>
      </c>
      <c r="U28" s="257">
        <f t="shared" si="8"/>
        <v>1000000</v>
      </c>
      <c r="V28" s="112">
        <f t="shared" si="14"/>
        <v>1000000</v>
      </c>
      <c r="W28" s="112"/>
      <c r="X28" s="112"/>
      <c r="Y28" s="112"/>
      <c r="Z28" s="112"/>
      <c r="AA28" s="112"/>
      <c r="AB28" s="210" t="s">
        <v>472</v>
      </c>
      <c r="AC28" s="299">
        <v>810000</v>
      </c>
      <c r="AD28" s="123"/>
      <c r="AE28" s="123"/>
      <c r="AF28" s="123"/>
      <c r="AG28" s="123"/>
      <c r="AH28" s="123"/>
      <c r="AI28" s="123"/>
      <c r="AJ28" s="123"/>
      <c r="AK28" s="505"/>
      <c r="AL28" s="505"/>
      <c r="AM28" s="505"/>
      <c r="AN28" s="505"/>
      <c r="AO28" s="505"/>
      <c r="AP28" s="505"/>
      <c r="AQ28" s="505"/>
      <c r="AR28" s="505"/>
      <c r="AS28" s="123"/>
      <c r="AT28" s="123"/>
      <c r="AU28" s="123"/>
      <c r="AV28" s="123"/>
      <c r="AW28" s="123"/>
      <c r="AX28" s="123"/>
      <c r="AY28" s="123"/>
      <c r="AZ28" s="128"/>
      <c r="BA28" s="128"/>
      <c r="BB28" s="128"/>
      <c r="BC28" s="128"/>
      <c r="BD28" s="128"/>
    </row>
    <row r="29" spans="1:56" s="131" customFormat="1" ht="30" customHeight="1">
      <c r="A29" s="112">
        <f t="shared" si="10"/>
        <v>25</v>
      </c>
      <c r="B29" s="209">
        <v>1911</v>
      </c>
      <c r="C29" s="127" t="s">
        <v>1455</v>
      </c>
      <c r="D29" s="112">
        <v>26936240</v>
      </c>
      <c r="E29" s="112">
        <v>26936240</v>
      </c>
      <c r="F29" s="112">
        <f t="shared" si="0"/>
        <v>0</v>
      </c>
      <c r="G29" s="112">
        <v>26936240</v>
      </c>
      <c r="H29" s="112">
        <v>26792407</v>
      </c>
      <c r="I29" s="112">
        <v>0</v>
      </c>
      <c r="J29" s="112">
        <v>41815</v>
      </c>
      <c r="K29" s="112">
        <f t="shared" si="1"/>
        <v>41815</v>
      </c>
      <c r="L29" s="112">
        <f t="shared" si="11"/>
        <v>26834222</v>
      </c>
      <c r="M29" s="112">
        <f t="shared" si="15"/>
        <v>102018</v>
      </c>
      <c r="N29" s="112"/>
      <c r="O29" s="112">
        <f t="shared" si="4"/>
        <v>0</v>
      </c>
      <c r="P29" s="112">
        <f t="shared" si="5"/>
        <v>102018</v>
      </c>
      <c r="Q29" s="112"/>
      <c r="R29" s="112"/>
      <c r="S29" s="112">
        <f t="shared" si="6"/>
        <v>0</v>
      </c>
      <c r="T29" s="112">
        <f t="shared" si="7"/>
        <v>0</v>
      </c>
      <c r="U29" s="257">
        <f t="shared" si="8"/>
        <v>0</v>
      </c>
      <c r="V29" s="112">
        <f t="shared" si="14"/>
        <v>0</v>
      </c>
      <c r="W29" s="112"/>
      <c r="X29" s="112"/>
      <c r="Y29" s="112"/>
      <c r="Z29" s="112"/>
      <c r="AA29" s="127"/>
      <c r="AB29" s="210" t="s">
        <v>691</v>
      </c>
      <c r="AC29" s="127">
        <v>810000</v>
      </c>
      <c r="AD29" s="123"/>
      <c r="AE29" s="123"/>
      <c r="AF29" s="123"/>
      <c r="AG29" s="123"/>
      <c r="AH29" s="123"/>
      <c r="AI29" s="123"/>
      <c r="AJ29" s="123"/>
      <c r="AK29" s="505"/>
      <c r="AL29" s="505"/>
      <c r="AM29" s="505"/>
      <c r="AN29" s="505"/>
      <c r="AO29" s="505"/>
      <c r="AP29" s="505"/>
      <c r="AQ29" s="505"/>
      <c r="AR29" s="505"/>
      <c r="AS29" s="123"/>
      <c r="AT29" s="123"/>
      <c r="AU29" s="123"/>
      <c r="AV29" s="123"/>
      <c r="AW29" s="123"/>
      <c r="AX29" s="123"/>
      <c r="AY29" s="123"/>
      <c r="AZ29" s="212"/>
      <c r="BA29" s="212"/>
      <c r="BB29" s="212"/>
      <c r="BC29" s="212"/>
      <c r="BD29" s="212"/>
    </row>
    <row r="30" spans="1:56" s="5" customFormat="1" ht="30" customHeight="1">
      <c r="A30" s="112">
        <f t="shared" si="10"/>
        <v>26</v>
      </c>
      <c r="B30" s="209">
        <v>1912</v>
      </c>
      <c r="C30" s="127" t="s">
        <v>310</v>
      </c>
      <c r="D30" s="112">
        <v>430000000</v>
      </c>
      <c r="E30" s="112">
        <v>430000000</v>
      </c>
      <c r="F30" s="112">
        <f t="shared" si="0"/>
        <v>0</v>
      </c>
      <c r="G30" s="112">
        <v>335004251</v>
      </c>
      <c r="H30" s="112">
        <v>329081460</v>
      </c>
      <c r="I30" s="112">
        <v>0</v>
      </c>
      <c r="J30" s="112">
        <v>4819165</v>
      </c>
      <c r="K30" s="112">
        <f t="shared" si="1"/>
        <v>4819165</v>
      </c>
      <c r="L30" s="112">
        <f t="shared" si="11"/>
        <v>333900625</v>
      </c>
      <c r="M30" s="112">
        <f t="shared" si="15"/>
        <v>18927628</v>
      </c>
      <c r="N30" s="112">
        <f>60000000-35000000-21000000+5000000-3000000</f>
        <v>6000000</v>
      </c>
      <c r="O30" s="112">
        <f t="shared" si="4"/>
        <v>71171747</v>
      </c>
      <c r="P30" s="112">
        <f t="shared" si="5"/>
        <v>1103626</v>
      </c>
      <c r="Q30" s="112">
        <f>7272606+12127394-1575998</f>
        <v>17824002</v>
      </c>
      <c r="R30" s="112"/>
      <c r="S30" s="112">
        <f t="shared" si="6"/>
        <v>17824002</v>
      </c>
      <c r="T30" s="112">
        <f t="shared" si="7"/>
        <v>0</v>
      </c>
      <c r="U30" s="257">
        <f t="shared" si="8"/>
        <v>6000000</v>
      </c>
      <c r="V30" s="112">
        <f t="shared" si="14"/>
        <v>4424002</v>
      </c>
      <c r="W30" s="112"/>
      <c r="X30" s="112"/>
      <c r="Y30" s="112"/>
      <c r="Z30" s="112"/>
      <c r="AA30" s="112">
        <v>1575998</v>
      </c>
      <c r="AB30" s="210" t="s">
        <v>692</v>
      </c>
      <c r="AC30" s="127">
        <v>810000</v>
      </c>
      <c r="AD30" s="123"/>
      <c r="AE30" s="123"/>
      <c r="AF30" s="123"/>
      <c r="AG30" s="123"/>
      <c r="AH30" s="123"/>
      <c r="AI30" s="123"/>
      <c r="AJ30" s="123"/>
      <c r="AK30" s="505"/>
      <c r="AL30" s="505"/>
      <c r="AM30" s="505"/>
      <c r="AN30" s="505"/>
      <c r="AO30" s="505"/>
      <c r="AP30" s="505"/>
      <c r="AQ30" s="505"/>
      <c r="AR30" s="505"/>
      <c r="AS30" s="123"/>
      <c r="AT30" s="123"/>
      <c r="AU30" s="123"/>
      <c r="AV30" s="123"/>
      <c r="AW30" s="123"/>
      <c r="AX30" s="123"/>
      <c r="AY30" s="123"/>
    </row>
    <row r="31" spans="1:56" s="5" customFormat="1" ht="30" customHeight="1">
      <c r="A31" s="112">
        <f t="shared" si="10"/>
        <v>27</v>
      </c>
      <c r="B31" s="209">
        <v>1914</v>
      </c>
      <c r="C31" s="127" t="s">
        <v>95</v>
      </c>
      <c r="D31" s="112">
        <v>8100000</v>
      </c>
      <c r="E31" s="112">
        <v>8100000</v>
      </c>
      <c r="F31" s="112">
        <f t="shared" si="0"/>
        <v>0</v>
      </c>
      <c r="G31" s="112">
        <v>8100000</v>
      </c>
      <c r="H31" s="112">
        <v>7872636</v>
      </c>
      <c r="I31" s="112">
        <v>0</v>
      </c>
      <c r="J31" s="112">
        <v>0</v>
      </c>
      <c r="K31" s="112">
        <f t="shared" si="1"/>
        <v>0</v>
      </c>
      <c r="L31" s="112">
        <f t="shared" si="11"/>
        <v>7872636</v>
      </c>
      <c r="M31" s="112">
        <f t="shared" si="15"/>
        <v>227364</v>
      </c>
      <c r="N31" s="112"/>
      <c r="O31" s="112">
        <f t="shared" si="4"/>
        <v>0</v>
      </c>
      <c r="P31" s="112">
        <f t="shared" si="5"/>
        <v>227364</v>
      </c>
      <c r="Q31" s="112"/>
      <c r="R31" s="112"/>
      <c r="S31" s="112">
        <f t="shared" si="6"/>
        <v>0</v>
      </c>
      <c r="T31" s="112">
        <f t="shared" si="7"/>
        <v>0</v>
      </c>
      <c r="U31" s="257">
        <f t="shared" si="8"/>
        <v>0</v>
      </c>
      <c r="V31" s="112">
        <f t="shared" si="14"/>
        <v>0</v>
      </c>
      <c r="W31" s="112"/>
      <c r="X31" s="112"/>
      <c r="Y31" s="112"/>
      <c r="Z31" s="112"/>
      <c r="AA31" s="127"/>
      <c r="AB31" s="262" t="s">
        <v>663</v>
      </c>
      <c r="AC31" s="127">
        <v>810000</v>
      </c>
      <c r="AD31" s="123"/>
      <c r="AE31" s="123"/>
      <c r="AF31" s="123"/>
      <c r="AG31" s="123"/>
      <c r="AH31" s="123"/>
      <c r="AI31" s="123"/>
      <c r="AJ31" s="123"/>
      <c r="AK31" s="505"/>
      <c r="AL31" s="505"/>
      <c r="AM31" s="505"/>
      <c r="AN31" s="505"/>
      <c r="AO31" s="505"/>
      <c r="AP31" s="505"/>
      <c r="AQ31" s="505"/>
      <c r="AR31" s="505"/>
      <c r="AS31" s="123"/>
      <c r="AT31" s="123"/>
      <c r="AU31" s="123"/>
      <c r="AV31" s="123"/>
      <c r="AW31" s="123"/>
      <c r="AX31" s="123"/>
      <c r="AY31" s="123"/>
      <c r="AZ31" s="212"/>
      <c r="BA31" s="212"/>
      <c r="BB31" s="212"/>
      <c r="BC31" s="212"/>
      <c r="BD31" s="212"/>
    </row>
    <row r="32" spans="1:56" s="131" customFormat="1" ht="30" customHeight="1">
      <c r="A32" s="112">
        <f t="shared" si="10"/>
        <v>28</v>
      </c>
      <c r="B32" s="209">
        <v>1919</v>
      </c>
      <c r="C32" s="127" t="s">
        <v>86</v>
      </c>
      <c r="D32" s="112">
        <v>135100000</v>
      </c>
      <c r="E32" s="112">
        <v>135100000</v>
      </c>
      <c r="F32" s="112">
        <f t="shared" si="0"/>
        <v>0</v>
      </c>
      <c r="G32" s="112">
        <v>80024834</v>
      </c>
      <c r="H32" s="112">
        <v>78502835</v>
      </c>
      <c r="I32" s="112">
        <v>0</v>
      </c>
      <c r="J32" s="112">
        <v>1389765</v>
      </c>
      <c r="K32" s="112">
        <f t="shared" si="1"/>
        <v>1389765</v>
      </c>
      <c r="L32" s="112">
        <f t="shared" si="11"/>
        <v>79892600</v>
      </c>
      <c r="M32" s="112">
        <f t="shared" si="15"/>
        <v>132234</v>
      </c>
      <c r="N32" s="112">
        <v>2000000</v>
      </c>
      <c r="O32" s="112">
        <f t="shared" si="4"/>
        <v>53075166</v>
      </c>
      <c r="P32" s="112">
        <f t="shared" si="5"/>
        <v>132234</v>
      </c>
      <c r="Q32" s="112"/>
      <c r="R32" s="112"/>
      <c r="S32" s="112">
        <f t="shared" si="6"/>
        <v>0</v>
      </c>
      <c r="T32" s="112">
        <f t="shared" si="7"/>
        <v>0</v>
      </c>
      <c r="U32" s="257">
        <f t="shared" si="8"/>
        <v>2000000</v>
      </c>
      <c r="V32" s="112">
        <f t="shared" si="14"/>
        <v>2000000</v>
      </c>
      <c r="W32" s="112"/>
      <c r="X32" s="112"/>
      <c r="Y32" s="112"/>
      <c r="Z32" s="112"/>
      <c r="AA32" s="127"/>
      <c r="AB32" s="127" t="s">
        <v>821</v>
      </c>
      <c r="AC32" s="127">
        <v>742000</v>
      </c>
      <c r="AD32" s="123"/>
      <c r="AE32" s="123"/>
      <c r="AF32" s="123"/>
      <c r="AG32" s="123"/>
      <c r="AH32" s="123"/>
      <c r="AI32" s="123"/>
      <c r="AJ32" s="123"/>
      <c r="AK32" s="505"/>
      <c r="AL32" s="505"/>
      <c r="AM32" s="505"/>
      <c r="AN32" s="505"/>
      <c r="AO32" s="505"/>
      <c r="AP32" s="505"/>
      <c r="AQ32" s="505"/>
      <c r="AR32" s="505"/>
      <c r="AS32" s="123"/>
      <c r="AT32" s="123"/>
      <c r="AU32" s="123"/>
      <c r="AV32" s="123"/>
      <c r="AW32" s="123"/>
      <c r="AX32" s="123"/>
      <c r="AY32" s="123"/>
      <c r="AZ32" s="5"/>
      <c r="BA32" s="5"/>
      <c r="BB32" s="5"/>
      <c r="BC32" s="5"/>
      <c r="BD32" s="5"/>
    </row>
    <row r="33" spans="1:56" ht="30" customHeight="1">
      <c r="A33" s="112">
        <f t="shared" si="10"/>
        <v>29</v>
      </c>
      <c r="B33" s="209">
        <v>1921</v>
      </c>
      <c r="C33" s="127" t="s">
        <v>87</v>
      </c>
      <c r="D33" s="112">
        <v>45000000</v>
      </c>
      <c r="E33" s="112">
        <v>45000000</v>
      </c>
      <c r="F33" s="112">
        <f t="shared" si="0"/>
        <v>0</v>
      </c>
      <c r="G33" s="112">
        <v>13716000</v>
      </c>
      <c r="H33" s="112">
        <v>11771771</v>
      </c>
      <c r="I33" s="112">
        <v>0</v>
      </c>
      <c r="J33" s="112">
        <v>116394</v>
      </c>
      <c r="K33" s="112">
        <f t="shared" si="1"/>
        <v>116394</v>
      </c>
      <c r="L33" s="112">
        <f t="shared" si="11"/>
        <v>11888165</v>
      </c>
      <c r="M33" s="112">
        <f t="shared" si="15"/>
        <v>1827835</v>
      </c>
      <c r="N33" s="112"/>
      <c r="O33" s="112">
        <f t="shared" si="4"/>
        <v>31284000</v>
      </c>
      <c r="P33" s="112">
        <f t="shared" si="5"/>
        <v>1827835</v>
      </c>
      <c r="Q33" s="112"/>
      <c r="R33" s="112"/>
      <c r="S33" s="112">
        <f t="shared" si="6"/>
        <v>0</v>
      </c>
      <c r="T33" s="112">
        <f t="shared" si="7"/>
        <v>0</v>
      </c>
      <c r="U33" s="257">
        <f t="shared" si="8"/>
        <v>0</v>
      </c>
      <c r="V33" s="112">
        <f t="shared" si="14"/>
        <v>0</v>
      </c>
      <c r="W33" s="112"/>
      <c r="X33" s="112"/>
      <c r="Y33" s="112"/>
      <c r="Z33" s="112"/>
      <c r="AA33" s="127"/>
      <c r="AB33" s="207" t="s">
        <v>673</v>
      </c>
      <c r="AC33" s="127">
        <v>829000</v>
      </c>
      <c r="AZ33" s="5"/>
      <c r="BA33" s="5"/>
      <c r="BB33" s="5"/>
      <c r="BC33" s="5"/>
      <c r="BD33" s="5"/>
    </row>
    <row r="34" spans="1:56" ht="30" customHeight="1">
      <c r="A34" s="112">
        <f t="shared" si="10"/>
        <v>30</v>
      </c>
      <c r="B34" s="209">
        <v>1957</v>
      </c>
      <c r="C34" s="127" t="s">
        <v>822</v>
      </c>
      <c r="D34" s="112">
        <v>75000000</v>
      </c>
      <c r="E34" s="112">
        <v>75000000</v>
      </c>
      <c r="F34" s="112">
        <f t="shared" si="0"/>
        <v>0</v>
      </c>
      <c r="G34" s="112">
        <v>52999826</v>
      </c>
      <c r="H34" s="112">
        <v>51152735</v>
      </c>
      <c r="I34" s="112">
        <v>0</v>
      </c>
      <c r="J34" s="112">
        <v>1400100</v>
      </c>
      <c r="K34" s="112">
        <f t="shared" si="1"/>
        <v>1400100</v>
      </c>
      <c r="L34" s="112">
        <f t="shared" si="11"/>
        <v>52552835</v>
      </c>
      <c r="M34" s="112">
        <f t="shared" si="15"/>
        <v>18075384</v>
      </c>
      <c r="N34" s="112">
        <f>14445000-8145000+1071781-3000000</f>
        <v>4371781</v>
      </c>
      <c r="O34" s="112">
        <f t="shared" si="4"/>
        <v>0</v>
      </c>
      <c r="P34" s="112">
        <f t="shared" si="5"/>
        <v>446991</v>
      </c>
      <c r="Q34" s="112">
        <f>1071781+1500000+8128393-1071781</f>
        <v>9628393</v>
      </c>
      <c r="R34" s="112">
        <f>5000000+3000000</f>
        <v>8000000</v>
      </c>
      <c r="S34" s="112">
        <f t="shared" si="6"/>
        <v>17628393</v>
      </c>
      <c r="T34" s="112">
        <f t="shared" si="7"/>
        <v>0</v>
      </c>
      <c r="U34" s="257">
        <f t="shared" si="8"/>
        <v>4371781</v>
      </c>
      <c r="V34" s="112">
        <f t="shared" si="14"/>
        <v>3300000</v>
      </c>
      <c r="W34" s="112"/>
      <c r="X34" s="112"/>
      <c r="Y34" s="112"/>
      <c r="Z34" s="112"/>
      <c r="AA34" s="112">
        <v>1071781</v>
      </c>
      <c r="AB34" s="127" t="s">
        <v>823</v>
      </c>
      <c r="AC34" s="127">
        <v>810000</v>
      </c>
      <c r="AZ34" s="126"/>
      <c r="BA34" s="126"/>
      <c r="BB34" s="126"/>
      <c r="BC34" s="126"/>
      <c r="BD34" s="126"/>
    </row>
    <row r="35" spans="1:56" s="126" customFormat="1" ht="30" customHeight="1">
      <c r="A35" s="112">
        <f t="shared" si="10"/>
        <v>31</v>
      </c>
      <c r="B35" s="209">
        <v>1960</v>
      </c>
      <c r="C35" s="127" t="s">
        <v>226</v>
      </c>
      <c r="D35" s="112">
        <v>21480000</v>
      </c>
      <c r="E35" s="112">
        <v>21480000</v>
      </c>
      <c r="F35" s="112">
        <f t="shared" si="0"/>
        <v>0</v>
      </c>
      <c r="G35" s="112">
        <v>21480000</v>
      </c>
      <c r="H35" s="112">
        <v>21157676</v>
      </c>
      <c r="I35" s="112">
        <v>0</v>
      </c>
      <c r="J35" s="112">
        <v>61233</v>
      </c>
      <c r="K35" s="112">
        <f t="shared" si="1"/>
        <v>61233</v>
      </c>
      <c r="L35" s="112">
        <f t="shared" si="11"/>
        <v>21218909</v>
      </c>
      <c r="M35" s="112">
        <f t="shared" si="15"/>
        <v>261091</v>
      </c>
      <c r="N35" s="112"/>
      <c r="O35" s="112">
        <f t="shared" si="4"/>
        <v>0</v>
      </c>
      <c r="P35" s="112">
        <f t="shared" si="5"/>
        <v>261091</v>
      </c>
      <c r="Q35" s="112"/>
      <c r="R35" s="112"/>
      <c r="S35" s="112">
        <f t="shared" si="6"/>
        <v>0</v>
      </c>
      <c r="T35" s="112">
        <f t="shared" si="7"/>
        <v>0</v>
      </c>
      <c r="U35" s="257">
        <f t="shared" si="8"/>
        <v>0</v>
      </c>
      <c r="V35" s="112">
        <f t="shared" si="14"/>
        <v>0</v>
      </c>
      <c r="W35" s="112"/>
      <c r="X35" s="112"/>
      <c r="Y35" s="112"/>
      <c r="Z35" s="112"/>
      <c r="AA35" s="112"/>
      <c r="AB35" s="210" t="s">
        <v>1507</v>
      </c>
      <c r="AC35" s="127">
        <v>810000</v>
      </c>
      <c r="AD35" s="123"/>
      <c r="AE35" s="123"/>
      <c r="AF35" s="123"/>
      <c r="AG35" s="123"/>
      <c r="AH35" s="123"/>
      <c r="AI35" s="123"/>
      <c r="AJ35" s="123"/>
      <c r="AK35" s="505"/>
      <c r="AL35" s="505"/>
      <c r="AM35" s="505"/>
      <c r="AN35" s="505"/>
      <c r="AO35" s="505"/>
      <c r="AP35" s="505"/>
      <c r="AQ35" s="505"/>
      <c r="AR35" s="505"/>
      <c r="AS35" s="123"/>
      <c r="AT35" s="123"/>
      <c r="AU35" s="123"/>
      <c r="AV35" s="123"/>
      <c r="AW35" s="123"/>
      <c r="AX35" s="123"/>
      <c r="AY35" s="123"/>
    </row>
    <row r="36" spans="1:56" s="126" customFormat="1" ht="30" customHeight="1">
      <c r="A36" s="112">
        <f t="shared" si="10"/>
        <v>32</v>
      </c>
      <c r="B36" s="209">
        <v>1962</v>
      </c>
      <c r="C36" s="127" t="s">
        <v>99</v>
      </c>
      <c r="D36" s="112">
        <v>20000000</v>
      </c>
      <c r="E36" s="112">
        <v>20000000</v>
      </c>
      <c r="F36" s="112">
        <f t="shared" si="0"/>
        <v>0</v>
      </c>
      <c r="G36" s="112">
        <v>100000</v>
      </c>
      <c r="H36" s="112">
        <v>0</v>
      </c>
      <c r="I36" s="112">
        <v>0</v>
      </c>
      <c r="J36" s="112">
        <v>0</v>
      </c>
      <c r="K36" s="112">
        <f t="shared" si="1"/>
        <v>0</v>
      </c>
      <c r="L36" s="112">
        <f t="shared" si="11"/>
        <v>0</v>
      </c>
      <c r="M36" s="112">
        <f t="shared" si="15"/>
        <v>100000</v>
      </c>
      <c r="N36" s="112"/>
      <c r="O36" s="112">
        <f t="shared" si="4"/>
        <v>19900000</v>
      </c>
      <c r="P36" s="112">
        <f t="shared" si="5"/>
        <v>100000</v>
      </c>
      <c r="Q36" s="112"/>
      <c r="R36" s="112"/>
      <c r="S36" s="112">
        <f t="shared" si="6"/>
        <v>0</v>
      </c>
      <c r="T36" s="112">
        <f t="shared" si="7"/>
        <v>0</v>
      </c>
      <c r="U36" s="257">
        <f t="shared" si="8"/>
        <v>0</v>
      </c>
      <c r="V36" s="112">
        <f t="shared" si="14"/>
        <v>0</v>
      </c>
      <c r="W36" s="112"/>
      <c r="X36" s="112"/>
      <c r="Y36" s="112"/>
      <c r="Z36" s="112"/>
      <c r="AA36" s="127"/>
      <c r="AB36" s="210" t="s">
        <v>824</v>
      </c>
      <c r="AC36" s="127">
        <v>742000</v>
      </c>
      <c r="AD36" s="123"/>
      <c r="AE36" s="123"/>
      <c r="AF36" s="123"/>
      <c r="AG36" s="123"/>
      <c r="AH36" s="123"/>
      <c r="AI36" s="123"/>
      <c r="AJ36" s="123"/>
      <c r="AK36" s="505"/>
      <c r="AL36" s="505"/>
      <c r="AM36" s="505"/>
      <c r="AN36" s="505"/>
      <c r="AO36" s="505"/>
      <c r="AP36" s="505"/>
      <c r="AQ36" s="505"/>
      <c r="AR36" s="505"/>
      <c r="AS36" s="123"/>
      <c r="AT36" s="123"/>
      <c r="AU36" s="123"/>
      <c r="AV36" s="123"/>
      <c r="AW36" s="123"/>
      <c r="AX36" s="123"/>
      <c r="AY36" s="123"/>
      <c r="AZ36" s="5"/>
      <c r="BA36" s="5"/>
      <c r="BB36" s="5"/>
      <c r="BC36" s="5"/>
      <c r="BD36" s="5"/>
    </row>
    <row r="37" spans="1:56" s="126" customFormat="1" ht="30" customHeight="1">
      <c r="A37" s="112">
        <f t="shared" si="10"/>
        <v>33</v>
      </c>
      <c r="B37" s="209">
        <v>1965</v>
      </c>
      <c r="C37" s="127" t="s">
        <v>227</v>
      </c>
      <c r="D37" s="112">
        <v>87000000</v>
      </c>
      <c r="E37" s="112">
        <v>87000000</v>
      </c>
      <c r="F37" s="112">
        <f t="shared" ref="F37:F68" si="16">D37-E37</f>
        <v>0</v>
      </c>
      <c r="G37" s="112">
        <v>4650000</v>
      </c>
      <c r="H37" s="112">
        <v>3395704</v>
      </c>
      <c r="I37" s="112">
        <v>0</v>
      </c>
      <c r="J37" s="112">
        <v>1251722</v>
      </c>
      <c r="K37" s="112">
        <f t="shared" ref="K37:K68" si="17">SUM(I37:J37)</f>
        <v>1251722</v>
      </c>
      <c r="L37" s="112">
        <f t="shared" si="11"/>
        <v>4647426</v>
      </c>
      <c r="M37" s="112">
        <f t="shared" si="15"/>
        <v>11401070</v>
      </c>
      <c r="N37" s="112">
        <f>35000000-5000000-15000000-2000000</f>
        <v>13000000</v>
      </c>
      <c r="O37" s="112">
        <f t="shared" ref="O37:O68" si="18">D37-L37-M37-N37</f>
        <v>57951504</v>
      </c>
      <c r="P37" s="112">
        <f t="shared" ref="P37:P68" si="19">G37-L37</f>
        <v>2574</v>
      </c>
      <c r="Q37" s="112">
        <f>11248406+4201594-2500000-1551504</f>
        <v>11398496</v>
      </c>
      <c r="R37" s="112"/>
      <c r="S37" s="112">
        <f t="shared" si="6"/>
        <v>11398496</v>
      </c>
      <c r="T37" s="112">
        <f t="shared" ref="T37:T68" si="20">P37-M37+S37</f>
        <v>0</v>
      </c>
      <c r="U37" s="257">
        <f t="shared" ref="U37:U68" si="21">N37-T37</f>
        <v>13000000</v>
      </c>
      <c r="V37" s="112">
        <f t="shared" si="14"/>
        <v>11448496</v>
      </c>
      <c r="W37" s="112"/>
      <c r="X37" s="112"/>
      <c r="Y37" s="112"/>
      <c r="Z37" s="112"/>
      <c r="AA37" s="112">
        <v>1551504</v>
      </c>
      <c r="AB37" s="210" t="s">
        <v>763</v>
      </c>
      <c r="AC37" s="127">
        <v>810000</v>
      </c>
      <c r="AD37" s="123"/>
      <c r="AE37" s="123"/>
      <c r="AF37" s="123"/>
      <c r="AG37" s="123"/>
      <c r="AH37" s="123"/>
      <c r="AI37" s="123"/>
      <c r="AJ37" s="123"/>
      <c r="AK37" s="505"/>
      <c r="AL37" s="505"/>
      <c r="AM37" s="505"/>
      <c r="AN37" s="505"/>
      <c r="AO37" s="505"/>
      <c r="AP37" s="505"/>
      <c r="AQ37" s="505"/>
      <c r="AR37" s="505"/>
      <c r="AS37" s="123"/>
      <c r="AT37" s="123"/>
      <c r="AU37" s="123"/>
      <c r="AV37" s="123"/>
      <c r="AW37" s="123"/>
      <c r="AX37" s="123"/>
      <c r="AY37" s="123"/>
    </row>
    <row r="38" spans="1:56" ht="30" customHeight="1">
      <c r="A38" s="112">
        <f t="shared" si="10"/>
        <v>34</v>
      </c>
      <c r="B38" s="3">
        <v>2001</v>
      </c>
      <c r="C38" s="3" t="s">
        <v>102</v>
      </c>
      <c r="D38" s="112">
        <f>32700000+300000+600000</f>
        <v>33600000</v>
      </c>
      <c r="E38" s="112">
        <v>32700000</v>
      </c>
      <c r="F38" s="112">
        <f t="shared" si="16"/>
        <v>900000</v>
      </c>
      <c r="G38" s="112">
        <v>26398700</v>
      </c>
      <c r="H38" s="112">
        <v>20473758</v>
      </c>
      <c r="I38" s="112">
        <v>0</v>
      </c>
      <c r="J38" s="112">
        <v>4426023</v>
      </c>
      <c r="K38" s="112">
        <f t="shared" si="17"/>
        <v>4426023</v>
      </c>
      <c r="L38" s="112">
        <f t="shared" si="11"/>
        <v>24899781</v>
      </c>
      <c r="M38" s="112">
        <f t="shared" si="15"/>
        <v>7800219</v>
      </c>
      <c r="N38" s="112">
        <f>300000+600000</f>
        <v>900000</v>
      </c>
      <c r="O38" s="112">
        <f t="shared" si="18"/>
        <v>0</v>
      </c>
      <c r="P38" s="112">
        <f t="shared" si="19"/>
        <v>1498919</v>
      </c>
      <c r="Q38" s="112">
        <v>1601300</v>
      </c>
      <c r="R38" s="112">
        <v>4700000</v>
      </c>
      <c r="S38" s="112">
        <f t="shared" si="6"/>
        <v>6301300</v>
      </c>
      <c r="T38" s="112">
        <f t="shared" si="20"/>
        <v>0</v>
      </c>
      <c r="U38" s="257">
        <f t="shared" si="21"/>
        <v>900000</v>
      </c>
      <c r="V38" s="112">
        <f t="shared" si="14"/>
        <v>900000</v>
      </c>
      <c r="W38" s="112"/>
      <c r="X38" s="112"/>
      <c r="Y38" s="112"/>
      <c r="Z38" s="112"/>
      <c r="AA38" s="127"/>
      <c r="AB38" s="3" t="s">
        <v>726</v>
      </c>
      <c r="AC38" s="3">
        <v>810000</v>
      </c>
      <c r="AZ38" s="126"/>
      <c r="BA38" s="126"/>
      <c r="BB38" s="126"/>
      <c r="BC38" s="126"/>
      <c r="BD38" s="126"/>
    </row>
    <row r="39" spans="1:56" ht="30" customHeight="1">
      <c r="A39" s="112">
        <f t="shared" si="10"/>
        <v>35</v>
      </c>
      <c r="B39" s="127">
        <v>2002</v>
      </c>
      <c r="C39" s="127" t="s">
        <v>106</v>
      </c>
      <c r="D39" s="112">
        <v>2300000</v>
      </c>
      <c r="E39" s="112">
        <v>2300000</v>
      </c>
      <c r="F39" s="112">
        <f t="shared" si="16"/>
        <v>0</v>
      </c>
      <c r="G39" s="112">
        <v>1500000</v>
      </c>
      <c r="H39" s="112">
        <v>1495997</v>
      </c>
      <c r="I39" s="112">
        <v>0</v>
      </c>
      <c r="J39" s="112">
        <v>0</v>
      </c>
      <c r="K39" s="112">
        <f t="shared" si="17"/>
        <v>0</v>
      </c>
      <c r="L39" s="112">
        <f t="shared" si="11"/>
        <v>1495997</v>
      </c>
      <c r="M39" s="112">
        <f t="shared" si="15"/>
        <v>104003</v>
      </c>
      <c r="N39" s="112">
        <f>300000-300000</f>
        <v>0</v>
      </c>
      <c r="O39" s="112">
        <f t="shared" si="18"/>
        <v>700000</v>
      </c>
      <c r="P39" s="112">
        <f t="shared" si="19"/>
        <v>4003</v>
      </c>
      <c r="Q39" s="112">
        <f>500000-400000</f>
        <v>100000</v>
      </c>
      <c r="R39" s="112"/>
      <c r="S39" s="112">
        <f t="shared" si="6"/>
        <v>100000</v>
      </c>
      <c r="T39" s="112">
        <f t="shared" si="20"/>
        <v>0</v>
      </c>
      <c r="U39" s="257">
        <f t="shared" si="21"/>
        <v>0</v>
      </c>
      <c r="V39" s="112">
        <f t="shared" si="14"/>
        <v>0</v>
      </c>
      <c r="W39" s="112"/>
      <c r="X39" s="112"/>
      <c r="Y39" s="112"/>
      <c r="Z39" s="112"/>
      <c r="AA39" s="127"/>
      <c r="AB39" s="127" t="s">
        <v>608</v>
      </c>
      <c r="AC39" s="127">
        <v>742000</v>
      </c>
      <c r="AZ39" s="5"/>
      <c r="BA39" s="5"/>
      <c r="BB39" s="5"/>
      <c r="BC39" s="5"/>
      <c r="BD39" s="5"/>
    </row>
    <row r="40" spans="1:56" s="5" customFormat="1" ht="30" customHeight="1">
      <c r="A40" s="112">
        <f t="shared" si="10"/>
        <v>36</v>
      </c>
      <c r="B40" s="127">
        <v>2008</v>
      </c>
      <c r="C40" s="127" t="s">
        <v>209</v>
      </c>
      <c r="D40" s="112">
        <v>2500000</v>
      </c>
      <c r="E40" s="112">
        <v>2500000</v>
      </c>
      <c r="F40" s="112">
        <f t="shared" si="16"/>
        <v>0</v>
      </c>
      <c r="G40" s="112">
        <v>750000</v>
      </c>
      <c r="H40" s="112">
        <v>66896</v>
      </c>
      <c r="I40" s="112">
        <v>0</v>
      </c>
      <c r="J40" s="112">
        <v>98333</v>
      </c>
      <c r="K40" s="112">
        <f t="shared" si="17"/>
        <v>98333</v>
      </c>
      <c r="L40" s="112">
        <f t="shared" si="11"/>
        <v>165229</v>
      </c>
      <c r="M40" s="112">
        <f t="shared" si="15"/>
        <v>584771</v>
      </c>
      <c r="N40" s="112">
        <f>750000+1000000-1750000</f>
        <v>0</v>
      </c>
      <c r="O40" s="112">
        <f t="shared" si="18"/>
        <v>1750000</v>
      </c>
      <c r="P40" s="112">
        <f t="shared" si="19"/>
        <v>584771</v>
      </c>
      <c r="Q40" s="112">
        <f>1000000-1000000</f>
        <v>0</v>
      </c>
      <c r="R40" s="112"/>
      <c r="S40" s="112">
        <f t="shared" si="6"/>
        <v>0</v>
      </c>
      <c r="T40" s="112">
        <f t="shared" si="20"/>
        <v>0</v>
      </c>
      <c r="U40" s="257">
        <f t="shared" si="21"/>
        <v>0</v>
      </c>
      <c r="V40" s="112">
        <f t="shared" si="14"/>
        <v>0</v>
      </c>
      <c r="W40" s="112"/>
      <c r="X40" s="112"/>
      <c r="Y40" s="112"/>
      <c r="Z40" s="112"/>
      <c r="AA40" s="127"/>
      <c r="AB40" s="273" t="s">
        <v>364</v>
      </c>
      <c r="AC40" s="127">
        <v>742000</v>
      </c>
      <c r="AD40" s="123"/>
      <c r="AE40" s="123"/>
      <c r="AF40" s="123"/>
      <c r="AG40" s="123"/>
      <c r="AH40" s="123"/>
      <c r="AI40" s="123"/>
      <c r="AJ40" s="123"/>
      <c r="AK40" s="505"/>
      <c r="AL40" s="505"/>
      <c r="AM40" s="505"/>
      <c r="AN40" s="505"/>
      <c r="AO40" s="505"/>
      <c r="AP40" s="505"/>
      <c r="AQ40" s="505"/>
      <c r="AR40" s="505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</row>
    <row r="41" spans="1:56" ht="30" customHeight="1">
      <c r="A41" s="112">
        <f t="shared" si="10"/>
        <v>37</v>
      </c>
      <c r="B41" s="3">
        <v>2009</v>
      </c>
      <c r="C41" s="3" t="s">
        <v>186</v>
      </c>
      <c r="D41" s="112">
        <v>13700000</v>
      </c>
      <c r="E41" s="112">
        <v>13700000</v>
      </c>
      <c r="F41" s="112">
        <f t="shared" si="16"/>
        <v>0</v>
      </c>
      <c r="G41" s="112">
        <v>9200000</v>
      </c>
      <c r="H41" s="112">
        <v>6962424</v>
      </c>
      <c r="I41" s="112">
        <v>0</v>
      </c>
      <c r="J41" s="112">
        <v>884218</v>
      </c>
      <c r="K41" s="112">
        <f t="shared" si="17"/>
        <v>884218</v>
      </c>
      <c r="L41" s="112">
        <f t="shared" si="11"/>
        <v>7846642</v>
      </c>
      <c r="M41" s="112">
        <f t="shared" si="15"/>
        <v>1353358</v>
      </c>
      <c r="N41" s="112">
        <f>4556386-56386-750000</f>
        <v>3750000</v>
      </c>
      <c r="O41" s="112">
        <f t="shared" si="18"/>
        <v>750000</v>
      </c>
      <c r="P41" s="112">
        <f t="shared" si="19"/>
        <v>1353358</v>
      </c>
      <c r="Q41" s="112"/>
      <c r="R41" s="112"/>
      <c r="S41" s="112">
        <f t="shared" si="6"/>
        <v>0</v>
      </c>
      <c r="T41" s="112">
        <f t="shared" si="20"/>
        <v>0</v>
      </c>
      <c r="U41" s="257">
        <f t="shared" si="21"/>
        <v>3750000</v>
      </c>
      <c r="V41" s="112">
        <f t="shared" si="14"/>
        <v>3453749</v>
      </c>
      <c r="W41" s="112"/>
      <c r="X41" s="112"/>
      <c r="Y41" s="112"/>
      <c r="Z41" s="112"/>
      <c r="AA41" s="112">
        <v>296251</v>
      </c>
      <c r="AB41" s="3" t="s">
        <v>1253</v>
      </c>
      <c r="AC41" s="3">
        <v>742000</v>
      </c>
      <c r="AZ41" s="126"/>
      <c r="BA41" s="126"/>
      <c r="BB41" s="126"/>
      <c r="BC41" s="126"/>
      <c r="BD41" s="126"/>
    </row>
    <row r="42" spans="1:56" ht="30" customHeight="1">
      <c r="A42" s="112">
        <f t="shared" si="10"/>
        <v>38</v>
      </c>
      <c r="B42" s="3">
        <v>2011</v>
      </c>
      <c r="C42" s="19" t="s">
        <v>407</v>
      </c>
      <c r="D42" s="112">
        <v>80000000</v>
      </c>
      <c r="E42" s="112">
        <v>80000000</v>
      </c>
      <c r="F42" s="112">
        <f t="shared" si="16"/>
        <v>0</v>
      </c>
      <c r="G42" s="112">
        <v>67562673</v>
      </c>
      <c r="H42" s="112">
        <v>66114546</v>
      </c>
      <c r="I42" s="112">
        <v>0</v>
      </c>
      <c r="J42" s="112">
        <v>642201</v>
      </c>
      <c r="K42" s="112">
        <f t="shared" si="17"/>
        <v>642201</v>
      </c>
      <c r="L42" s="112">
        <f t="shared" si="11"/>
        <v>66756747</v>
      </c>
      <c r="M42" s="112">
        <f t="shared" si="15"/>
        <v>6643253</v>
      </c>
      <c r="N42" s="112">
        <v>6600000</v>
      </c>
      <c r="O42" s="112">
        <f t="shared" si="18"/>
        <v>0</v>
      </c>
      <c r="P42" s="112">
        <f t="shared" si="19"/>
        <v>805926</v>
      </c>
      <c r="Q42" s="112">
        <v>5837327</v>
      </c>
      <c r="R42" s="112"/>
      <c r="S42" s="112">
        <f t="shared" si="6"/>
        <v>5837327</v>
      </c>
      <c r="T42" s="112">
        <f t="shared" si="20"/>
        <v>0</v>
      </c>
      <c r="U42" s="257">
        <f t="shared" si="21"/>
        <v>6600000</v>
      </c>
      <c r="V42" s="112">
        <f t="shared" si="14"/>
        <v>6600000</v>
      </c>
      <c r="W42" s="112"/>
      <c r="X42" s="112"/>
      <c r="Y42" s="112"/>
      <c r="Z42" s="112"/>
      <c r="AA42" s="127"/>
      <c r="AB42" s="3" t="s">
        <v>398</v>
      </c>
      <c r="AC42" s="3">
        <v>742000</v>
      </c>
      <c r="AZ42" s="5"/>
      <c r="BA42" s="5"/>
      <c r="BB42" s="5"/>
      <c r="BC42" s="5"/>
      <c r="BD42" s="5"/>
    </row>
    <row r="43" spans="1:56" ht="30" customHeight="1">
      <c r="A43" s="112">
        <f t="shared" si="10"/>
        <v>39</v>
      </c>
      <c r="B43" s="127">
        <v>2015</v>
      </c>
      <c r="C43" s="222" t="s">
        <v>408</v>
      </c>
      <c r="D43" s="112">
        <v>54000000</v>
      </c>
      <c r="E43" s="112">
        <v>54000000</v>
      </c>
      <c r="F43" s="112">
        <f t="shared" si="16"/>
        <v>0</v>
      </c>
      <c r="G43" s="112">
        <v>54000000</v>
      </c>
      <c r="H43" s="112">
        <v>52574788</v>
      </c>
      <c r="I43" s="112">
        <v>0</v>
      </c>
      <c r="J43" s="112">
        <v>101802</v>
      </c>
      <c r="K43" s="112">
        <f t="shared" si="17"/>
        <v>101802</v>
      </c>
      <c r="L43" s="112">
        <f t="shared" si="11"/>
        <v>52676590</v>
      </c>
      <c r="M43" s="112">
        <f t="shared" si="15"/>
        <v>1323410</v>
      </c>
      <c r="N43" s="112"/>
      <c r="O43" s="112">
        <f t="shared" si="18"/>
        <v>0</v>
      </c>
      <c r="P43" s="112">
        <f t="shared" si="19"/>
        <v>1323410</v>
      </c>
      <c r="Q43" s="112"/>
      <c r="R43" s="112"/>
      <c r="S43" s="112">
        <f t="shared" si="6"/>
        <v>0</v>
      </c>
      <c r="T43" s="112">
        <f t="shared" si="20"/>
        <v>0</v>
      </c>
      <c r="U43" s="257">
        <f t="shared" si="21"/>
        <v>0</v>
      </c>
      <c r="V43" s="112">
        <f t="shared" si="14"/>
        <v>0</v>
      </c>
      <c r="W43" s="112"/>
      <c r="X43" s="112"/>
      <c r="Y43" s="112"/>
      <c r="Z43" s="112"/>
      <c r="AA43" s="127"/>
      <c r="AB43" s="127" t="s">
        <v>825</v>
      </c>
      <c r="AC43" s="127">
        <v>810000</v>
      </c>
    </row>
    <row r="44" spans="1:56" ht="30" customHeight="1">
      <c r="A44" s="112">
        <f t="shared" si="10"/>
        <v>40</v>
      </c>
      <c r="B44" s="127">
        <v>2017</v>
      </c>
      <c r="C44" s="213" t="s">
        <v>826</v>
      </c>
      <c r="D44" s="112">
        <v>37100000</v>
      </c>
      <c r="E44" s="112">
        <v>37100000</v>
      </c>
      <c r="F44" s="112">
        <f t="shared" si="16"/>
        <v>0</v>
      </c>
      <c r="G44" s="112">
        <v>31100000</v>
      </c>
      <c r="H44" s="112">
        <v>29864639</v>
      </c>
      <c r="I44" s="112">
        <v>0</v>
      </c>
      <c r="J44" s="112">
        <v>720031</v>
      </c>
      <c r="K44" s="112">
        <f t="shared" si="17"/>
        <v>720031</v>
      </c>
      <c r="L44" s="112">
        <f t="shared" si="11"/>
        <v>30584670</v>
      </c>
      <c r="M44" s="112">
        <f t="shared" si="15"/>
        <v>1515330</v>
      </c>
      <c r="N44" s="112">
        <f>6500000-1500000</f>
        <v>5000000</v>
      </c>
      <c r="O44" s="112">
        <f t="shared" si="18"/>
        <v>0</v>
      </c>
      <c r="P44" s="112">
        <f t="shared" si="19"/>
        <v>515330</v>
      </c>
      <c r="Q44" s="112">
        <v>1000000</v>
      </c>
      <c r="R44" s="112"/>
      <c r="S44" s="112">
        <f t="shared" si="6"/>
        <v>1000000</v>
      </c>
      <c r="T44" s="112">
        <f t="shared" si="20"/>
        <v>0</v>
      </c>
      <c r="U44" s="257">
        <f t="shared" si="21"/>
        <v>5000000</v>
      </c>
      <c r="V44" s="112">
        <f t="shared" si="14"/>
        <v>4253354</v>
      </c>
      <c r="W44" s="112"/>
      <c r="X44" s="112"/>
      <c r="Y44" s="112"/>
      <c r="Z44" s="112"/>
      <c r="AA44" s="112">
        <v>746646</v>
      </c>
      <c r="AB44" s="127" t="s">
        <v>1290</v>
      </c>
      <c r="AC44" s="127">
        <v>824000</v>
      </c>
      <c r="AZ44" s="5"/>
      <c r="BA44" s="5"/>
      <c r="BB44" s="5"/>
      <c r="BC44" s="5"/>
      <c r="BD44" s="5"/>
    </row>
    <row r="45" spans="1:56" s="6" customFormat="1" ht="30" customHeight="1">
      <c r="A45" s="112">
        <f t="shared" si="10"/>
        <v>41</v>
      </c>
      <c r="B45" s="127">
        <v>2018</v>
      </c>
      <c r="C45" s="127" t="s">
        <v>220</v>
      </c>
      <c r="D45" s="112">
        <v>3350000</v>
      </c>
      <c r="E45" s="112">
        <v>3350000</v>
      </c>
      <c r="F45" s="112">
        <f t="shared" si="16"/>
        <v>0</v>
      </c>
      <c r="G45" s="112">
        <v>3350000</v>
      </c>
      <c r="H45" s="112">
        <v>3064540</v>
      </c>
      <c r="I45" s="112">
        <v>0</v>
      </c>
      <c r="J45" s="112">
        <v>95485</v>
      </c>
      <c r="K45" s="112">
        <f t="shared" si="17"/>
        <v>95485</v>
      </c>
      <c r="L45" s="112">
        <f t="shared" si="11"/>
        <v>3160025</v>
      </c>
      <c r="M45" s="112">
        <f t="shared" si="15"/>
        <v>189975</v>
      </c>
      <c r="N45" s="112"/>
      <c r="O45" s="112">
        <f t="shared" si="18"/>
        <v>0</v>
      </c>
      <c r="P45" s="112">
        <f t="shared" si="19"/>
        <v>189975</v>
      </c>
      <c r="Q45" s="112"/>
      <c r="R45" s="112"/>
      <c r="S45" s="112">
        <f t="shared" si="6"/>
        <v>0</v>
      </c>
      <c r="T45" s="112">
        <f t="shared" si="20"/>
        <v>0</v>
      </c>
      <c r="U45" s="257">
        <f t="shared" si="21"/>
        <v>0</v>
      </c>
      <c r="V45" s="112">
        <f t="shared" si="14"/>
        <v>0</v>
      </c>
      <c r="W45" s="112"/>
      <c r="X45" s="112"/>
      <c r="Y45" s="112"/>
      <c r="Z45" s="112"/>
      <c r="AA45" s="127"/>
      <c r="AB45" s="213" t="s">
        <v>664</v>
      </c>
      <c r="AC45" s="127">
        <v>742000</v>
      </c>
      <c r="AD45" s="123"/>
      <c r="AE45" s="123"/>
      <c r="AF45" s="123"/>
      <c r="AG45" s="123"/>
      <c r="AH45" s="123"/>
      <c r="AI45" s="123"/>
      <c r="AJ45" s="123"/>
      <c r="AK45" s="505"/>
      <c r="AL45" s="505"/>
      <c r="AM45" s="505"/>
      <c r="AN45" s="505"/>
      <c r="AO45" s="505"/>
      <c r="AP45" s="505"/>
      <c r="AQ45" s="505"/>
      <c r="AR45" s="505"/>
      <c r="AS45" s="123"/>
      <c r="AT45" s="123"/>
      <c r="AU45" s="123"/>
      <c r="AV45" s="123"/>
      <c r="AW45" s="123"/>
      <c r="AX45" s="123"/>
      <c r="AY45" s="123"/>
      <c r="AZ45" s="126"/>
      <c r="BA45" s="126"/>
      <c r="BB45" s="126"/>
      <c r="BC45" s="126"/>
      <c r="BD45" s="126"/>
    </row>
    <row r="46" spans="1:56" s="5" customFormat="1" ht="30" customHeight="1">
      <c r="A46" s="112">
        <f t="shared" si="10"/>
        <v>42</v>
      </c>
      <c r="B46" s="127">
        <v>2024</v>
      </c>
      <c r="C46" s="127" t="s">
        <v>221</v>
      </c>
      <c r="D46" s="112">
        <v>18400000</v>
      </c>
      <c r="E46" s="112">
        <v>18400000</v>
      </c>
      <c r="F46" s="112">
        <f t="shared" si="16"/>
        <v>0</v>
      </c>
      <c r="G46" s="112">
        <v>18032749</v>
      </c>
      <c r="H46" s="112">
        <v>17018970</v>
      </c>
      <c r="I46" s="112">
        <v>0</v>
      </c>
      <c r="J46" s="112">
        <v>443912</v>
      </c>
      <c r="K46" s="112">
        <f t="shared" si="17"/>
        <v>443912</v>
      </c>
      <c r="L46" s="112">
        <f t="shared" si="11"/>
        <v>17462882</v>
      </c>
      <c r="M46" s="112">
        <f t="shared" si="15"/>
        <v>569867</v>
      </c>
      <c r="N46" s="112">
        <v>367251</v>
      </c>
      <c r="O46" s="112">
        <f t="shared" si="18"/>
        <v>0</v>
      </c>
      <c r="P46" s="112">
        <f t="shared" si="19"/>
        <v>569867</v>
      </c>
      <c r="Q46" s="112">
        <f>367251-367251</f>
        <v>0</v>
      </c>
      <c r="R46" s="112"/>
      <c r="S46" s="112">
        <f t="shared" si="6"/>
        <v>0</v>
      </c>
      <c r="T46" s="112">
        <f t="shared" si="20"/>
        <v>0</v>
      </c>
      <c r="U46" s="257">
        <f t="shared" si="21"/>
        <v>367251</v>
      </c>
      <c r="V46" s="112">
        <f t="shared" si="14"/>
        <v>0</v>
      </c>
      <c r="W46" s="112"/>
      <c r="X46" s="112"/>
      <c r="Y46" s="112"/>
      <c r="Z46" s="112"/>
      <c r="AA46" s="112">
        <v>367251</v>
      </c>
      <c r="AB46" s="127" t="s">
        <v>701</v>
      </c>
      <c r="AC46" s="127">
        <v>810000</v>
      </c>
      <c r="AD46" s="123"/>
      <c r="AE46" s="123"/>
      <c r="AF46" s="123"/>
      <c r="AG46" s="123"/>
      <c r="AH46" s="123"/>
      <c r="AI46" s="123"/>
      <c r="AJ46" s="123"/>
      <c r="AK46" s="505"/>
      <c r="AL46" s="505"/>
      <c r="AM46" s="505"/>
      <c r="AN46" s="505"/>
      <c r="AO46" s="505"/>
      <c r="AP46" s="505"/>
      <c r="AQ46" s="505"/>
      <c r="AR46" s="505"/>
      <c r="AS46" s="123"/>
      <c r="AT46" s="123"/>
      <c r="AU46" s="123"/>
      <c r="AV46" s="123"/>
      <c r="AW46" s="123"/>
      <c r="AX46" s="123"/>
      <c r="AY46" s="123"/>
      <c r="AZ46" s="126"/>
      <c r="BA46" s="126"/>
      <c r="BB46" s="126"/>
      <c r="BC46" s="126"/>
      <c r="BD46" s="126"/>
    </row>
    <row r="47" spans="1:56" s="6" customFormat="1" ht="30" customHeight="1">
      <c r="A47" s="112">
        <f t="shared" si="10"/>
        <v>43</v>
      </c>
      <c r="B47" s="209">
        <v>2073</v>
      </c>
      <c r="C47" s="213" t="s">
        <v>409</v>
      </c>
      <c r="D47" s="112">
        <f>50000000+25000000</f>
        <v>75000000</v>
      </c>
      <c r="E47" s="112">
        <v>11350000</v>
      </c>
      <c r="F47" s="112">
        <f t="shared" si="16"/>
        <v>63650000</v>
      </c>
      <c r="G47" s="112">
        <v>1300000</v>
      </c>
      <c r="H47" s="112">
        <v>906620</v>
      </c>
      <c r="I47" s="112">
        <v>0</v>
      </c>
      <c r="J47" s="112">
        <v>343904</v>
      </c>
      <c r="K47" s="112">
        <f t="shared" si="17"/>
        <v>343904</v>
      </c>
      <c r="L47" s="112">
        <f t="shared" si="11"/>
        <v>1250524</v>
      </c>
      <c r="M47" s="112">
        <f t="shared" si="15"/>
        <v>49476</v>
      </c>
      <c r="N47" s="112">
        <f>20000000-18000000-1000000</f>
        <v>1000000</v>
      </c>
      <c r="O47" s="112">
        <f t="shared" si="18"/>
        <v>72700000</v>
      </c>
      <c r="P47" s="112">
        <f t="shared" si="19"/>
        <v>49476</v>
      </c>
      <c r="Q47" s="112"/>
      <c r="R47" s="112"/>
      <c r="S47" s="112">
        <f t="shared" si="6"/>
        <v>0</v>
      </c>
      <c r="T47" s="112">
        <f t="shared" si="20"/>
        <v>0</v>
      </c>
      <c r="U47" s="257">
        <f t="shared" si="21"/>
        <v>1000000</v>
      </c>
      <c r="V47" s="112">
        <f t="shared" si="14"/>
        <v>1000000</v>
      </c>
      <c r="W47" s="112"/>
      <c r="X47" s="112"/>
      <c r="Y47" s="112"/>
      <c r="Z47" s="112"/>
      <c r="AA47" s="127"/>
      <c r="AB47" s="127" t="s">
        <v>827</v>
      </c>
      <c r="AC47" s="127">
        <v>829000</v>
      </c>
      <c r="AD47" s="123"/>
      <c r="AE47" s="123"/>
      <c r="AF47" s="123"/>
      <c r="AG47" s="123"/>
      <c r="AH47" s="123"/>
      <c r="AI47" s="123"/>
      <c r="AJ47" s="123"/>
      <c r="AK47" s="505"/>
      <c r="AL47" s="505"/>
      <c r="AM47" s="505"/>
      <c r="AN47" s="505"/>
      <c r="AO47" s="505"/>
      <c r="AP47" s="505"/>
      <c r="AQ47" s="505"/>
      <c r="AR47" s="505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</row>
    <row r="48" spans="1:56" s="5" customFormat="1" ht="30" customHeight="1">
      <c r="A48" s="112">
        <f t="shared" si="10"/>
        <v>44</v>
      </c>
      <c r="B48" s="209">
        <v>2076</v>
      </c>
      <c r="C48" s="127" t="s">
        <v>222</v>
      </c>
      <c r="D48" s="112">
        <v>2350000</v>
      </c>
      <c r="E48" s="112">
        <v>2350000</v>
      </c>
      <c r="F48" s="112">
        <f t="shared" si="16"/>
        <v>0</v>
      </c>
      <c r="G48" s="112">
        <v>1950000</v>
      </c>
      <c r="H48" s="112">
        <v>1714465</v>
      </c>
      <c r="I48" s="112">
        <v>0</v>
      </c>
      <c r="J48" s="112">
        <v>178810</v>
      </c>
      <c r="K48" s="112">
        <f t="shared" si="17"/>
        <v>178810</v>
      </c>
      <c r="L48" s="112">
        <f t="shared" si="11"/>
        <v>1893275</v>
      </c>
      <c r="M48" s="112">
        <f t="shared" si="15"/>
        <v>456725</v>
      </c>
      <c r="N48" s="112"/>
      <c r="O48" s="112">
        <f t="shared" si="18"/>
        <v>0</v>
      </c>
      <c r="P48" s="112">
        <f t="shared" si="19"/>
        <v>56725</v>
      </c>
      <c r="Q48" s="112"/>
      <c r="R48" s="112">
        <v>400000</v>
      </c>
      <c r="S48" s="112">
        <f>SUM(R48:R48)</f>
        <v>400000</v>
      </c>
      <c r="T48" s="112">
        <f t="shared" si="20"/>
        <v>0</v>
      </c>
      <c r="U48" s="257">
        <f t="shared" si="21"/>
        <v>0</v>
      </c>
      <c r="V48" s="112">
        <f t="shared" si="14"/>
        <v>0</v>
      </c>
      <c r="W48" s="112"/>
      <c r="X48" s="112"/>
      <c r="Y48" s="112"/>
      <c r="Z48" s="112"/>
      <c r="AA48" s="127"/>
      <c r="AB48" s="127" t="s">
        <v>242</v>
      </c>
      <c r="AC48" s="127">
        <v>850000</v>
      </c>
      <c r="AD48" s="123"/>
      <c r="AE48" s="123"/>
      <c r="AF48" s="123"/>
      <c r="AG48" s="123"/>
      <c r="AH48" s="123"/>
      <c r="AI48" s="123"/>
      <c r="AJ48" s="123"/>
      <c r="AK48" s="505"/>
      <c r="AL48" s="505"/>
      <c r="AM48" s="505"/>
      <c r="AN48" s="505"/>
      <c r="AO48" s="505"/>
      <c r="AP48" s="505"/>
      <c r="AQ48" s="505"/>
      <c r="AR48" s="505"/>
      <c r="AS48" s="123"/>
      <c r="AT48" s="123"/>
      <c r="AU48" s="123"/>
      <c r="AV48" s="123"/>
      <c r="AW48" s="123"/>
      <c r="AX48" s="123"/>
      <c r="AY48" s="123"/>
      <c r="AZ48" s="126"/>
      <c r="BA48" s="126"/>
      <c r="BB48" s="126"/>
      <c r="BC48" s="126"/>
      <c r="BD48" s="126"/>
    </row>
    <row r="49" spans="1:56" s="5" customFormat="1" ht="30" customHeight="1">
      <c r="A49" s="112">
        <f t="shared" si="10"/>
        <v>45</v>
      </c>
      <c r="B49" s="3">
        <v>2078</v>
      </c>
      <c r="C49" s="3" t="s">
        <v>210</v>
      </c>
      <c r="D49" s="112">
        <f>2460000-100000</f>
        <v>2360000</v>
      </c>
      <c r="E49" s="112">
        <v>2460000</v>
      </c>
      <c r="F49" s="112">
        <f t="shared" si="16"/>
        <v>-100000</v>
      </c>
      <c r="G49" s="112">
        <v>2360000</v>
      </c>
      <c r="H49" s="112">
        <v>339729</v>
      </c>
      <c r="I49" s="112">
        <v>0</v>
      </c>
      <c r="J49" s="112">
        <v>147416</v>
      </c>
      <c r="K49" s="112">
        <f t="shared" si="17"/>
        <v>147416</v>
      </c>
      <c r="L49" s="112">
        <f t="shared" si="11"/>
        <v>487145</v>
      </c>
      <c r="M49" s="112">
        <f t="shared" si="15"/>
        <v>1872855</v>
      </c>
      <c r="N49" s="112"/>
      <c r="O49" s="112">
        <f t="shared" si="18"/>
        <v>0</v>
      </c>
      <c r="P49" s="112">
        <f t="shared" si="19"/>
        <v>1872855</v>
      </c>
      <c r="Q49" s="112"/>
      <c r="R49" s="112"/>
      <c r="S49" s="112">
        <f t="shared" ref="S49:S80" si="22">SUM(Q49:R49)</f>
        <v>0</v>
      </c>
      <c r="T49" s="112">
        <f t="shared" si="20"/>
        <v>0</v>
      </c>
      <c r="U49" s="257">
        <f t="shared" si="21"/>
        <v>0</v>
      </c>
      <c r="V49" s="112">
        <f t="shared" si="14"/>
        <v>0</v>
      </c>
      <c r="W49" s="112"/>
      <c r="X49" s="112"/>
      <c r="Y49" s="112"/>
      <c r="Z49" s="112"/>
      <c r="AA49" s="127"/>
      <c r="AB49" s="3" t="s">
        <v>264</v>
      </c>
      <c r="AC49" s="3">
        <v>742000</v>
      </c>
      <c r="AD49" s="123"/>
      <c r="AE49" s="123"/>
      <c r="AF49" s="123"/>
      <c r="AG49" s="123"/>
      <c r="AH49" s="123"/>
      <c r="AI49" s="123"/>
      <c r="AJ49" s="123"/>
      <c r="AK49" s="505"/>
      <c r="AL49" s="505"/>
      <c r="AM49" s="505"/>
      <c r="AN49" s="505"/>
      <c r="AO49" s="505"/>
      <c r="AP49" s="505"/>
      <c r="AQ49" s="505"/>
      <c r="AR49" s="505"/>
      <c r="AS49" s="123"/>
      <c r="AT49" s="123"/>
      <c r="AU49" s="123"/>
      <c r="AV49" s="123"/>
      <c r="AW49" s="123"/>
      <c r="AX49" s="123"/>
      <c r="AY49" s="123"/>
    </row>
    <row r="50" spans="1:56" s="6" customFormat="1" ht="30" customHeight="1">
      <c r="A50" s="112">
        <f t="shared" si="10"/>
        <v>46</v>
      </c>
      <c r="B50" s="19">
        <v>2097</v>
      </c>
      <c r="C50" s="127" t="s">
        <v>223</v>
      </c>
      <c r="D50" s="112">
        <v>79000000</v>
      </c>
      <c r="E50" s="112">
        <v>79000000</v>
      </c>
      <c r="F50" s="112">
        <f t="shared" si="16"/>
        <v>0</v>
      </c>
      <c r="G50" s="112">
        <v>55912875</v>
      </c>
      <c r="H50" s="112">
        <v>44784730</v>
      </c>
      <c r="I50" s="112">
        <v>0</v>
      </c>
      <c r="J50" s="112">
        <v>9449929</v>
      </c>
      <c r="K50" s="112">
        <f t="shared" si="17"/>
        <v>9449929</v>
      </c>
      <c r="L50" s="112">
        <f t="shared" ref="L50:L70" si="23">K50+H50</f>
        <v>54234659</v>
      </c>
      <c r="M50" s="112">
        <f t="shared" si="15"/>
        <v>9178216</v>
      </c>
      <c r="N50" s="112">
        <f>9978386+3108739</f>
        <v>13087125</v>
      </c>
      <c r="O50" s="112">
        <f t="shared" si="18"/>
        <v>2500000</v>
      </c>
      <c r="P50" s="112">
        <f t="shared" si="19"/>
        <v>1678216</v>
      </c>
      <c r="Q50" s="112">
        <f>3108739-3108739</f>
        <v>0</v>
      </c>
      <c r="R50" s="112">
        <v>7500000</v>
      </c>
      <c r="S50" s="112">
        <f t="shared" si="22"/>
        <v>7500000</v>
      </c>
      <c r="T50" s="112">
        <f t="shared" si="20"/>
        <v>0</v>
      </c>
      <c r="U50" s="257">
        <f t="shared" si="21"/>
        <v>13087125</v>
      </c>
      <c r="V50" s="112">
        <f t="shared" si="14"/>
        <v>9978386</v>
      </c>
      <c r="W50" s="112"/>
      <c r="X50" s="112"/>
      <c r="Y50" s="112"/>
      <c r="Z50" s="112"/>
      <c r="AA50" s="112">
        <v>3108739</v>
      </c>
      <c r="AB50" s="213" t="s">
        <v>515</v>
      </c>
      <c r="AC50" s="127">
        <v>810000</v>
      </c>
      <c r="AD50" s="123"/>
      <c r="AE50" s="123"/>
      <c r="AF50" s="123"/>
      <c r="AG50" s="123"/>
      <c r="AH50" s="123"/>
      <c r="AI50" s="123"/>
      <c r="AJ50" s="123"/>
      <c r="AK50" s="505"/>
      <c r="AL50" s="505"/>
      <c r="AM50" s="505"/>
      <c r="AN50" s="505"/>
      <c r="AO50" s="505"/>
      <c r="AP50" s="505"/>
      <c r="AQ50" s="505"/>
      <c r="AR50" s="505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</row>
    <row r="51" spans="1:56" s="6" customFormat="1" ht="30" customHeight="1">
      <c r="A51" s="112">
        <f t="shared" si="10"/>
        <v>47</v>
      </c>
      <c r="B51" s="19">
        <v>2099</v>
      </c>
      <c r="C51" s="127" t="s">
        <v>224</v>
      </c>
      <c r="D51" s="112">
        <v>20860000</v>
      </c>
      <c r="E51" s="112">
        <v>20860000</v>
      </c>
      <c r="F51" s="112">
        <f t="shared" si="16"/>
        <v>0</v>
      </c>
      <c r="G51" s="112">
        <v>20860000</v>
      </c>
      <c r="H51" s="112">
        <v>19209264</v>
      </c>
      <c r="I51" s="112">
        <v>0</v>
      </c>
      <c r="J51" s="112">
        <v>650483</v>
      </c>
      <c r="K51" s="112">
        <f t="shared" si="17"/>
        <v>650483</v>
      </c>
      <c r="L51" s="112">
        <f t="shared" si="23"/>
        <v>19859747</v>
      </c>
      <c r="M51" s="112">
        <f t="shared" si="15"/>
        <v>1000253</v>
      </c>
      <c r="N51" s="112"/>
      <c r="O51" s="112">
        <f t="shared" si="18"/>
        <v>0</v>
      </c>
      <c r="P51" s="112">
        <f t="shared" si="19"/>
        <v>1000253</v>
      </c>
      <c r="Q51" s="112"/>
      <c r="R51" s="112"/>
      <c r="S51" s="112">
        <f t="shared" si="22"/>
        <v>0</v>
      </c>
      <c r="T51" s="112">
        <f t="shared" si="20"/>
        <v>0</v>
      </c>
      <c r="U51" s="257">
        <f t="shared" si="21"/>
        <v>0</v>
      </c>
      <c r="V51" s="112">
        <f t="shared" si="14"/>
        <v>0</v>
      </c>
      <c r="W51" s="112"/>
      <c r="X51" s="112"/>
      <c r="Y51" s="112"/>
      <c r="Z51" s="112"/>
      <c r="AA51" s="127"/>
      <c r="AB51" s="222" t="s">
        <v>405</v>
      </c>
      <c r="AC51" s="127">
        <v>826000</v>
      </c>
      <c r="AD51" s="123"/>
      <c r="AE51" s="123"/>
      <c r="AF51" s="123"/>
      <c r="AG51" s="123"/>
      <c r="AH51" s="123"/>
      <c r="AI51" s="123"/>
      <c r="AJ51" s="123"/>
      <c r="AK51" s="505"/>
      <c r="AL51" s="505"/>
      <c r="AM51" s="505"/>
      <c r="AN51" s="505"/>
      <c r="AO51" s="505"/>
      <c r="AP51" s="505"/>
      <c r="AQ51" s="505"/>
      <c r="AR51" s="505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</row>
    <row r="52" spans="1:56" s="5" customFormat="1" ht="30" customHeight="1">
      <c r="A52" s="112">
        <f t="shared" si="10"/>
        <v>48</v>
      </c>
      <c r="B52" s="19">
        <v>2101</v>
      </c>
      <c r="C52" s="127" t="s">
        <v>1505</v>
      </c>
      <c r="D52" s="112">
        <v>24200000</v>
      </c>
      <c r="E52" s="112">
        <v>24200000</v>
      </c>
      <c r="F52" s="112">
        <f t="shared" si="16"/>
        <v>0</v>
      </c>
      <c r="G52" s="112">
        <v>9000000</v>
      </c>
      <c r="H52" s="112">
        <v>8486183</v>
      </c>
      <c r="I52" s="112">
        <v>0</v>
      </c>
      <c r="J52" s="112">
        <v>387993</v>
      </c>
      <c r="K52" s="112">
        <f t="shared" si="17"/>
        <v>387993</v>
      </c>
      <c r="L52" s="112">
        <f t="shared" si="23"/>
        <v>8874176</v>
      </c>
      <c r="M52" s="112">
        <f t="shared" si="15"/>
        <v>6325824</v>
      </c>
      <c r="N52" s="112">
        <f>9000000-2000000+2000000-2500000</f>
        <v>6500000</v>
      </c>
      <c r="O52" s="112">
        <f t="shared" si="18"/>
        <v>2500000</v>
      </c>
      <c r="P52" s="112">
        <f t="shared" si="19"/>
        <v>125824</v>
      </c>
      <c r="Q52" s="112">
        <v>6200000</v>
      </c>
      <c r="R52" s="112">
        <f>2000000-2000000</f>
        <v>0</v>
      </c>
      <c r="S52" s="112">
        <f t="shared" si="22"/>
        <v>6200000</v>
      </c>
      <c r="T52" s="112">
        <f t="shared" si="20"/>
        <v>0</v>
      </c>
      <c r="U52" s="257">
        <f t="shared" si="21"/>
        <v>6500000</v>
      </c>
      <c r="V52" s="112">
        <f t="shared" si="14"/>
        <v>6500000</v>
      </c>
      <c r="W52" s="112">
        <f>500000+20000+188000-500000-20000-188000</f>
        <v>0</v>
      </c>
      <c r="X52" s="112"/>
      <c r="Y52" s="112"/>
      <c r="Z52" s="112"/>
      <c r="AA52" s="112">
        <f>W52*0.7</f>
        <v>0</v>
      </c>
      <c r="AB52" s="222" t="s">
        <v>659</v>
      </c>
      <c r="AC52" s="127">
        <v>840000</v>
      </c>
      <c r="AD52" s="123"/>
      <c r="AE52" s="123"/>
      <c r="AF52" s="123"/>
      <c r="AG52" s="123"/>
      <c r="AH52" s="123"/>
      <c r="AI52" s="123"/>
      <c r="AJ52" s="123"/>
      <c r="AK52" s="505"/>
      <c r="AL52" s="505"/>
      <c r="AM52" s="505"/>
      <c r="AN52" s="505"/>
      <c r="AO52" s="505"/>
      <c r="AP52" s="505"/>
      <c r="AQ52" s="505"/>
      <c r="AR52" s="505"/>
      <c r="AS52" s="123"/>
      <c r="AT52" s="123"/>
      <c r="AU52" s="123"/>
      <c r="AV52" s="123"/>
      <c r="AW52" s="123"/>
      <c r="AX52" s="123"/>
      <c r="AY52" s="123"/>
      <c r="AZ52" s="126"/>
      <c r="BA52" s="126"/>
      <c r="BB52" s="126"/>
      <c r="BC52" s="126"/>
      <c r="BD52" s="126"/>
    </row>
    <row r="53" spans="1:56" s="5" customFormat="1" ht="30" customHeight="1">
      <c r="A53" s="112">
        <f t="shared" si="10"/>
        <v>49</v>
      </c>
      <c r="B53" s="19">
        <v>2106</v>
      </c>
      <c r="C53" s="3" t="s">
        <v>293</v>
      </c>
      <c r="D53" s="112">
        <v>15000000</v>
      </c>
      <c r="E53" s="112">
        <v>15000000</v>
      </c>
      <c r="F53" s="112">
        <f t="shared" si="16"/>
        <v>0</v>
      </c>
      <c r="G53" s="112">
        <v>4500000</v>
      </c>
      <c r="H53" s="112">
        <v>2372361</v>
      </c>
      <c r="I53" s="112">
        <v>0</v>
      </c>
      <c r="J53" s="112">
        <v>1394548</v>
      </c>
      <c r="K53" s="112">
        <f t="shared" si="17"/>
        <v>1394548</v>
      </c>
      <c r="L53" s="112">
        <f t="shared" si="23"/>
        <v>3766909</v>
      </c>
      <c r="M53" s="112">
        <f t="shared" si="15"/>
        <v>733091</v>
      </c>
      <c r="N53" s="112"/>
      <c r="O53" s="112">
        <f t="shared" si="18"/>
        <v>10500000</v>
      </c>
      <c r="P53" s="112">
        <f t="shared" si="19"/>
        <v>733091</v>
      </c>
      <c r="Q53" s="112"/>
      <c r="R53" s="112"/>
      <c r="S53" s="112">
        <f t="shared" si="22"/>
        <v>0</v>
      </c>
      <c r="T53" s="112">
        <f t="shared" si="20"/>
        <v>0</v>
      </c>
      <c r="U53" s="257">
        <f t="shared" si="21"/>
        <v>0</v>
      </c>
      <c r="V53" s="112">
        <f t="shared" si="14"/>
        <v>0</v>
      </c>
      <c r="W53" s="112"/>
      <c r="X53" s="112"/>
      <c r="Y53" s="112"/>
      <c r="Z53" s="112"/>
      <c r="AA53" s="127"/>
      <c r="AB53" s="213" t="s">
        <v>394</v>
      </c>
      <c r="AC53" s="3">
        <v>742000</v>
      </c>
      <c r="AD53" s="123"/>
      <c r="AE53" s="123"/>
      <c r="AF53" s="123"/>
      <c r="AG53" s="123"/>
      <c r="AH53" s="123"/>
      <c r="AI53" s="123"/>
      <c r="AJ53" s="123"/>
      <c r="AK53" s="505"/>
      <c r="AL53" s="505"/>
      <c r="AM53" s="505"/>
      <c r="AN53" s="505"/>
      <c r="AO53" s="505"/>
      <c r="AP53" s="505"/>
      <c r="AQ53" s="505"/>
      <c r="AR53" s="505"/>
      <c r="AS53" s="123"/>
      <c r="AT53" s="123"/>
      <c r="AU53" s="123"/>
      <c r="AV53" s="123"/>
      <c r="AW53" s="123"/>
      <c r="AX53" s="123"/>
      <c r="AY53" s="123"/>
    </row>
    <row r="54" spans="1:56" s="5" customFormat="1" ht="30" customHeight="1">
      <c r="A54" s="112">
        <f t="shared" si="10"/>
        <v>50</v>
      </c>
      <c r="B54" s="19">
        <v>2109</v>
      </c>
      <c r="C54" s="3" t="s">
        <v>211</v>
      </c>
      <c r="D54" s="112">
        <v>7500000</v>
      </c>
      <c r="E54" s="112">
        <v>7500000</v>
      </c>
      <c r="F54" s="112">
        <f t="shared" si="16"/>
        <v>0</v>
      </c>
      <c r="G54" s="112">
        <v>850000</v>
      </c>
      <c r="H54" s="112">
        <v>165227</v>
      </c>
      <c r="I54" s="112">
        <v>0</v>
      </c>
      <c r="J54" s="112">
        <v>55973</v>
      </c>
      <c r="K54" s="112">
        <f t="shared" si="17"/>
        <v>55973</v>
      </c>
      <c r="L54" s="112">
        <f t="shared" si="23"/>
        <v>221200</v>
      </c>
      <c r="M54" s="112">
        <f t="shared" si="15"/>
        <v>628800</v>
      </c>
      <c r="N54" s="112">
        <f>6650000-6650000</f>
        <v>0</v>
      </c>
      <c r="O54" s="112">
        <f t="shared" si="18"/>
        <v>6650000</v>
      </c>
      <c r="P54" s="112">
        <f t="shared" si="19"/>
        <v>628800</v>
      </c>
      <c r="Q54" s="112"/>
      <c r="R54" s="112"/>
      <c r="S54" s="112">
        <f t="shared" si="22"/>
        <v>0</v>
      </c>
      <c r="T54" s="112">
        <f t="shared" si="20"/>
        <v>0</v>
      </c>
      <c r="U54" s="257">
        <f t="shared" si="21"/>
        <v>0</v>
      </c>
      <c r="V54" s="112">
        <f t="shared" si="14"/>
        <v>0</v>
      </c>
      <c r="W54" s="112"/>
      <c r="X54" s="112"/>
      <c r="Y54" s="112"/>
      <c r="Z54" s="112"/>
      <c r="AA54" s="127"/>
      <c r="AB54" s="3" t="s">
        <v>1456</v>
      </c>
      <c r="AC54" s="3">
        <v>742000</v>
      </c>
      <c r="AD54" s="123"/>
      <c r="AE54" s="123"/>
      <c r="AF54" s="123"/>
      <c r="AG54" s="123"/>
      <c r="AH54" s="123"/>
      <c r="AI54" s="123"/>
      <c r="AJ54" s="123"/>
      <c r="AK54" s="505"/>
      <c r="AL54" s="505"/>
      <c r="AM54" s="505"/>
      <c r="AN54" s="505"/>
      <c r="AO54" s="505"/>
      <c r="AP54" s="505"/>
      <c r="AQ54" s="505"/>
      <c r="AR54" s="505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</row>
    <row r="55" spans="1:56" s="148" customFormat="1" ht="30" customHeight="1">
      <c r="A55" s="112">
        <f t="shared" si="10"/>
        <v>51</v>
      </c>
      <c r="B55" s="19">
        <v>2111</v>
      </c>
      <c r="C55" s="3" t="s">
        <v>212</v>
      </c>
      <c r="D55" s="112">
        <v>15200000</v>
      </c>
      <c r="E55" s="112">
        <v>15200000</v>
      </c>
      <c r="F55" s="112">
        <f t="shared" si="16"/>
        <v>0</v>
      </c>
      <c r="G55" s="112">
        <v>0</v>
      </c>
      <c r="H55" s="112">
        <v>0</v>
      </c>
      <c r="I55" s="112">
        <v>0</v>
      </c>
      <c r="J55" s="112">
        <v>0</v>
      </c>
      <c r="K55" s="112">
        <f t="shared" si="17"/>
        <v>0</v>
      </c>
      <c r="L55" s="112">
        <f t="shared" si="23"/>
        <v>0</v>
      </c>
      <c r="M55" s="112">
        <f t="shared" si="15"/>
        <v>0</v>
      </c>
      <c r="N55" s="112">
        <f>7500000-4500000-1500000</f>
        <v>1500000</v>
      </c>
      <c r="O55" s="112">
        <f t="shared" si="18"/>
        <v>13700000</v>
      </c>
      <c r="P55" s="112">
        <f t="shared" si="19"/>
        <v>0</v>
      </c>
      <c r="Q55" s="112"/>
      <c r="R55" s="112"/>
      <c r="S55" s="112">
        <f t="shared" si="22"/>
        <v>0</v>
      </c>
      <c r="T55" s="112">
        <f t="shared" si="20"/>
        <v>0</v>
      </c>
      <c r="U55" s="257">
        <f t="shared" si="21"/>
        <v>1500000</v>
      </c>
      <c r="V55" s="112">
        <f t="shared" si="14"/>
        <v>1500000</v>
      </c>
      <c r="W55" s="112"/>
      <c r="X55" s="112"/>
      <c r="Y55" s="112"/>
      <c r="Z55" s="112"/>
      <c r="AA55" s="127"/>
      <c r="AB55" s="202" t="s">
        <v>828</v>
      </c>
      <c r="AC55" s="3">
        <v>742000</v>
      </c>
      <c r="AD55" s="123"/>
      <c r="AE55" s="123"/>
      <c r="AF55" s="123"/>
      <c r="AG55" s="123"/>
      <c r="AH55" s="123"/>
      <c r="AI55" s="123"/>
      <c r="AJ55" s="123"/>
      <c r="AK55" s="505"/>
      <c r="AL55" s="505"/>
      <c r="AM55" s="505"/>
      <c r="AN55" s="505"/>
      <c r="AO55" s="505"/>
      <c r="AP55" s="505"/>
      <c r="AQ55" s="505"/>
      <c r="AR55" s="505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</row>
    <row r="56" spans="1:56" s="5" customFormat="1" ht="30" customHeight="1">
      <c r="A56" s="112">
        <f t="shared" si="10"/>
        <v>52</v>
      </c>
      <c r="B56" s="19">
        <v>2115</v>
      </c>
      <c r="C56" s="3" t="s">
        <v>214</v>
      </c>
      <c r="D56" s="112">
        <f>3700000+1000000</f>
        <v>4700000</v>
      </c>
      <c r="E56" s="112">
        <v>3700000</v>
      </c>
      <c r="F56" s="112">
        <f t="shared" si="16"/>
        <v>1000000</v>
      </c>
      <c r="G56" s="112">
        <v>2600000</v>
      </c>
      <c r="H56" s="112">
        <v>2581220</v>
      </c>
      <c r="I56" s="112">
        <v>0</v>
      </c>
      <c r="J56" s="112">
        <v>13880</v>
      </c>
      <c r="K56" s="112">
        <f t="shared" si="17"/>
        <v>13880</v>
      </c>
      <c r="L56" s="112">
        <f t="shared" si="23"/>
        <v>2595100</v>
      </c>
      <c r="M56" s="112">
        <f t="shared" si="15"/>
        <v>804900</v>
      </c>
      <c r="N56" s="112">
        <f>1000000-500000-200000</f>
        <v>300000</v>
      </c>
      <c r="O56" s="112">
        <f t="shared" si="18"/>
        <v>1000000</v>
      </c>
      <c r="P56" s="112">
        <f t="shared" si="19"/>
        <v>4900</v>
      </c>
      <c r="Q56" s="112">
        <v>800000</v>
      </c>
      <c r="R56" s="112"/>
      <c r="S56" s="112">
        <f t="shared" si="22"/>
        <v>800000</v>
      </c>
      <c r="T56" s="112">
        <f t="shared" si="20"/>
        <v>0</v>
      </c>
      <c r="U56" s="257">
        <f t="shared" si="21"/>
        <v>300000</v>
      </c>
      <c r="V56" s="112">
        <f t="shared" si="14"/>
        <v>300000</v>
      </c>
      <c r="W56" s="112"/>
      <c r="X56" s="112"/>
      <c r="Y56" s="112"/>
      <c r="Z56" s="112"/>
      <c r="AA56" s="127"/>
      <c r="AB56" s="3" t="s">
        <v>1258</v>
      </c>
      <c r="AC56" s="3">
        <v>732000</v>
      </c>
      <c r="AD56" s="123"/>
      <c r="AE56" s="123"/>
      <c r="AF56" s="123"/>
      <c r="AG56" s="123"/>
      <c r="AH56" s="123"/>
      <c r="AI56" s="123"/>
      <c r="AJ56" s="123"/>
      <c r="AK56" s="505"/>
      <c r="AL56" s="505"/>
      <c r="AM56" s="505"/>
      <c r="AN56" s="505"/>
      <c r="AO56" s="505"/>
      <c r="AP56" s="505"/>
      <c r="AQ56" s="505"/>
      <c r="AR56" s="505"/>
      <c r="AS56" s="123"/>
      <c r="AT56" s="123"/>
      <c r="AU56" s="123"/>
      <c r="AV56" s="123"/>
      <c r="AW56" s="123"/>
      <c r="AX56" s="123"/>
      <c r="AY56" s="123"/>
    </row>
    <row r="57" spans="1:56" s="5" customFormat="1" ht="30" customHeight="1">
      <c r="A57" s="112">
        <f t="shared" si="10"/>
        <v>53</v>
      </c>
      <c r="B57" s="19">
        <v>2118</v>
      </c>
      <c r="C57" s="3" t="s">
        <v>215</v>
      </c>
      <c r="D57" s="112">
        <v>2600000</v>
      </c>
      <c r="E57" s="112">
        <v>2600000</v>
      </c>
      <c r="F57" s="112">
        <f t="shared" si="16"/>
        <v>0</v>
      </c>
      <c r="G57" s="112">
        <v>2600000</v>
      </c>
      <c r="H57" s="112">
        <v>2230961</v>
      </c>
      <c r="I57" s="112">
        <v>0</v>
      </c>
      <c r="J57" s="112">
        <v>64143</v>
      </c>
      <c r="K57" s="112">
        <f t="shared" si="17"/>
        <v>64143</v>
      </c>
      <c r="L57" s="112">
        <f t="shared" si="23"/>
        <v>2295104</v>
      </c>
      <c r="M57" s="112">
        <f t="shared" si="15"/>
        <v>304896</v>
      </c>
      <c r="N57" s="112"/>
      <c r="O57" s="112">
        <f t="shared" si="18"/>
        <v>0</v>
      </c>
      <c r="P57" s="112">
        <f t="shared" si="19"/>
        <v>304896</v>
      </c>
      <c r="Q57" s="112"/>
      <c r="R57" s="112"/>
      <c r="S57" s="112">
        <f t="shared" si="22"/>
        <v>0</v>
      </c>
      <c r="T57" s="112">
        <f t="shared" si="20"/>
        <v>0</v>
      </c>
      <c r="U57" s="257">
        <f t="shared" si="21"/>
        <v>0</v>
      </c>
      <c r="V57" s="112">
        <f t="shared" si="14"/>
        <v>0</v>
      </c>
      <c r="W57" s="112"/>
      <c r="X57" s="112"/>
      <c r="Y57" s="112"/>
      <c r="Z57" s="112"/>
      <c r="AA57" s="127"/>
      <c r="AB57" s="203" t="s">
        <v>679</v>
      </c>
      <c r="AC57" s="3">
        <v>746000</v>
      </c>
      <c r="AD57" s="123"/>
      <c r="AE57" s="123"/>
      <c r="AF57" s="123"/>
      <c r="AG57" s="123"/>
      <c r="AH57" s="123"/>
      <c r="AI57" s="123"/>
      <c r="AJ57" s="123"/>
      <c r="AK57" s="505"/>
      <c r="AL57" s="505"/>
      <c r="AM57" s="505"/>
      <c r="AN57" s="505"/>
      <c r="AO57" s="505"/>
      <c r="AP57" s="505"/>
      <c r="AQ57" s="505"/>
      <c r="AR57" s="505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</row>
    <row r="58" spans="1:56" s="5" customFormat="1" ht="30" customHeight="1">
      <c r="A58" s="112">
        <f t="shared" si="10"/>
        <v>54</v>
      </c>
      <c r="B58" s="19">
        <v>2119</v>
      </c>
      <c r="C58" s="3" t="s">
        <v>216</v>
      </c>
      <c r="D58" s="112">
        <f>6000000+2000000</f>
        <v>8000000</v>
      </c>
      <c r="E58" s="112">
        <v>6000000</v>
      </c>
      <c r="F58" s="112">
        <f t="shared" si="16"/>
        <v>2000000</v>
      </c>
      <c r="G58" s="112">
        <v>6000000</v>
      </c>
      <c r="H58" s="112">
        <v>3709565</v>
      </c>
      <c r="I58" s="112">
        <v>0</v>
      </c>
      <c r="J58" s="112">
        <v>240449</v>
      </c>
      <c r="K58" s="112">
        <f t="shared" si="17"/>
        <v>240449</v>
      </c>
      <c r="L58" s="112">
        <f t="shared" si="23"/>
        <v>3950014</v>
      </c>
      <c r="M58" s="112">
        <f t="shared" si="15"/>
        <v>2049986</v>
      </c>
      <c r="N58" s="112">
        <v>2000000</v>
      </c>
      <c r="O58" s="112">
        <f t="shared" si="18"/>
        <v>0</v>
      </c>
      <c r="P58" s="112">
        <f t="shared" si="19"/>
        <v>2049986</v>
      </c>
      <c r="Q58" s="112"/>
      <c r="R58" s="112"/>
      <c r="S58" s="112">
        <f t="shared" si="22"/>
        <v>0</v>
      </c>
      <c r="T58" s="112">
        <f t="shared" si="20"/>
        <v>0</v>
      </c>
      <c r="U58" s="257">
        <f t="shared" si="21"/>
        <v>2000000</v>
      </c>
      <c r="V58" s="112">
        <f t="shared" si="14"/>
        <v>2000000</v>
      </c>
      <c r="W58" s="112"/>
      <c r="X58" s="112"/>
      <c r="Y58" s="112"/>
      <c r="Z58" s="112"/>
      <c r="AA58" s="127"/>
      <c r="AB58" s="3" t="s">
        <v>217</v>
      </c>
      <c r="AC58" s="3">
        <v>742000</v>
      </c>
      <c r="AD58" s="123"/>
      <c r="AE58" s="123"/>
      <c r="AF58" s="123"/>
      <c r="AG58" s="123"/>
      <c r="AH58" s="123"/>
      <c r="AI58" s="123"/>
      <c r="AJ58" s="123"/>
      <c r="AK58" s="505"/>
      <c r="AL58" s="505"/>
      <c r="AM58" s="505"/>
      <c r="AN58" s="505"/>
      <c r="AO58" s="505"/>
      <c r="AP58" s="505"/>
      <c r="AQ58" s="505"/>
      <c r="AR58" s="505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</row>
    <row r="59" spans="1:56" s="5" customFormat="1" ht="30" customHeight="1">
      <c r="A59" s="112">
        <f t="shared" si="10"/>
        <v>55</v>
      </c>
      <c r="B59" s="19">
        <v>2127</v>
      </c>
      <c r="C59" s="3" t="s">
        <v>304</v>
      </c>
      <c r="D59" s="112">
        <v>2259000</v>
      </c>
      <c r="E59" s="112">
        <v>2259000</v>
      </c>
      <c r="F59" s="112">
        <f t="shared" si="16"/>
        <v>0</v>
      </c>
      <c r="G59" s="112">
        <v>1659000</v>
      </c>
      <c r="H59" s="112">
        <v>762628</v>
      </c>
      <c r="I59" s="112">
        <v>0</v>
      </c>
      <c r="J59" s="112">
        <v>530575</v>
      </c>
      <c r="K59" s="112">
        <f t="shared" si="17"/>
        <v>530575</v>
      </c>
      <c r="L59" s="112">
        <f t="shared" si="23"/>
        <v>1293203</v>
      </c>
      <c r="M59" s="112">
        <f t="shared" si="15"/>
        <v>365797</v>
      </c>
      <c r="N59" s="112">
        <f>600000-300000</f>
        <v>300000</v>
      </c>
      <c r="O59" s="112">
        <f t="shared" si="18"/>
        <v>300000</v>
      </c>
      <c r="P59" s="112">
        <f t="shared" si="19"/>
        <v>365797</v>
      </c>
      <c r="Q59" s="112"/>
      <c r="R59" s="112"/>
      <c r="S59" s="112">
        <f t="shared" si="22"/>
        <v>0</v>
      </c>
      <c r="T59" s="112">
        <f t="shared" si="20"/>
        <v>0</v>
      </c>
      <c r="U59" s="257">
        <f t="shared" si="21"/>
        <v>300000</v>
      </c>
      <c r="V59" s="112">
        <f t="shared" si="14"/>
        <v>300000</v>
      </c>
      <c r="W59" s="112"/>
      <c r="X59" s="112"/>
      <c r="Y59" s="112"/>
      <c r="Z59" s="112"/>
      <c r="AA59" s="127"/>
      <c r="AB59" s="3" t="s">
        <v>525</v>
      </c>
      <c r="AC59" s="3">
        <v>747000</v>
      </c>
      <c r="AD59" s="123"/>
      <c r="AE59" s="123"/>
      <c r="AF59" s="123"/>
      <c r="AG59" s="123"/>
      <c r="AH59" s="123"/>
      <c r="AI59" s="123"/>
      <c r="AJ59" s="123"/>
      <c r="AK59" s="505"/>
      <c r="AL59" s="505"/>
      <c r="AM59" s="505"/>
      <c r="AN59" s="505"/>
      <c r="AO59" s="505"/>
      <c r="AP59" s="505"/>
      <c r="AQ59" s="505"/>
      <c r="AR59" s="505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</row>
    <row r="60" spans="1:56" s="5" customFormat="1" ht="55.5" customHeight="1">
      <c r="A60" s="112">
        <f t="shared" si="10"/>
        <v>56</v>
      </c>
      <c r="B60" s="19">
        <v>2149</v>
      </c>
      <c r="C60" s="19" t="s">
        <v>829</v>
      </c>
      <c r="D60" s="112">
        <v>2500000</v>
      </c>
      <c r="E60" s="112">
        <v>2500000</v>
      </c>
      <c r="F60" s="112">
        <f t="shared" si="16"/>
        <v>0</v>
      </c>
      <c r="G60" s="112">
        <v>1700000</v>
      </c>
      <c r="H60" s="112">
        <v>1392356</v>
      </c>
      <c r="I60" s="112">
        <v>0</v>
      </c>
      <c r="J60" s="112">
        <v>88157</v>
      </c>
      <c r="K60" s="112">
        <f t="shared" si="17"/>
        <v>88157</v>
      </c>
      <c r="L60" s="112">
        <f t="shared" si="23"/>
        <v>1480513</v>
      </c>
      <c r="M60" s="112">
        <f t="shared" ref="M60:M91" si="24">P60+S60</f>
        <v>819487</v>
      </c>
      <c r="N60" s="112">
        <v>200000</v>
      </c>
      <c r="O60" s="112">
        <f t="shared" si="18"/>
        <v>0</v>
      </c>
      <c r="P60" s="112">
        <f t="shared" si="19"/>
        <v>219487</v>
      </c>
      <c r="Q60" s="112">
        <v>600000</v>
      </c>
      <c r="R60" s="112"/>
      <c r="S60" s="112">
        <f t="shared" si="22"/>
        <v>600000</v>
      </c>
      <c r="T60" s="112">
        <f t="shared" si="20"/>
        <v>0</v>
      </c>
      <c r="U60" s="257">
        <f t="shared" si="21"/>
        <v>200000</v>
      </c>
      <c r="V60" s="112">
        <f t="shared" si="14"/>
        <v>200000</v>
      </c>
      <c r="W60" s="112"/>
      <c r="X60" s="112"/>
      <c r="Y60" s="112"/>
      <c r="Z60" s="112"/>
      <c r="AA60" s="127"/>
      <c r="AB60" s="3" t="s">
        <v>1508</v>
      </c>
      <c r="AC60" s="3">
        <v>810000</v>
      </c>
      <c r="AD60" s="123"/>
      <c r="AE60" s="123"/>
      <c r="AF60" s="123"/>
      <c r="AG60" s="123"/>
      <c r="AH60" s="123"/>
      <c r="AI60" s="123"/>
      <c r="AJ60" s="123"/>
      <c r="AK60" s="505"/>
      <c r="AL60" s="505"/>
      <c r="AM60" s="505"/>
      <c r="AN60" s="505"/>
      <c r="AO60" s="505"/>
      <c r="AP60" s="505"/>
      <c r="AQ60" s="505"/>
      <c r="AR60" s="505"/>
      <c r="AS60" s="123"/>
      <c r="AT60" s="123"/>
      <c r="AU60" s="123"/>
      <c r="AV60" s="123"/>
      <c r="AW60" s="123"/>
      <c r="AX60" s="123"/>
      <c r="AY60" s="123"/>
      <c r="AZ60" s="148"/>
      <c r="BA60" s="148"/>
      <c r="BB60" s="148"/>
      <c r="BC60" s="148"/>
      <c r="BD60" s="148"/>
    </row>
    <row r="61" spans="1:56" s="5" customFormat="1" ht="30" customHeight="1">
      <c r="A61" s="112">
        <f t="shared" si="10"/>
        <v>57</v>
      </c>
      <c r="B61" s="19">
        <v>2150</v>
      </c>
      <c r="C61" s="19" t="s">
        <v>410</v>
      </c>
      <c r="D61" s="112">
        <v>23500000</v>
      </c>
      <c r="E61" s="112">
        <v>23500000</v>
      </c>
      <c r="F61" s="112">
        <f t="shared" si="16"/>
        <v>0</v>
      </c>
      <c r="G61" s="112">
        <v>13950000</v>
      </c>
      <c r="H61" s="112">
        <v>11935396</v>
      </c>
      <c r="I61" s="112">
        <v>0</v>
      </c>
      <c r="J61" s="112">
        <v>0</v>
      </c>
      <c r="K61" s="112">
        <f t="shared" si="17"/>
        <v>0</v>
      </c>
      <c r="L61" s="112">
        <f t="shared" si="23"/>
        <v>11935396</v>
      </c>
      <c r="M61" s="112">
        <f t="shared" si="24"/>
        <v>2014604</v>
      </c>
      <c r="N61" s="112"/>
      <c r="O61" s="112">
        <f t="shared" si="18"/>
        <v>9550000</v>
      </c>
      <c r="P61" s="112">
        <f t="shared" si="19"/>
        <v>2014604</v>
      </c>
      <c r="Q61" s="112"/>
      <c r="R61" s="112"/>
      <c r="S61" s="112">
        <f t="shared" si="22"/>
        <v>0</v>
      </c>
      <c r="T61" s="112">
        <f t="shared" si="20"/>
        <v>0</v>
      </c>
      <c r="U61" s="257">
        <f t="shared" si="21"/>
        <v>0</v>
      </c>
      <c r="V61" s="112">
        <f t="shared" si="14"/>
        <v>0</v>
      </c>
      <c r="W61" s="112"/>
      <c r="X61" s="112"/>
      <c r="Y61" s="112"/>
      <c r="Z61" s="112"/>
      <c r="AA61" s="127"/>
      <c r="AB61" s="19" t="s">
        <v>1481</v>
      </c>
      <c r="AC61" s="3">
        <v>746000</v>
      </c>
      <c r="AD61" s="123"/>
      <c r="AE61" s="123"/>
      <c r="AF61" s="123"/>
      <c r="AG61" s="123"/>
      <c r="AH61" s="123"/>
      <c r="AI61" s="123"/>
      <c r="AJ61" s="123"/>
      <c r="AK61" s="505"/>
      <c r="AL61" s="505"/>
      <c r="AM61" s="505"/>
      <c r="AN61" s="505"/>
      <c r="AO61" s="505"/>
      <c r="AP61" s="505"/>
      <c r="AQ61" s="505"/>
      <c r="AR61" s="505"/>
      <c r="AS61" s="123"/>
      <c r="AT61" s="123"/>
      <c r="AU61" s="123"/>
      <c r="AV61" s="123"/>
      <c r="AW61" s="123"/>
      <c r="AX61" s="123"/>
      <c r="AY61" s="123"/>
    </row>
    <row r="62" spans="1:56" s="5" customFormat="1" ht="30" customHeight="1">
      <c r="A62" s="112">
        <f t="shared" si="10"/>
        <v>58</v>
      </c>
      <c r="B62" s="19">
        <v>2151</v>
      </c>
      <c r="C62" s="3" t="s">
        <v>311</v>
      </c>
      <c r="D62" s="112">
        <v>54000000</v>
      </c>
      <c r="E62" s="112">
        <v>54000000</v>
      </c>
      <c r="F62" s="112">
        <f t="shared" si="16"/>
        <v>0</v>
      </c>
      <c r="G62" s="112">
        <v>9200000</v>
      </c>
      <c r="H62" s="112">
        <v>8382338</v>
      </c>
      <c r="I62" s="112">
        <v>0</v>
      </c>
      <c r="J62" s="112">
        <v>816302</v>
      </c>
      <c r="K62" s="112">
        <f t="shared" si="17"/>
        <v>816302</v>
      </c>
      <c r="L62" s="112">
        <f t="shared" si="23"/>
        <v>9198640</v>
      </c>
      <c r="M62" s="112">
        <f t="shared" si="24"/>
        <v>6801360</v>
      </c>
      <c r="N62" s="112">
        <f>45500000-6500000-2000000+1000000-7000000-5000000-9000000</f>
        <v>17000000</v>
      </c>
      <c r="O62" s="112">
        <f t="shared" si="18"/>
        <v>21000000</v>
      </c>
      <c r="P62" s="112">
        <f t="shared" si="19"/>
        <v>1360</v>
      </c>
      <c r="Q62" s="112">
        <v>1800000</v>
      </c>
      <c r="R62" s="112">
        <f>4000000+2000000-1000000</f>
        <v>5000000</v>
      </c>
      <c r="S62" s="112">
        <f t="shared" si="22"/>
        <v>6800000</v>
      </c>
      <c r="T62" s="112">
        <f t="shared" si="20"/>
        <v>0</v>
      </c>
      <c r="U62" s="257">
        <f t="shared" si="21"/>
        <v>17000000</v>
      </c>
      <c r="V62" s="112">
        <f t="shared" si="14"/>
        <v>17000000</v>
      </c>
      <c r="W62" s="112"/>
      <c r="X62" s="112"/>
      <c r="Y62" s="112"/>
      <c r="Z62" s="112"/>
      <c r="AA62" s="127"/>
      <c r="AB62" s="19" t="s">
        <v>508</v>
      </c>
      <c r="AC62" s="3">
        <v>742000</v>
      </c>
      <c r="AD62" s="123"/>
      <c r="AE62" s="123"/>
      <c r="AF62" s="123"/>
      <c r="AG62" s="123"/>
      <c r="AH62" s="123"/>
      <c r="AI62" s="123"/>
      <c r="AJ62" s="123"/>
      <c r="AK62" s="505"/>
      <c r="AL62" s="505"/>
      <c r="AM62" s="505"/>
      <c r="AN62" s="505"/>
      <c r="AO62" s="505"/>
      <c r="AP62" s="505"/>
      <c r="AQ62" s="505"/>
      <c r="AR62" s="505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</row>
    <row r="63" spans="1:56" s="5" customFormat="1" ht="30" customHeight="1">
      <c r="A63" s="112">
        <f t="shared" si="10"/>
        <v>59</v>
      </c>
      <c r="B63" s="19">
        <v>2152</v>
      </c>
      <c r="C63" s="3" t="s">
        <v>312</v>
      </c>
      <c r="D63" s="112">
        <f>16000000+11600000</f>
        <v>27600000</v>
      </c>
      <c r="E63" s="112">
        <v>16000000</v>
      </c>
      <c r="F63" s="112">
        <f t="shared" si="16"/>
        <v>11600000</v>
      </c>
      <c r="G63" s="112">
        <v>1331810</v>
      </c>
      <c r="H63" s="112">
        <v>1320807</v>
      </c>
      <c r="I63" s="112">
        <v>0</v>
      </c>
      <c r="J63" s="112">
        <v>10450</v>
      </c>
      <c r="K63" s="112">
        <f t="shared" si="17"/>
        <v>10450</v>
      </c>
      <c r="L63" s="112">
        <f t="shared" si="23"/>
        <v>1331257</v>
      </c>
      <c r="M63" s="112">
        <f t="shared" si="24"/>
        <v>553</v>
      </c>
      <c r="N63" s="112">
        <f>15000000-14700000</f>
        <v>300000</v>
      </c>
      <c r="O63" s="112">
        <f t="shared" si="18"/>
        <v>25968190</v>
      </c>
      <c r="P63" s="112">
        <f t="shared" si="19"/>
        <v>553</v>
      </c>
      <c r="Q63" s="112"/>
      <c r="R63" s="112"/>
      <c r="S63" s="112">
        <f t="shared" si="22"/>
        <v>0</v>
      </c>
      <c r="T63" s="112">
        <f t="shared" si="20"/>
        <v>0</v>
      </c>
      <c r="U63" s="257">
        <f t="shared" si="21"/>
        <v>300000</v>
      </c>
      <c r="V63" s="112">
        <f t="shared" si="14"/>
        <v>300000</v>
      </c>
      <c r="W63" s="112"/>
      <c r="X63" s="112"/>
      <c r="Y63" s="112"/>
      <c r="Z63" s="112"/>
      <c r="AA63" s="127"/>
      <c r="AB63" s="19" t="s">
        <v>830</v>
      </c>
      <c r="AC63" s="3">
        <v>810000</v>
      </c>
      <c r="AD63" s="123"/>
      <c r="AE63" s="123"/>
      <c r="AF63" s="123"/>
      <c r="AG63" s="123"/>
      <c r="AH63" s="123"/>
      <c r="AI63" s="123"/>
      <c r="AJ63" s="123"/>
      <c r="AK63" s="505"/>
      <c r="AL63" s="505"/>
      <c r="AM63" s="505"/>
      <c r="AN63" s="505"/>
      <c r="AO63" s="505"/>
      <c r="AP63" s="505"/>
      <c r="AQ63" s="505"/>
      <c r="AR63" s="505"/>
      <c r="AS63" s="123"/>
      <c r="AT63" s="123"/>
      <c r="AU63" s="123"/>
      <c r="AV63" s="123"/>
      <c r="AW63" s="123"/>
      <c r="AX63" s="123"/>
      <c r="AY63" s="123"/>
      <c r="AZ63" s="6"/>
      <c r="BA63" s="6"/>
      <c r="BB63" s="6"/>
      <c r="BC63" s="6"/>
      <c r="BD63" s="6"/>
    </row>
    <row r="64" spans="1:56" s="5" customFormat="1" ht="30" customHeight="1">
      <c r="A64" s="112">
        <f t="shared" si="10"/>
        <v>60</v>
      </c>
      <c r="B64" s="19">
        <v>2153</v>
      </c>
      <c r="C64" s="3" t="s">
        <v>326</v>
      </c>
      <c r="D64" s="112">
        <v>225000000</v>
      </c>
      <c r="E64" s="112">
        <v>225000000</v>
      </c>
      <c r="F64" s="112">
        <f t="shared" si="16"/>
        <v>0</v>
      </c>
      <c r="G64" s="112">
        <v>3300000</v>
      </c>
      <c r="H64" s="112">
        <v>3279722</v>
      </c>
      <c r="I64" s="112">
        <v>0</v>
      </c>
      <c r="J64" s="112">
        <v>18198</v>
      </c>
      <c r="K64" s="112">
        <f t="shared" si="17"/>
        <v>18198</v>
      </c>
      <c r="L64" s="112">
        <f t="shared" si="23"/>
        <v>3297920</v>
      </c>
      <c r="M64" s="112">
        <f t="shared" si="24"/>
        <v>2080</v>
      </c>
      <c r="N64" s="112">
        <v>1000000</v>
      </c>
      <c r="O64" s="112">
        <f t="shared" si="18"/>
        <v>220700000</v>
      </c>
      <c r="P64" s="112">
        <f t="shared" si="19"/>
        <v>2080</v>
      </c>
      <c r="Q64" s="112"/>
      <c r="R64" s="112"/>
      <c r="S64" s="112">
        <f t="shared" si="22"/>
        <v>0</v>
      </c>
      <c r="T64" s="112">
        <f t="shared" si="20"/>
        <v>0</v>
      </c>
      <c r="U64" s="257">
        <f t="shared" si="21"/>
        <v>1000000</v>
      </c>
      <c r="V64" s="112">
        <f t="shared" si="14"/>
        <v>1000000</v>
      </c>
      <c r="W64" s="112"/>
      <c r="X64" s="112"/>
      <c r="Y64" s="112"/>
      <c r="Z64" s="112"/>
      <c r="AA64" s="127"/>
      <c r="AB64" s="19" t="s">
        <v>365</v>
      </c>
      <c r="AC64" s="3">
        <v>829000</v>
      </c>
      <c r="AD64" s="123"/>
      <c r="AE64" s="123"/>
      <c r="AF64" s="123"/>
      <c r="AG64" s="123"/>
      <c r="AH64" s="123"/>
      <c r="AI64" s="123"/>
      <c r="AJ64" s="123"/>
      <c r="AK64" s="505"/>
      <c r="AL64" s="505"/>
      <c r="AM64" s="505"/>
      <c r="AN64" s="505"/>
      <c r="AO64" s="505"/>
      <c r="AP64" s="505"/>
      <c r="AQ64" s="505"/>
      <c r="AR64" s="505"/>
      <c r="AS64" s="123"/>
      <c r="AT64" s="123"/>
      <c r="AU64" s="123"/>
      <c r="AV64" s="123"/>
      <c r="AW64" s="123"/>
      <c r="AX64" s="123"/>
      <c r="AY64" s="123"/>
    </row>
    <row r="65" spans="1:56" s="5" customFormat="1" ht="30" customHeight="1">
      <c r="A65" s="112">
        <f t="shared" si="10"/>
        <v>61</v>
      </c>
      <c r="B65" s="19">
        <v>2175</v>
      </c>
      <c r="C65" s="3" t="s">
        <v>337</v>
      </c>
      <c r="D65" s="112">
        <f>21000000-478088</f>
        <v>20521912</v>
      </c>
      <c r="E65" s="112">
        <v>21000000</v>
      </c>
      <c r="F65" s="112">
        <f t="shared" si="16"/>
        <v>-478088</v>
      </c>
      <c r="G65" s="112">
        <v>18945297</v>
      </c>
      <c r="H65" s="112">
        <v>18593055</v>
      </c>
      <c r="I65" s="112">
        <v>0</v>
      </c>
      <c r="J65" s="112">
        <v>144237</v>
      </c>
      <c r="K65" s="112">
        <f t="shared" si="17"/>
        <v>144237</v>
      </c>
      <c r="L65" s="112">
        <f t="shared" si="23"/>
        <v>18737292</v>
      </c>
      <c r="M65" s="112">
        <f t="shared" si="24"/>
        <v>1784620</v>
      </c>
      <c r="N65" s="112"/>
      <c r="O65" s="112">
        <f t="shared" si="18"/>
        <v>0</v>
      </c>
      <c r="P65" s="112">
        <f t="shared" si="19"/>
        <v>208005</v>
      </c>
      <c r="Q65" s="112">
        <f>88427+1488188</f>
        <v>1576615</v>
      </c>
      <c r="R65" s="112"/>
      <c r="S65" s="112">
        <f t="shared" si="22"/>
        <v>1576615</v>
      </c>
      <c r="T65" s="112">
        <f t="shared" si="20"/>
        <v>0</v>
      </c>
      <c r="U65" s="257">
        <f t="shared" si="21"/>
        <v>0</v>
      </c>
      <c r="V65" s="112">
        <f t="shared" si="14"/>
        <v>0</v>
      </c>
      <c r="W65" s="112"/>
      <c r="X65" s="112"/>
      <c r="Y65" s="112"/>
      <c r="Z65" s="112"/>
      <c r="AA65" s="112"/>
      <c r="AB65" s="3" t="s">
        <v>702</v>
      </c>
      <c r="AC65" s="3">
        <v>810000</v>
      </c>
      <c r="AD65" s="123"/>
      <c r="AE65" s="123"/>
      <c r="AF65" s="123"/>
      <c r="AG65" s="123"/>
      <c r="AH65" s="123"/>
      <c r="AI65" s="123"/>
      <c r="AJ65" s="123"/>
      <c r="AK65" s="505"/>
      <c r="AL65" s="505"/>
      <c r="AM65" s="505"/>
      <c r="AN65" s="505"/>
      <c r="AO65" s="505"/>
      <c r="AP65" s="505"/>
      <c r="AQ65" s="505"/>
      <c r="AR65" s="505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</row>
    <row r="66" spans="1:56" s="5" customFormat="1" ht="30" customHeight="1">
      <c r="A66" s="112">
        <f t="shared" si="10"/>
        <v>62</v>
      </c>
      <c r="B66" s="19">
        <v>2180</v>
      </c>
      <c r="C66" s="3" t="s">
        <v>338</v>
      </c>
      <c r="D66" s="112">
        <f>2600000</f>
        <v>2600000</v>
      </c>
      <c r="E66" s="112">
        <v>2600000</v>
      </c>
      <c r="F66" s="112">
        <f t="shared" si="16"/>
        <v>0</v>
      </c>
      <c r="G66" s="112">
        <v>1000000</v>
      </c>
      <c r="H66" s="112">
        <v>648959</v>
      </c>
      <c r="I66" s="112">
        <v>0</v>
      </c>
      <c r="J66" s="112">
        <v>81010</v>
      </c>
      <c r="K66" s="112">
        <f t="shared" si="17"/>
        <v>81010</v>
      </c>
      <c r="L66" s="112">
        <f t="shared" si="23"/>
        <v>729969</v>
      </c>
      <c r="M66" s="112">
        <f t="shared" si="24"/>
        <v>270031</v>
      </c>
      <c r="N66" s="112">
        <f>1600000-800000-300000</f>
        <v>500000</v>
      </c>
      <c r="O66" s="112">
        <f t="shared" si="18"/>
        <v>1100000</v>
      </c>
      <c r="P66" s="112">
        <f t="shared" si="19"/>
        <v>270031</v>
      </c>
      <c r="Q66" s="112"/>
      <c r="R66" s="112"/>
      <c r="S66" s="112">
        <f t="shared" si="22"/>
        <v>0</v>
      </c>
      <c r="T66" s="112">
        <f t="shared" si="20"/>
        <v>0</v>
      </c>
      <c r="U66" s="257">
        <f t="shared" si="21"/>
        <v>500000</v>
      </c>
      <c r="V66" s="112">
        <f t="shared" si="14"/>
        <v>500000</v>
      </c>
      <c r="W66" s="112"/>
      <c r="X66" s="112"/>
      <c r="Y66" s="112"/>
      <c r="Z66" s="112"/>
      <c r="AA66" s="127"/>
      <c r="AB66" s="3" t="s">
        <v>1229</v>
      </c>
      <c r="AC66" s="300">
        <v>732000</v>
      </c>
      <c r="AD66" s="123"/>
      <c r="AE66" s="123"/>
      <c r="AF66" s="123"/>
      <c r="AG66" s="123"/>
      <c r="AH66" s="123"/>
      <c r="AI66" s="123"/>
      <c r="AJ66" s="123"/>
      <c r="AK66" s="505"/>
      <c r="AL66" s="505"/>
      <c r="AM66" s="505"/>
      <c r="AN66" s="505"/>
      <c r="AO66" s="505"/>
      <c r="AP66" s="505"/>
      <c r="AQ66" s="505"/>
      <c r="AR66" s="505"/>
      <c r="AS66" s="123"/>
      <c r="AT66" s="123"/>
      <c r="AU66" s="123"/>
      <c r="AV66" s="123"/>
      <c r="AW66" s="123"/>
      <c r="AX66" s="123"/>
      <c r="AY66" s="123"/>
    </row>
    <row r="67" spans="1:56" s="5" customFormat="1" ht="30" customHeight="1">
      <c r="A67" s="112">
        <f t="shared" si="10"/>
        <v>63</v>
      </c>
      <c r="B67" s="19">
        <v>2182</v>
      </c>
      <c r="C67" s="3" t="s">
        <v>339</v>
      </c>
      <c r="D67" s="112">
        <v>3900000</v>
      </c>
      <c r="E67" s="112">
        <v>3900000</v>
      </c>
      <c r="F67" s="112">
        <f t="shared" si="16"/>
        <v>0</v>
      </c>
      <c r="G67" s="112">
        <v>2350000</v>
      </c>
      <c r="H67" s="112">
        <v>1658836</v>
      </c>
      <c r="I67" s="112">
        <v>0</v>
      </c>
      <c r="J67" s="112">
        <v>615471</v>
      </c>
      <c r="K67" s="112">
        <f t="shared" si="17"/>
        <v>615471</v>
      </c>
      <c r="L67" s="112">
        <f t="shared" si="23"/>
        <v>2274307</v>
      </c>
      <c r="M67" s="112">
        <f t="shared" si="24"/>
        <v>75693</v>
      </c>
      <c r="N67" s="112">
        <v>200000</v>
      </c>
      <c r="O67" s="112">
        <f t="shared" si="18"/>
        <v>1350000</v>
      </c>
      <c r="P67" s="112">
        <f t="shared" si="19"/>
        <v>75693</v>
      </c>
      <c r="Q67" s="112">
        <f>200000-200000</f>
        <v>0</v>
      </c>
      <c r="R67" s="112"/>
      <c r="S67" s="112">
        <f t="shared" si="22"/>
        <v>0</v>
      </c>
      <c r="T67" s="112">
        <f t="shared" si="20"/>
        <v>0</v>
      </c>
      <c r="U67" s="257">
        <f t="shared" si="21"/>
        <v>200000</v>
      </c>
      <c r="V67" s="112">
        <f t="shared" si="14"/>
        <v>200000</v>
      </c>
      <c r="W67" s="112"/>
      <c r="X67" s="112"/>
      <c r="Y67" s="112"/>
      <c r="Z67" s="112"/>
      <c r="AA67" s="127"/>
      <c r="AB67" s="3" t="s">
        <v>831</v>
      </c>
      <c r="AC67" s="3">
        <v>810000</v>
      </c>
      <c r="AD67" s="123"/>
      <c r="AE67" s="123"/>
      <c r="AF67" s="123"/>
      <c r="AG67" s="123"/>
      <c r="AH67" s="123"/>
      <c r="AI67" s="123"/>
      <c r="AJ67" s="123"/>
      <c r="AK67" s="505"/>
      <c r="AL67" s="505"/>
      <c r="AM67" s="505"/>
      <c r="AN67" s="505"/>
      <c r="AO67" s="505"/>
      <c r="AP67" s="505"/>
      <c r="AQ67" s="505"/>
      <c r="AR67" s="505"/>
      <c r="AS67" s="123"/>
      <c r="AT67" s="123"/>
      <c r="AU67" s="123"/>
      <c r="AV67" s="123"/>
      <c r="AW67" s="123"/>
      <c r="AX67" s="123"/>
      <c r="AY67" s="123"/>
    </row>
    <row r="68" spans="1:56" s="5" customFormat="1" ht="30" customHeight="1">
      <c r="A68" s="112">
        <f t="shared" si="10"/>
        <v>64</v>
      </c>
      <c r="B68" s="19">
        <v>2185</v>
      </c>
      <c r="C68" s="3" t="s">
        <v>340</v>
      </c>
      <c r="D68" s="112">
        <v>40000000</v>
      </c>
      <c r="E68" s="112">
        <v>40000000</v>
      </c>
      <c r="F68" s="112">
        <f t="shared" si="16"/>
        <v>0</v>
      </c>
      <c r="G68" s="112">
        <v>6387282</v>
      </c>
      <c r="H68" s="112">
        <v>4507524</v>
      </c>
      <c r="I68" s="112">
        <v>0</v>
      </c>
      <c r="J68" s="112">
        <v>1603498</v>
      </c>
      <c r="K68" s="112">
        <f t="shared" si="17"/>
        <v>1603498</v>
      </c>
      <c r="L68" s="112">
        <f t="shared" si="23"/>
        <v>6111022</v>
      </c>
      <c r="M68" s="112">
        <f t="shared" si="24"/>
        <v>2276260</v>
      </c>
      <c r="N68" s="112">
        <f>30598625-10000000-14000000-3891496</f>
        <v>2707129</v>
      </c>
      <c r="O68" s="112">
        <f t="shared" si="18"/>
        <v>28905589</v>
      </c>
      <c r="P68" s="112">
        <f t="shared" si="19"/>
        <v>276260</v>
      </c>
      <c r="Q68" s="112">
        <f>3014093-1014093</f>
        <v>2000000</v>
      </c>
      <c r="R68" s="112"/>
      <c r="S68" s="112">
        <f t="shared" si="22"/>
        <v>2000000</v>
      </c>
      <c r="T68" s="112">
        <f t="shared" si="20"/>
        <v>0</v>
      </c>
      <c r="U68" s="257">
        <f t="shared" si="21"/>
        <v>2707129</v>
      </c>
      <c r="V68" s="112">
        <f t="shared" si="14"/>
        <v>2707129</v>
      </c>
      <c r="W68" s="112"/>
      <c r="X68" s="112"/>
      <c r="Y68" s="112"/>
      <c r="Z68" s="112"/>
      <c r="AA68" s="112">
        <f>3891496-3891496</f>
        <v>0</v>
      </c>
      <c r="AB68" s="3" t="s">
        <v>1509</v>
      </c>
      <c r="AC68" s="3">
        <v>810000</v>
      </c>
      <c r="AD68" s="123"/>
      <c r="AE68" s="123"/>
      <c r="AF68" s="123"/>
      <c r="AG68" s="123"/>
      <c r="AH68" s="123"/>
      <c r="AI68" s="123"/>
      <c r="AJ68" s="123"/>
      <c r="AK68" s="505"/>
      <c r="AL68" s="505"/>
      <c r="AM68" s="505"/>
      <c r="AN68" s="505"/>
      <c r="AO68" s="505"/>
      <c r="AP68" s="505"/>
      <c r="AQ68" s="505"/>
      <c r="AR68" s="505"/>
      <c r="AS68" s="123"/>
      <c r="AT68" s="123"/>
      <c r="AU68" s="123"/>
      <c r="AV68" s="123"/>
      <c r="AW68" s="123"/>
      <c r="AX68" s="123"/>
      <c r="AY68" s="123"/>
      <c r="AZ68" s="131"/>
      <c r="BA68" s="131"/>
      <c r="BB68" s="131"/>
      <c r="BC68" s="131"/>
      <c r="BD68" s="131"/>
    </row>
    <row r="69" spans="1:56" s="5" customFormat="1" ht="30" customHeight="1">
      <c r="A69" s="112">
        <f t="shared" si="10"/>
        <v>65</v>
      </c>
      <c r="B69" s="19">
        <v>2191</v>
      </c>
      <c r="C69" s="3" t="s">
        <v>375</v>
      </c>
      <c r="D69" s="112">
        <v>14000000</v>
      </c>
      <c r="E69" s="112">
        <v>14000000</v>
      </c>
      <c r="F69" s="112">
        <f t="shared" ref="F69:F100" si="25">D69-E69</f>
        <v>0</v>
      </c>
      <c r="G69" s="112">
        <v>700000</v>
      </c>
      <c r="H69" s="112">
        <v>482960</v>
      </c>
      <c r="I69" s="112">
        <v>0</v>
      </c>
      <c r="J69" s="112">
        <v>0</v>
      </c>
      <c r="K69" s="112">
        <f t="shared" ref="K69:K100" si="26">SUM(I69:J69)</f>
        <v>0</v>
      </c>
      <c r="L69" s="112">
        <f t="shared" si="23"/>
        <v>482960</v>
      </c>
      <c r="M69" s="112">
        <f t="shared" si="24"/>
        <v>217040</v>
      </c>
      <c r="N69" s="112"/>
      <c r="O69" s="112">
        <f t="shared" ref="O69:O100" si="27">D69-L69-M69-N69</f>
        <v>13300000</v>
      </c>
      <c r="P69" s="112">
        <f t="shared" ref="P69:P100" si="28">G69-L69</f>
        <v>217040</v>
      </c>
      <c r="Q69" s="112"/>
      <c r="R69" s="112"/>
      <c r="S69" s="112">
        <f t="shared" si="22"/>
        <v>0</v>
      </c>
      <c r="T69" s="112">
        <f t="shared" ref="T69:T100" si="29">P69-M69+S69</f>
        <v>0</v>
      </c>
      <c r="U69" s="257">
        <f t="shared" ref="U69:U100" si="30">N69-T69</f>
        <v>0</v>
      </c>
      <c r="V69" s="112">
        <f t="shared" si="14"/>
        <v>0</v>
      </c>
      <c r="W69" s="112"/>
      <c r="X69" s="112"/>
      <c r="Y69" s="112"/>
      <c r="Z69" s="112"/>
      <c r="AA69" s="127"/>
      <c r="AB69" s="3" t="s">
        <v>444</v>
      </c>
      <c r="AC69" s="300">
        <v>742000</v>
      </c>
      <c r="AD69" s="123"/>
      <c r="AE69" s="123"/>
      <c r="AF69" s="123"/>
      <c r="AG69" s="123"/>
      <c r="AH69" s="123"/>
      <c r="AI69" s="123"/>
      <c r="AJ69" s="123"/>
      <c r="AK69" s="505"/>
      <c r="AL69" s="505"/>
      <c r="AM69" s="505"/>
      <c r="AN69" s="505"/>
      <c r="AO69" s="505"/>
      <c r="AP69" s="505"/>
      <c r="AQ69" s="505"/>
      <c r="AR69" s="505"/>
      <c r="AS69" s="123"/>
      <c r="AT69" s="123"/>
      <c r="AU69" s="123"/>
      <c r="AV69" s="123"/>
      <c r="AW69" s="123"/>
      <c r="AX69" s="123"/>
      <c r="AY69" s="123"/>
      <c r="AZ69" s="148"/>
      <c r="BA69" s="148"/>
      <c r="BB69" s="148"/>
      <c r="BC69" s="148"/>
      <c r="BD69" s="148"/>
    </row>
    <row r="70" spans="1:56" s="5" customFormat="1" ht="30" customHeight="1">
      <c r="A70" s="112">
        <f t="shared" si="10"/>
        <v>66</v>
      </c>
      <c r="B70" s="19">
        <v>2194</v>
      </c>
      <c r="C70" s="3" t="s">
        <v>377</v>
      </c>
      <c r="D70" s="112">
        <v>700000</v>
      </c>
      <c r="E70" s="112">
        <v>700000</v>
      </c>
      <c r="F70" s="112">
        <f t="shared" si="25"/>
        <v>0</v>
      </c>
      <c r="G70" s="112">
        <v>0</v>
      </c>
      <c r="H70" s="112">
        <v>0</v>
      </c>
      <c r="I70" s="112">
        <v>0</v>
      </c>
      <c r="J70" s="112">
        <v>0</v>
      </c>
      <c r="K70" s="112">
        <f t="shared" si="26"/>
        <v>0</v>
      </c>
      <c r="L70" s="112">
        <f t="shared" si="23"/>
        <v>0</v>
      </c>
      <c r="M70" s="112">
        <f t="shared" si="24"/>
        <v>0</v>
      </c>
      <c r="N70" s="112"/>
      <c r="O70" s="112">
        <f t="shared" si="27"/>
        <v>700000</v>
      </c>
      <c r="P70" s="112">
        <f t="shared" si="28"/>
        <v>0</v>
      </c>
      <c r="Q70" s="112"/>
      <c r="R70" s="112"/>
      <c r="S70" s="112">
        <f t="shared" si="22"/>
        <v>0</v>
      </c>
      <c r="T70" s="112">
        <f t="shared" si="29"/>
        <v>0</v>
      </c>
      <c r="U70" s="257">
        <f t="shared" si="30"/>
        <v>0</v>
      </c>
      <c r="V70" s="112">
        <f t="shared" si="14"/>
        <v>0</v>
      </c>
      <c r="W70" s="112"/>
      <c r="X70" s="112"/>
      <c r="Y70" s="112"/>
      <c r="Z70" s="112"/>
      <c r="AA70" s="127"/>
      <c r="AB70" s="3" t="s">
        <v>445</v>
      </c>
      <c r="AC70" s="3">
        <v>742000</v>
      </c>
      <c r="AD70" s="123"/>
      <c r="AE70" s="123"/>
      <c r="AF70" s="123"/>
      <c r="AG70" s="123"/>
      <c r="AH70" s="123"/>
      <c r="AI70" s="123"/>
      <c r="AJ70" s="123"/>
      <c r="AK70" s="505"/>
      <c r="AL70" s="505"/>
      <c r="AM70" s="505"/>
      <c r="AN70" s="505"/>
      <c r="AO70" s="505"/>
      <c r="AP70" s="505"/>
      <c r="AQ70" s="505"/>
      <c r="AR70" s="505"/>
      <c r="AS70" s="123"/>
      <c r="AT70" s="123"/>
      <c r="AU70" s="123"/>
      <c r="AV70" s="123"/>
      <c r="AW70" s="123"/>
      <c r="AX70" s="123"/>
      <c r="AY70" s="123"/>
      <c r="AZ70" s="148"/>
      <c r="BA70" s="148"/>
      <c r="BB70" s="148"/>
      <c r="BC70" s="148"/>
      <c r="BD70" s="148"/>
    </row>
    <row r="71" spans="1:56" s="148" customFormat="1" ht="30" customHeight="1">
      <c r="A71" s="112">
        <f t="shared" ref="A71:A123" si="31">1+A70</f>
        <v>67</v>
      </c>
      <c r="B71" s="19">
        <v>2195</v>
      </c>
      <c r="C71" s="3" t="s">
        <v>378</v>
      </c>
      <c r="D71" s="4">
        <v>2300000</v>
      </c>
      <c r="E71" s="4">
        <v>2300000</v>
      </c>
      <c r="F71" s="4">
        <f t="shared" si="25"/>
        <v>0</v>
      </c>
      <c r="G71" s="4">
        <v>100000</v>
      </c>
      <c r="H71" s="4">
        <v>0</v>
      </c>
      <c r="I71" s="4">
        <v>0</v>
      </c>
      <c r="J71" s="4">
        <v>0</v>
      </c>
      <c r="K71" s="4">
        <f t="shared" si="26"/>
        <v>0</v>
      </c>
      <c r="L71" s="4">
        <f>H71+K71</f>
        <v>0</v>
      </c>
      <c r="M71" s="112">
        <f t="shared" si="24"/>
        <v>100000</v>
      </c>
      <c r="N71" s="112"/>
      <c r="O71" s="4">
        <f t="shared" si="27"/>
        <v>2200000</v>
      </c>
      <c r="P71" s="4">
        <f t="shared" si="28"/>
        <v>100000</v>
      </c>
      <c r="Q71" s="4"/>
      <c r="R71" s="4"/>
      <c r="S71" s="4">
        <f t="shared" si="22"/>
        <v>0</v>
      </c>
      <c r="T71" s="4">
        <f t="shared" si="29"/>
        <v>0</v>
      </c>
      <c r="U71" s="495">
        <f t="shared" si="30"/>
        <v>0</v>
      </c>
      <c r="V71" s="4">
        <f>U71-AA71-W71-Z71-Y71-X71</f>
        <v>0</v>
      </c>
      <c r="W71" s="4"/>
      <c r="X71" s="4"/>
      <c r="Y71" s="4"/>
      <c r="Z71" s="4"/>
      <c r="AA71" s="3"/>
      <c r="AB71" s="3" t="s">
        <v>760</v>
      </c>
      <c r="AC71" s="3">
        <v>742000</v>
      </c>
      <c r="AD71" s="123"/>
      <c r="AE71" s="123"/>
      <c r="AF71" s="123"/>
      <c r="AG71" s="123"/>
      <c r="AH71" s="123"/>
      <c r="AI71" s="123"/>
      <c r="AJ71" s="123"/>
      <c r="AK71" s="505"/>
      <c r="AL71" s="505"/>
      <c r="AM71" s="505"/>
      <c r="AN71" s="505"/>
      <c r="AO71" s="505"/>
      <c r="AP71" s="505"/>
      <c r="AQ71" s="505"/>
      <c r="AR71" s="505"/>
      <c r="AS71" s="123"/>
      <c r="AT71" s="123"/>
      <c r="AU71" s="123"/>
      <c r="AV71" s="123"/>
      <c r="AW71" s="123"/>
      <c r="AX71" s="123"/>
      <c r="AY71" s="123"/>
      <c r="AZ71" s="5"/>
      <c r="BA71" s="5"/>
      <c r="BB71" s="5"/>
      <c r="BC71" s="5"/>
      <c r="BD71" s="5"/>
    </row>
    <row r="72" spans="1:56" s="5" customFormat="1" ht="30" customHeight="1">
      <c r="A72" s="112">
        <f t="shared" si="31"/>
        <v>68</v>
      </c>
      <c r="B72" s="19">
        <v>2196</v>
      </c>
      <c r="C72" s="3" t="s">
        <v>379</v>
      </c>
      <c r="D72" s="4">
        <v>22500000</v>
      </c>
      <c r="E72" s="112">
        <v>21135000</v>
      </c>
      <c r="F72" s="112">
        <f t="shared" si="25"/>
        <v>1365000</v>
      </c>
      <c r="G72" s="112">
        <v>1500000</v>
      </c>
      <c r="H72" s="112">
        <v>982316</v>
      </c>
      <c r="I72" s="112">
        <v>0</v>
      </c>
      <c r="J72" s="112">
        <v>0</v>
      </c>
      <c r="K72" s="112">
        <f t="shared" si="26"/>
        <v>0</v>
      </c>
      <c r="L72" s="112">
        <f t="shared" ref="L72:L84" si="32">K72+H72</f>
        <v>982316</v>
      </c>
      <c r="M72" s="112">
        <f t="shared" si="24"/>
        <v>517684</v>
      </c>
      <c r="N72" s="112">
        <f>10000000-10000000</f>
        <v>0</v>
      </c>
      <c r="O72" s="112">
        <f t="shared" si="27"/>
        <v>21000000</v>
      </c>
      <c r="P72" s="112">
        <f t="shared" si="28"/>
        <v>517684</v>
      </c>
      <c r="Q72" s="112"/>
      <c r="R72" s="112"/>
      <c r="S72" s="112">
        <f t="shared" si="22"/>
        <v>0</v>
      </c>
      <c r="T72" s="112">
        <f t="shared" si="29"/>
        <v>0</v>
      </c>
      <c r="U72" s="257">
        <f t="shared" si="30"/>
        <v>0</v>
      </c>
      <c r="V72" s="112">
        <f t="shared" ref="V72:V84" si="33">U72-Z72-X72-AA72-W72-Y72</f>
        <v>0</v>
      </c>
      <c r="W72" s="112"/>
      <c r="X72" s="112"/>
      <c r="Y72" s="112"/>
      <c r="Z72" s="112"/>
      <c r="AA72" s="127"/>
      <c r="AB72" s="3" t="s">
        <v>446</v>
      </c>
      <c r="AC72" s="3">
        <v>742000</v>
      </c>
      <c r="AD72" s="123"/>
      <c r="AE72" s="123"/>
      <c r="AF72" s="123"/>
      <c r="AG72" s="123"/>
      <c r="AH72" s="123"/>
      <c r="AI72" s="123"/>
      <c r="AJ72" s="123"/>
      <c r="AK72" s="505"/>
      <c r="AL72" s="505"/>
      <c r="AM72" s="505"/>
      <c r="AN72" s="505"/>
      <c r="AO72" s="505"/>
      <c r="AP72" s="505"/>
      <c r="AQ72" s="505"/>
      <c r="AR72" s="505"/>
      <c r="AS72" s="123"/>
      <c r="AT72" s="123"/>
      <c r="AU72" s="123"/>
      <c r="AV72" s="123"/>
      <c r="AW72" s="123"/>
      <c r="AX72" s="123"/>
      <c r="AY72" s="123"/>
      <c r="AZ72" s="6"/>
      <c r="BA72" s="6"/>
      <c r="BB72" s="6"/>
      <c r="BC72" s="6"/>
      <c r="BD72" s="6"/>
    </row>
    <row r="73" spans="1:56" s="5" customFormat="1" ht="30" customHeight="1">
      <c r="A73" s="112">
        <f t="shared" si="31"/>
        <v>69</v>
      </c>
      <c r="B73" s="19">
        <v>2197</v>
      </c>
      <c r="C73" s="3" t="s">
        <v>380</v>
      </c>
      <c r="D73" s="112">
        <v>15160000</v>
      </c>
      <c r="E73" s="112">
        <v>15160000</v>
      </c>
      <c r="F73" s="112">
        <f t="shared" si="25"/>
        <v>0</v>
      </c>
      <c r="G73" s="112">
        <v>700000</v>
      </c>
      <c r="H73" s="112">
        <v>697954</v>
      </c>
      <c r="I73" s="112">
        <v>0</v>
      </c>
      <c r="J73" s="112">
        <v>0</v>
      </c>
      <c r="K73" s="112">
        <f t="shared" si="26"/>
        <v>0</v>
      </c>
      <c r="L73" s="112">
        <f t="shared" si="32"/>
        <v>697954</v>
      </c>
      <c r="M73" s="112">
        <f t="shared" si="24"/>
        <v>2046</v>
      </c>
      <c r="N73" s="112"/>
      <c r="O73" s="112">
        <f t="shared" si="27"/>
        <v>14460000</v>
      </c>
      <c r="P73" s="112">
        <f t="shared" si="28"/>
        <v>2046</v>
      </c>
      <c r="Q73" s="112"/>
      <c r="R73" s="112"/>
      <c r="S73" s="112">
        <f t="shared" si="22"/>
        <v>0</v>
      </c>
      <c r="T73" s="112">
        <f t="shared" si="29"/>
        <v>0</v>
      </c>
      <c r="U73" s="257">
        <f t="shared" si="30"/>
        <v>0</v>
      </c>
      <c r="V73" s="112">
        <f t="shared" si="33"/>
        <v>0</v>
      </c>
      <c r="W73" s="112"/>
      <c r="X73" s="112"/>
      <c r="Y73" s="112"/>
      <c r="Z73" s="112"/>
      <c r="AA73" s="127"/>
      <c r="AB73" s="3" t="s">
        <v>551</v>
      </c>
      <c r="AC73" s="3">
        <v>742000</v>
      </c>
      <c r="AD73" s="123"/>
      <c r="AE73" s="123"/>
      <c r="AF73" s="123"/>
      <c r="AG73" s="123"/>
      <c r="AH73" s="123"/>
      <c r="AI73" s="123"/>
      <c r="AJ73" s="123"/>
      <c r="AK73" s="505"/>
      <c r="AL73" s="505"/>
      <c r="AM73" s="505"/>
      <c r="AN73" s="505"/>
      <c r="AO73" s="505"/>
      <c r="AP73" s="505"/>
      <c r="AQ73" s="505"/>
      <c r="AR73" s="505"/>
      <c r="AS73" s="123"/>
      <c r="AT73" s="123"/>
      <c r="AU73" s="123"/>
      <c r="AV73" s="123"/>
      <c r="AW73" s="123"/>
      <c r="AX73" s="123"/>
      <c r="AY73" s="123"/>
    </row>
    <row r="74" spans="1:56" s="5" customFormat="1" ht="30" customHeight="1">
      <c r="A74" s="112">
        <f t="shared" si="31"/>
        <v>70</v>
      </c>
      <c r="B74" s="19">
        <v>2198</v>
      </c>
      <c r="C74" s="3" t="s">
        <v>381</v>
      </c>
      <c r="D74" s="112">
        <v>16030000</v>
      </c>
      <c r="E74" s="112">
        <v>16030000</v>
      </c>
      <c r="F74" s="112">
        <f t="shared" si="25"/>
        <v>0</v>
      </c>
      <c r="G74" s="112">
        <v>800000</v>
      </c>
      <c r="H74" s="112">
        <v>756318</v>
      </c>
      <c r="I74" s="112">
        <v>0</v>
      </c>
      <c r="J74" s="112">
        <v>33946</v>
      </c>
      <c r="K74" s="112">
        <f t="shared" si="26"/>
        <v>33946</v>
      </c>
      <c r="L74" s="112">
        <f t="shared" si="32"/>
        <v>790264</v>
      </c>
      <c r="M74" s="112">
        <f t="shared" si="24"/>
        <v>9736</v>
      </c>
      <c r="N74" s="112"/>
      <c r="O74" s="112">
        <f t="shared" si="27"/>
        <v>15230000</v>
      </c>
      <c r="P74" s="112">
        <f t="shared" si="28"/>
        <v>9736</v>
      </c>
      <c r="Q74" s="112"/>
      <c r="R74" s="112"/>
      <c r="S74" s="112">
        <f t="shared" si="22"/>
        <v>0</v>
      </c>
      <c r="T74" s="112">
        <f t="shared" si="29"/>
        <v>0</v>
      </c>
      <c r="U74" s="257">
        <f t="shared" si="30"/>
        <v>0</v>
      </c>
      <c r="V74" s="112">
        <f t="shared" si="33"/>
        <v>0</v>
      </c>
      <c r="W74" s="112"/>
      <c r="X74" s="112"/>
      <c r="Y74" s="112"/>
      <c r="Z74" s="112"/>
      <c r="AA74" s="127"/>
      <c r="AB74" s="3" t="s">
        <v>1510</v>
      </c>
      <c r="AC74" s="3">
        <v>742000</v>
      </c>
      <c r="AD74" s="123"/>
      <c r="AE74" s="123"/>
      <c r="AF74" s="123"/>
      <c r="AG74" s="123"/>
      <c r="AH74" s="123"/>
      <c r="AI74" s="123"/>
      <c r="AJ74" s="123"/>
      <c r="AK74" s="505"/>
      <c r="AL74" s="505"/>
      <c r="AM74" s="505"/>
      <c r="AN74" s="505"/>
      <c r="AO74" s="505"/>
      <c r="AP74" s="505"/>
      <c r="AQ74" s="505"/>
      <c r="AR74" s="505"/>
      <c r="AS74" s="123"/>
      <c r="AT74" s="123"/>
      <c r="AU74" s="123"/>
      <c r="AV74" s="123"/>
      <c r="AW74" s="123"/>
      <c r="AX74" s="123"/>
      <c r="AY74" s="123"/>
    </row>
    <row r="75" spans="1:56" s="5" customFormat="1" ht="30" customHeight="1">
      <c r="A75" s="112">
        <f t="shared" si="31"/>
        <v>71</v>
      </c>
      <c r="B75" s="19">
        <v>2201</v>
      </c>
      <c r="C75" s="3" t="s">
        <v>367</v>
      </c>
      <c r="D75" s="112">
        <v>120000000</v>
      </c>
      <c r="E75" s="112">
        <v>120000000</v>
      </c>
      <c r="F75" s="112">
        <f t="shared" si="25"/>
        <v>0</v>
      </c>
      <c r="G75" s="112">
        <v>17176755</v>
      </c>
      <c r="H75" s="112">
        <v>16318666</v>
      </c>
      <c r="I75" s="112">
        <v>0</v>
      </c>
      <c r="J75" s="112">
        <v>809898</v>
      </c>
      <c r="K75" s="112">
        <f t="shared" si="26"/>
        <v>809898</v>
      </c>
      <c r="L75" s="112">
        <f t="shared" si="32"/>
        <v>17128564</v>
      </c>
      <c r="M75" s="112">
        <f t="shared" si="24"/>
        <v>8448191</v>
      </c>
      <c r="N75" s="112">
        <f>95923245-1500000-30000000-34423245</f>
        <v>30000000</v>
      </c>
      <c r="O75" s="112">
        <f t="shared" si="27"/>
        <v>64423245</v>
      </c>
      <c r="P75" s="112">
        <f t="shared" si="28"/>
        <v>48191</v>
      </c>
      <c r="Q75" s="112">
        <v>8400000</v>
      </c>
      <c r="R75" s="112"/>
      <c r="S75" s="112">
        <f t="shared" si="22"/>
        <v>8400000</v>
      </c>
      <c r="T75" s="112">
        <f t="shared" si="29"/>
        <v>0</v>
      </c>
      <c r="U75" s="257">
        <f t="shared" si="30"/>
        <v>30000000</v>
      </c>
      <c r="V75" s="112">
        <f t="shared" si="33"/>
        <v>27743015</v>
      </c>
      <c r="W75" s="112"/>
      <c r="X75" s="112"/>
      <c r="Y75" s="112"/>
      <c r="Z75" s="112"/>
      <c r="AA75" s="112">
        <v>2256985</v>
      </c>
      <c r="AB75" s="3" t="s">
        <v>527</v>
      </c>
      <c r="AC75" s="3">
        <v>810000</v>
      </c>
      <c r="AD75" s="123"/>
      <c r="AE75" s="123"/>
      <c r="AF75" s="123"/>
      <c r="AG75" s="123"/>
      <c r="AH75" s="123"/>
      <c r="AI75" s="123"/>
      <c r="AJ75" s="123"/>
      <c r="AK75" s="505"/>
      <c r="AL75" s="505"/>
      <c r="AM75" s="505"/>
      <c r="AN75" s="505"/>
      <c r="AO75" s="505"/>
      <c r="AP75" s="505"/>
      <c r="AQ75" s="505"/>
      <c r="AR75" s="505"/>
      <c r="AS75" s="123"/>
      <c r="AT75" s="123"/>
      <c r="AU75" s="123"/>
      <c r="AV75" s="123"/>
      <c r="AW75" s="123"/>
      <c r="AX75" s="123"/>
      <c r="AY75" s="123"/>
      <c r="AZ75" s="131"/>
      <c r="BA75" s="131"/>
      <c r="BB75" s="131"/>
      <c r="BC75" s="131"/>
      <c r="BD75" s="131"/>
    </row>
    <row r="76" spans="1:56" s="5" customFormat="1" ht="30" customHeight="1">
      <c r="A76" s="112">
        <f t="shared" si="31"/>
        <v>72</v>
      </c>
      <c r="B76" s="19">
        <v>2203</v>
      </c>
      <c r="C76" s="3" t="s">
        <v>477</v>
      </c>
      <c r="D76" s="112">
        <v>1700000</v>
      </c>
      <c r="E76" s="112">
        <v>1700000</v>
      </c>
      <c r="F76" s="112">
        <f t="shared" si="25"/>
        <v>0</v>
      </c>
      <c r="G76" s="112">
        <v>1000000</v>
      </c>
      <c r="H76" s="112">
        <v>811498</v>
      </c>
      <c r="I76" s="112">
        <v>0</v>
      </c>
      <c r="J76" s="112">
        <v>184992</v>
      </c>
      <c r="K76" s="112">
        <f t="shared" si="26"/>
        <v>184992</v>
      </c>
      <c r="L76" s="112">
        <f t="shared" si="32"/>
        <v>996490</v>
      </c>
      <c r="M76" s="112">
        <f t="shared" si="24"/>
        <v>253510</v>
      </c>
      <c r="N76" s="112">
        <v>250000</v>
      </c>
      <c r="O76" s="112">
        <f t="shared" si="27"/>
        <v>200000</v>
      </c>
      <c r="P76" s="112">
        <f t="shared" si="28"/>
        <v>3510</v>
      </c>
      <c r="Q76" s="112">
        <f>500000-250000</f>
        <v>250000</v>
      </c>
      <c r="R76" s="112"/>
      <c r="S76" s="112">
        <f t="shared" si="22"/>
        <v>250000</v>
      </c>
      <c r="T76" s="112">
        <f t="shared" si="29"/>
        <v>0</v>
      </c>
      <c r="U76" s="257">
        <f t="shared" si="30"/>
        <v>250000</v>
      </c>
      <c r="V76" s="112">
        <f t="shared" si="33"/>
        <v>250000</v>
      </c>
      <c r="W76" s="112"/>
      <c r="X76" s="112"/>
      <c r="Y76" s="112"/>
      <c r="Z76" s="112"/>
      <c r="AA76" s="127"/>
      <c r="AB76" s="3" t="s">
        <v>552</v>
      </c>
      <c r="AC76" s="3">
        <v>829000</v>
      </c>
      <c r="AD76" s="123"/>
      <c r="AE76" s="123"/>
      <c r="AF76" s="123"/>
      <c r="AG76" s="123"/>
      <c r="AH76" s="123"/>
      <c r="AI76" s="123"/>
      <c r="AJ76" s="123"/>
      <c r="AK76" s="505"/>
      <c r="AL76" s="505"/>
      <c r="AM76" s="505"/>
      <c r="AN76" s="505"/>
      <c r="AO76" s="505"/>
      <c r="AP76" s="505"/>
      <c r="AQ76" s="505"/>
      <c r="AR76" s="505"/>
      <c r="AS76" s="123"/>
      <c r="AT76" s="123"/>
      <c r="AU76" s="123"/>
      <c r="AV76" s="123"/>
      <c r="AW76" s="123"/>
      <c r="AX76" s="123"/>
      <c r="AY76" s="123"/>
    </row>
    <row r="77" spans="1:56" s="5" customFormat="1" ht="30" customHeight="1">
      <c r="A77" s="112">
        <f t="shared" si="31"/>
        <v>73</v>
      </c>
      <c r="B77" s="19">
        <v>2205</v>
      </c>
      <c r="C77" s="3" t="s">
        <v>347</v>
      </c>
      <c r="D77" s="112">
        <v>19125000</v>
      </c>
      <c r="E77" s="112">
        <v>19125000</v>
      </c>
      <c r="F77" s="112">
        <f t="shared" si="25"/>
        <v>0</v>
      </c>
      <c r="G77" s="112">
        <v>19125000</v>
      </c>
      <c r="H77" s="112">
        <v>18256281</v>
      </c>
      <c r="I77" s="112">
        <v>0</v>
      </c>
      <c r="J77" s="112">
        <v>616927</v>
      </c>
      <c r="K77" s="112">
        <f t="shared" si="26"/>
        <v>616927</v>
      </c>
      <c r="L77" s="112">
        <f t="shared" si="32"/>
        <v>18873208</v>
      </c>
      <c r="M77" s="112">
        <f t="shared" si="24"/>
        <v>251792</v>
      </c>
      <c r="N77" s="112"/>
      <c r="O77" s="112">
        <f t="shared" si="27"/>
        <v>0</v>
      </c>
      <c r="P77" s="112">
        <f t="shared" si="28"/>
        <v>251792</v>
      </c>
      <c r="Q77" s="112"/>
      <c r="R77" s="112"/>
      <c r="S77" s="112">
        <f t="shared" si="22"/>
        <v>0</v>
      </c>
      <c r="T77" s="112">
        <f t="shared" si="29"/>
        <v>0</v>
      </c>
      <c r="U77" s="257">
        <f t="shared" si="30"/>
        <v>0</v>
      </c>
      <c r="V77" s="112">
        <f t="shared" si="33"/>
        <v>0</v>
      </c>
      <c r="W77" s="112"/>
      <c r="X77" s="112"/>
      <c r="Y77" s="112"/>
      <c r="Z77" s="112"/>
      <c r="AA77" s="127"/>
      <c r="AB77" s="19" t="s">
        <v>832</v>
      </c>
      <c r="AC77" s="3">
        <v>810000</v>
      </c>
      <c r="AD77" s="123"/>
      <c r="AE77" s="123"/>
      <c r="AF77" s="123"/>
      <c r="AG77" s="123"/>
      <c r="AH77" s="123"/>
      <c r="AI77" s="123"/>
      <c r="AJ77" s="123"/>
      <c r="AK77" s="505"/>
      <c r="AL77" s="505"/>
      <c r="AM77" s="505"/>
      <c r="AN77" s="505"/>
      <c r="AO77" s="505"/>
      <c r="AP77" s="505"/>
      <c r="AQ77" s="505"/>
      <c r="AR77" s="505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</row>
    <row r="78" spans="1:56" s="5" customFormat="1" ht="30" customHeight="1">
      <c r="A78" s="112">
        <f t="shared" si="31"/>
        <v>74</v>
      </c>
      <c r="B78" s="19">
        <v>2206</v>
      </c>
      <c r="C78" s="3" t="s">
        <v>368</v>
      </c>
      <c r="D78" s="112">
        <v>92000000</v>
      </c>
      <c r="E78" s="112">
        <v>92000000</v>
      </c>
      <c r="F78" s="112">
        <f t="shared" si="25"/>
        <v>0</v>
      </c>
      <c r="G78" s="112">
        <v>11366551</v>
      </c>
      <c r="H78" s="112">
        <v>10311620</v>
      </c>
      <c r="I78" s="112">
        <v>0</v>
      </c>
      <c r="J78" s="112">
        <v>577370</v>
      </c>
      <c r="K78" s="112">
        <f t="shared" si="26"/>
        <v>577370</v>
      </c>
      <c r="L78" s="112">
        <f t="shared" si="32"/>
        <v>10888990</v>
      </c>
      <c r="M78" s="112">
        <f t="shared" si="24"/>
        <v>4977561</v>
      </c>
      <c r="N78" s="112">
        <f>79633449-3500000-10000000-16000000-35000000</f>
        <v>15133449</v>
      </c>
      <c r="O78" s="112">
        <f t="shared" si="27"/>
        <v>61000000</v>
      </c>
      <c r="P78" s="112">
        <f t="shared" si="28"/>
        <v>477561</v>
      </c>
      <c r="Q78" s="112">
        <v>4500000</v>
      </c>
      <c r="R78" s="112"/>
      <c r="S78" s="112">
        <f t="shared" si="22"/>
        <v>4500000</v>
      </c>
      <c r="T78" s="112">
        <f t="shared" si="29"/>
        <v>0</v>
      </c>
      <c r="U78" s="257">
        <f t="shared" si="30"/>
        <v>15133449</v>
      </c>
      <c r="V78" s="112">
        <f t="shared" si="33"/>
        <v>15133449</v>
      </c>
      <c r="W78" s="112"/>
      <c r="X78" s="112"/>
      <c r="Y78" s="112"/>
      <c r="Z78" s="112"/>
      <c r="AA78" s="127"/>
      <c r="AB78" s="20" t="s">
        <v>833</v>
      </c>
      <c r="AC78" s="3">
        <v>810000</v>
      </c>
      <c r="AD78" s="123"/>
      <c r="AE78" s="123"/>
      <c r="AF78" s="123"/>
      <c r="AG78" s="123"/>
      <c r="AH78" s="123"/>
      <c r="AI78" s="123"/>
      <c r="AJ78" s="123"/>
      <c r="AK78" s="505"/>
      <c r="AL78" s="505"/>
      <c r="AM78" s="505"/>
      <c r="AN78" s="505"/>
      <c r="AO78" s="505"/>
      <c r="AP78" s="505"/>
      <c r="AQ78" s="505"/>
      <c r="AR78" s="505"/>
      <c r="AS78" s="123"/>
      <c r="AT78" s="123"/>
      <c r="AU78" s="123"/>
      <c r="AV78" s="123"/>
      <c r="AW78" s="123"/>
      <c r="AX78" s="123"/>
      <c r="AY78" s="123"/>
    </row>
    <row r="79" spans="1:56" s="5" customFormat="1" ht="30" customHeight="1">
      <c r="A79" s="112">
        <f t="shared" si="31"/>
        <v>75</v>
      </c>
      <c r="B79" s="19">
        <v>2209</v>
      </c>
      <c r="C79" s="3" t="s">
        <v>369</v>
      </c>
      <c r="D79" s="112">
        <v>46500000</v>
      </c>
      <c r="E79" s="112">
        <v>46500000</v>
      </c>
      <c r="F79" s="112">
        <f t="shared" si="25"/>
        <v>0</v>
      </c>
      <c r="G79" s="112">
        <v>1500000</v>
      </c>
      <c r="H79" s="112">
        <v>1380226</v>
      </c>
      <c r="I79" s="112">
        <v>0</v>
      </c>
      <c r="J79" s="112">
        <v>114206</v>
      </c>
      <c r="K79" s="112">
        <f t="shared" si="26"/>
        <v>114206</v>
      </c>
      <c r="L79" s="112">
        <f t="shared" si="32"/>
        <v>1494432</v>
      </c>
      <c r="M79" s="112">
        <f t="shared" si="24"/>
        <v>305568</v>
      </c>
      <c r="N79" s="112">
        <f>20000000-14000000-5741642</f>
        <v>258358</v>
      </c>
      <c r="O79" s="112">
        <f t="shared" si="27"/>
        <v>44441642</v>
      </c>
      <c r="P79" s="112">
        <f t="shared" si="28"/>
        <v>5568</v>
      </c>
      <c r="Q79" s="112">
        <v>300000</v>
      </c>
      <c r="R79" s="112"/>
      <c r="S79" s="112">
        <f t="shared" si="22"/>
        <v>300000</v>
      </c>
      <c r="T79" s="112">
        <f t="shared" si="29"/>
        <v>0</v>
      </c>
      <c r="U79" s="257">
        <f t="shared" si="30"/>
        <v>258358</v>
      </c>
      <c r="V79" s="112">
        <f t="shared" si="33"/>
        <v>258358</v>
      </c>
      <c r="W79" s="112"/>
      <c r="X79" s="112"/>
      <c r="Y79" s="112"/>
      <c r="Z79" s="112"/>
      <c r="AA79" s="112">
        <f>5741642-5741642</f>
        <v>0</v>
      </c>
      <c r="AB79" s="19" t="s">
        <v>528</v>
      </c>
      <c r="AC79" s="3">
        <v>810000</v>
      </c>
      <c r="AD79" s="123"/>
      <c r="AE79" s="123"/>
      <c r="AF79" s="123"/>
      <c r="AG79" s="123"/>
      <c r="AH79" s="123"/>
      <c r="AI79" s="123"/>
      <c r="AJ79" s="123"/>
      <c r="AK79" s="505"/>
      <c r="AL79" s="505"/>
      <c r="AM79" s="505"/>
      <c r="AN79" s="505"/>
      <c r="AO79" s="505"/>
      <c r="AP79" s="505"/>
      <c r="AQ79" s="505"/>
      <c r="AR79" s="505"/>
      <c r="AS79" s="123"/>
      <c r="AT79" s="123"/>
      <c r="AU79" s="123"/>
      <c r="AV79" s="123"/>
      <c r="AW79" s="123"/>
      <c r="AX79" s="123"/>
      <c r="AY79" s="123"/>
    </row>
    <row r="80" spans="1:56" s="5" customFormat="1" ht="30" customHeight="1">
      <c r="A80" s="112">
        <f t="shared" si="31"/>
        <v>76</v>
      </c>
      <c r="B80" s="201">
        <v>2213</v>
      </c>
      <c r="C80" s="3" t="s">
        <v>352</v>
      </c>
      <c r="D80" s="112">
        <f>7100000+3000000+10000000</f>
        <v>20100000</v>
      </c>
      <c r="E80" s="112">
        <v>10100000</v>
      </c>
      <c r="F80" s="112">
        <f t="shared" si="25"/>
        <v>10000000</v>
      </c>
      <c r="G80" s="112">
        <v>8100000</v>
      </c>
      <c r="H80" s="112">
        <v>6404773</v>
      </c>
      <c r="I80" s="112">
        <v>0</v>
      </c>
      <c r="J80" s="112">
        <v>632878</v>
      </c>
      <c r="K80" s="112">
        <f t="shared" si="26"/>
        <v>632878</v>
      </c>
      <c r="L80" s="112">
        <f t="shared" si="32"/>
        <v>7037651</v>
      </c>
      <c r="M80" s="112">
        <f t="shared" si="24"/>
        <v>3062349</v>
      </c>
      <c r="N80" s="112">
        <f>10000000-2000000-7000000</f>
        <v>1000000</v>
      </c>
      <c r="O80" s="112">
        <f t="shared" si="27"/>
        <v>9000000</v>
      </c>
      <c r="P80" s="112">
        <f t="shared" si="28"/>
        <v>1062349</v>
      </c>
      <c r="Q80" s="112"/>
      <c r="R80" s="112">
        <v>2000000</v>
      </c>
      <c r="S80" s="112">
        <f t="shared" si="22"/>
        <v>2000000</v>
      </c>
      <c r="T80" s="112">
        <f t="shared" si="29"/>
        <v>0</v>
      </c>
      <c r="U80" s="257">
        <f t="shared" si="30"/>
        <v>1000000</v>
      </c>
      <c r="V80" s="112">
        <f t="shared" si="33"/>
        <v>1000000</v>
      </c>
      <c r="W80" s="112"/>
      <c r="X80" s="112"/>
      <c r="Y80" s="112"/>
      <c r="Z80" s="112"/>
      <c r="AA80" s="127"/>
      <c r="AB80" s="3" t="s">
        <v>605</v>
      </c>
      <c r="AC80" s="3">
        <v>870000</v>
      </c>
      <c r="AD80" s="123"/>
      <c r="AE80" s="123"/>
      <c r="AF80" s="123"/>
      <c r="AG80" s="123"/>
      <c r="AH80" s="123"/>
      <c r="AI80" s="123"/>
      <c r="AJ80" s="123"/>
      <c r="AK80" s="505"/>
      <c r="AL80" s="505"/>
      <c r="AM80" s="505"/>
      <c r="AN80" s="505"/>
      <c r="AO80" s="505"/>
      <c r="AP80" s="505"/>
      <c r="AQ80" s="505"/>
      <c r="AR80" s="505"/>
      <c r="AS80" s="123"/>
      <c r="AT80" s="123"/>
      <c r="AU80" s="123"/>
      <c r="AV80" s="123"/>
      <c r="AW80" s="123"/>
      <c r="AX80" s="123"/>
      <c r="AY80" s="123"/>
    </row>
    <row r="81" spans="1:56" s="5" customFormat="1" ht="30" customHeight="1">
      <c r="A81" s="112">
        <f t="shared" si="31"/>
        <v>77</v>
      </c>
      <c r="B81" s="19">
        <v>2220</v>
      </c>
      <c r="C81" s="3" t="s">
        <v>358</v>
      </c>
      <c r="D81" s="112">
        <f>2700000+300000</f>
        <v>3000000</v>
      </c>
      <c r="E81" s="112">
        <v>2700000</v>
      </c>
      <c r="F81" s="112">
        <f t="shared" si="25"/>
        <v>300000</v>
      </c>
      <c r="G81" s="112">
        <v>2700000</v>
      </c>
      <c r="H81" s="112">
        <v>2210037</v>
      </c>
      <c r="I81" s="112">
        <v>0</v>
      </c>
      <c r="J81" s="112">
        <v>369627</v>
      </c>
      <c r="K81" s="112">
        <f t="shared" si="26"/>
        <v>369627</v>
      </c>
      <c r="L81" s="112">
        <f t="shared" si="32"/>
        <v>2579664</v>
      </c>
      <c r="M81" s="112">
        <f t="shared" si="24"/>
        <v>120336</v>
      </c>
      <c r="N81" s="112">
        <v>300000</v>
      </c>
      <c r="O81" s="112">
        <f t="shared" si="27"/>
        <v>0</v>
      </c>
      <c r="P81" s="112">
        <f t="shared" si="28"/>
        <v>120336</v>
      </c>
      <c r="Q81" s="112"/>
      <c r="R81" s="112"/>
      <c r="S81" s="112">
        <f t="shared" ref="S81:S110" si="34">SUM(Q81:R81)</f>
        <v>0</v>
      </c>
      <c r="T81" s="112">
        <f t="shared" si="29"/>
        <v>0</v>
      </c>
      <c r="U81" s="257">
        <f t="shared" si="30"/>
        <v>300000</v>
      </c>
      <c r="V81" s="112">
        <f t="shared" si="33"/>
        <v>300000</v>
      </c>
      <c r="W81" s="112"/>
      <c r="X81" s="112"/>
      <c r="Y81" s="112"/>
      <c r="Z81" s="112"/>
      <c r="AA81" s="127"/>
      <c r="AB81" s="3" t="s">
        <v>456</v>
      </c>
      <c r="AC81" s="3">
        <v>746000</v>
      </c>
      <c r="AD81" s="123"/>
      <c r="AE81" s="123"/>
      <c r="AF81" s="123"/>
      <c r="AG81" s="123"/>
      <c r="AH81" s="123"/>
      <c r="AI81" s="123"/>
      <c r="AJ81" s="123"/>
      <c r="AK81" s="505"/>
      <c r="AL81" s="505"/>
      <c r="AM81" s="505"/>
      <c r="AN81" s="505"/>
      <c r="AO81" s="505"/>
      <c r="AP81" s="505"/>
      <c r="AQ81" s="505"/>
      <c r="AR81" s="505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</row>
    <row r="82" spans="1:56" s="5" customFormat="1" ht="30" customHeight="1">
      <c r="A82" s="112">
        <f t="shared" si="31"/>
        <v>78</v>
      </c>
      <c r="B82" s="19">
        <v>2232</v>
      </c>
      <c r="C82" s="3" t="s">
        <v>412</v>
      </c>
      <c r="D82" s="112">
        <v>36900000</v>
      </c>
      <c r="E82" s="112">
        <v>17200000</v>
      </c>
      <c r="F82" s="112">
        <f t="shared" si="25"/>
        <v>19700000</v>
      </c>
      <c r="G82" s="112">
        <v>800000</v>
      </c>
      <c r="H82" s="112">
        <v>778625</v>
      </c>
      <c r="I82" s="112">
        <v>0</v>
      </c>
      <c r="J82" s="112">
        <v>0</v>
      </c>
      <c r="K82" s="112">
        <f t="shared" si="26"/>
        <v>0</v>
      </c>
      <c r="L82" s="112">
        <f t="shared" si="32"/>
        <v>778625</v>
      </c>
      <c r="M82" s="112">
        <f t="shared" si="24"/>
        <v>21375</v>
      </c>
      <c r="N82" s="112">
        <f>12400000-6400000-6000000</f>
        <v>0</v>
      </c>
      <c r="O82" s="112">
        <f t="shared" si="27"/>
        <v>36100000</v>
      </c>
      <c r="P82" s="112">
        <f t="shared" si="28"/>
        <v>21375</v>
      </c>
      <c r="Q82" s="112">
        <f>4000000-4000000</f>
        <v>0</v>
      </c>
      <c r="R82" s="112"/>
      <c r="S82" s="112">
        <f t="shared" si="34"/>
        <v>0</v>
      </c>
      <c r="T82" s="112">
        <f t="shared" si="29"/>
        <v>0</v>
      </c>
      <c r="U82" s="257">
        <f t="shared" si="30"/>
        <v>0</v>
      </c>
      <c r="V82" s="112">
        <f t="shared" si="33"/>
        <v>0</v>
      </c>
      <c r="W82" s="112"/>
      <c r="X82" s="112"/>
      <c r="Y82" s="112"/>
      <c r="Z82" s="112"/>
      <c r="AA82" s="127"/>
      <c r="AB82" s="3" t="s">
        <v>529</v>
      </c>
      <c r="AC82" s="3">
        <v>745000</v>
      </c>
      <c r="AD82" s="123"/>
      <c r="AE82" s="123"/>
      <c r="AF82" s="123"/>
      <c r="AG82" s="123"/>
      <c r="AH82" s="123"/>
      <c r="AI82" s="123"/>
      <c r="AJ82" s="123"/>
      <c r="AK82" s="505"/>
      <c r="AL82" s="505"/>
      <c r="AM82" s="505"/>
      <c r="AN82" s="505"/>
      <c r="AO82" s="505"/>
      <c r="AP82" s="505"/>
      <c r="AQ82" s="505"/>
      <c r="AR82" s="505"/>
      <c r="AS82" s="123"/>
      <c r="AT82" s="123"/>
      <c r="AU82" s="123"/>
      <c r="AV82" s="123"/>
      <c r="AW82" s="123"/>
      <c r="AX82" s="123"/>
      <c r="AY82" s="123"/>
      <c r="AZ82" s="6"/>
      <c r="BA82" s="6"/>
      <c r="BB82" s="6"/>
      <c r="BC82" s="6"/>
      <c r="BD82" s="6"/>
    </row>
    <row r="83" spans="1:56" s="5" customFormat="1" ht="30" customHeight="1">
      <c r="A83" s="112">
        <f t="shared" si="31"/>
        <v>79</v>
      </c>
      <c r="B83" s="19">
        <v>2233</v>
      </c>
      <c r="C83" s="3" t="s">
        <v>413</v>
      </c>
      <c r="D83" s="112">
        <v>24700000</v>
      </c>
      <c r="E83" s="112">
        <v>20250000</v>
      </c>
      <c r="F83" s="112">
        <f t="shared" si="25"/>
        <v>4450000</v>
      </c>
      <c r="G83" s="112">
        <v>800000</v>
      </c>
      <c r="H83" s="112">
        <v>789541</v>
      </c>
      <c r="I83" s="112">
        <v>0</v>
      </c>
      <c r="J83" s="112">
        <v>0</v>
      </c>
      <c r="K83" s="112">
        <f t="shared" si="26"/>
        <v>0</v>
      </c>
      <c r="L83" s="112">
        <f t="shared" si="32"/>
        <v>789541</v>
      </c>
      <c r="M83" s="112">
        <f t="shared" si="24"/>
        <v>10459</v>
      </c>
      <c r="N83" s="112">
        <f>10000000-10000000</f>
        <v>0</v>
      </c>
      <c r="O83" s="112">
        <f t="shared" si="27"/>
        <v>23900000</v>
      </c>
      <c r="P83" s="112">
        <f t="shared" si="28"/>
        <v>10459</v>
      </c>
      <c r="Q83" s="112"/>
      <c r="R83" s="112"/>
      <c r="S83" s="112">
        <f t="shared" si="34"/>
        <v>0</v>
      </c>
      <c r="T83" s="112">
        <f t="shared" si="29"/>
        <v>0</v>
      </c>
      <c r="U83" s="257">
        <f t="shared" si="30"/>
        <v>0</v>
      </c>
      <c r="V83" s="112">
        <f t="shared" si="33"/>
        <v>0</v>
      </c>
      <c r="W83" s="112"/>
      <c r="X83" s="112"/>
      <c r="Y83" s="112"/>
      <c r="Z83" s="112"/>
      <c r="AA83" s="127"/>
      <c r="AB83" s="3" t="s">
        <v>530</v>
      </c>
      <c r="AC83" s="3">
        <v>745000</v>
      </c>
      <c r="AD83" s="123"/>
      <c r="AE83" s="123"/>
      <c r="AF83" s="123"/>
      <c r="AG83" s="123"/>
      <c r="AH83" s="123"/>
      <c r="AI83" s="123"/>
      <c r="AJ83" s="123"/>
      <c r="AK83" s="505"/>
      <c r="AL83" s="505"/>
      <c r="AM83" s="505"/>
      <c r="AN83" s="505"/>
      <c r="AO83" s="505"/>
      <c r="AP83" s="505"/>
      <c r="AQ83" s="505"/>
      <c r="AR83" s="505"/>
      <c r="AS83" s="123"/>
      <c r="AT83" s="123"/>
      <c r="AU83" s="123"/>
      <c r="AV83" s="123"/>
      <c r="AW83" s="123"/>
      <c r="AX83" s="123"/>
      <c r="AY83" s="123"/>
      <c r="AZ83" s="6"/>
      <c r="BA83" s="6"/>
      <c r="BB83" s="6"/>
      <c r="BC83" s="6"/>
      <c r="BD83" s="6"/>
    </row>
    <row r="84" spans="1:56" s="148" customFormat="1" ht="30" customHeight="1">
      <c r="A84" s="112">
        <f t="shared" si="31"/>
        <v>80</v>
      </c>
      <c r="B84" s="19">
        <v>20004</v>
      </c>
      <c r="C84" s="3" t="s">
        <v>420</v>
      </c>
      <c r="D84" s="112">
        <v>24750000</v>
      </c>
      <c r="E84" s="112">
        <v>24750000</v>
      </c>
      <c r="F84" s="112">
        <f t="shared" si="25"/>
        <v>0</v>
      </c>
      <c r="G84" s="112">
        <v>1626786</v>
      </c>
      <c r="H84" s="112">
        <v>479410</v>
      </c>
      <c r="I84" s="112">
        <v>0</v>
      </c>
      <c r="J84" s="112">
        <v>1055084</v>
      </c>
      <c r="K84" s="112">
        <f t="shared" si="26"/>
        <v>1055084</v>
      </c>
      <c r="L84" s="112">
        <f t="shared" si="32"/>
        <v>1534494</v>
      </c>
      <c r="M84" s="112">
        <f t="shared" si="24"/>
        <v>92292</v>
      </c>
      <c r="N84" s="112">
        <f>5000000+5623214-3000000</f>
        <v>7623214</v>
      </c>
      <c r="O84" s="112">
        <f t="shared" si="27"/>
        <v>15500000</v>
      </c>
      <c r="P84" s="112">
        <f t="shared" si="28"/>
        <v>92292</v>
      </c>
      <c r="Q84" s="112">
        <f>747200+4876014-5623214</f>
        <v>0</v>
      </c>
      <c r="R84" s="112"/>
      <c r="S84" s="112">
        <f t="shared" si="34"/>
        <v>0</v>
      </c>
      <c r="T84" s="112">
        <f t="shared" si="29"/>
        <v>0</v>
      </c>
      <c r="U84" s="257">
        <f t="shared" si="30"/>
        <v>7623214</v>
      </c>
      <c r="V84" s="112">
        <f t="shared" si="33"/>
        <v>1718224</v>
      </c>
      <c r="W84" s="112"/>
      <c r="X84" s="112"/>
      <c r="Y84" s="112"/>
      <c r="Z84" s="112"/>
      <c r="AA84" s="112">
        <f>1028976+4876014</f>
        <v>5904990</v>
      </c>
      <c r="AB84" s="3" t="s">
        <v>703</v>
      </c>
      <c r="AC84" s="3">
        <v>742000</v>
      </c>
      <c r="AD84" s="123"/>
      <c r="AE84" s="123"/>
      <c r="AF84" s="123"/>
      <c r="AG84" s="123"/>
      <c r="AH84" s="123"/>
      <c r="AI84" s="123"/>
      <c r="AJ84" s="123"/>
      <c r="AK84" s="505"/>
      <c r="AL84" s="505"/>
      <c r="AM84" s="505"/>
      <c r="AN84" s="505"/>
      <c r="AO84" s="505"/>
      <c r="AP84" s="505"/>
      <c r="AQ84" s="505"/>
      <c r="AR84" s="505"/>
      <c r="AS84" s="123"/>
      <c r="AT84" s="123"/>
      <c r="AU84" s="123"/>
      <c r="AV84" s="123"/>
      <c r="AW84" s="123"/>
      <c r="AX84" s="123"/>
      <c r="AY84" s="123"/>
      <c r="AZ84" s="5"/>
      <c r="BA84" s="5"/>
      <c r="BB84" s="5"/>
      <c r="BC84" s="5"/>
      <c r="BD84" s="5"/>
    </row>
    <row r="85" spans="1:56" s="148" customFormat="1" ht="30" customHeight="1">
      <c r="A85" s="112">
        <f t="shared" si="31"/>
        <v>81</v>
      </c>
      <c r="B85" s="19">
        <v>20009</v>
      </c>
      <c r="C85" s="3" t="s">
        <v>455</v>
      </c>
      <c r="D85" s="4">
        <v>2150000</v>
      </c>
      <c r="E85" s="4">
        <v>2150000</v>
      </c>
      <c r="F85" s="4">
        <f t="shared" si="25"/>
        <v>0</v>
      </c>
      <c r="G85" s="4">
        <v>250000</v>
      </c>
      <c r="H85" s="4">
        <v>162220</v>
      </c>
      <c r="I85" s="4">
        <v>0</v>
      </c>
      <c r="J85" s="4">
        <v>86814</v>
      </c>
      <c r="K85" s="4">
        <f t="shared" si="26"/>
        <v>86814</v>
      </c>
      <c r="L85" s="4">
        <f>H85+K85</f>
        <v>249034</v>
      </c>
      <c r="M85" s="112">
        <f t="shared" si="24"/>
        <v>250966</v>
      </c>
      <c r="N85" s="112">
        <f>1000000-500000-300000</f>
        <v>200000</v>
      </c>
      <c r="O85" s="4">
        <f t="shared" si="27"/>
        <v>1450000</v>
      </c>
      <c r="P85" s="4">
        <f t="shared" si="28"/>
        <v>966</v>
      </c>
      <c r="Q85" s="4">
        <v>250000</v>
      </c>
      <c r="R85" s="4"/>
      <c r="S85" s="112">
        <f t="shared" si="34"/>
        <v>250000</v>
      </c>
      <c r="T85" s="4">
        <f t="shared" si="29"/>
        <v>0</v>
      </c>
      <c r="U85" s="495">
        <f t="shared" si="30"/>
        <v>200000</v>
      </c>
      <c r="V85" s="4">
        <f>U85-AA85-W85-Z85-Y85-X85</f>
        <v>200000</v>
      </c>
      <c r="W85" s="4"/>
      <c r="X85" s="4"/>
      <c r="Y85" s="4"/>
      <c r="Z85" s="4"/>
      <c r="AA85" s="3"/>
      <c r="AB85" s="3" t="s">
        <v>516</v>
      </c>
      <c r="AC85" s="3">
        <v>732000</v>
      </c>
      <c r="AD85" s="123"/>
      <c r="AE85" s="123"/>
      <c r="AF85" s="123"/>
      <c r="AG85" s="123"/>
      <c r="AH85" s="123"/>
      <c r="AI85" s="123"/>
      <c r="AJ85" s="123"/>
      <c r="AK85" s="505"/>
      <c r="AL85" s="505"/>
      <c r="AM85" s="505"/>
      <c r="AN85" s="505"/>
      <c r="AO85" s="505"/>
      <c r="AP85" s="505"/>
      <c r="AQ85" s="505"/>
      <c r="AR85" s="505"/>
      <c r="AS85" s="123"/>
      <c r="AT85" s="123"/>
      <c r="AU85" s="123"/>
      <c r="AV85" s="123"/>
      <c r="AW85" s="123"/>
      <c r="AX85" s="123"/>
      <c r="AY85" s="123"/>
      <c r="AZ85" s="5"/>
      <c r="BA85" s="5"/>
      <c r="BB85" s="5"/>
      <c r="BC85" s="5"/>
      <c r="BD85" s="5"/>
    </row>
    <row r="86" spans="1:56" s="5" customFormat="1" ht="30" customHeight="1">
      <c r="A86" s="112">
        <f t="shared" si="31"/>
        <v>82</v>
      </c>
      <c r="B86" s="19">
        <v>20011</v>
      </c>
      <c r="C86" s="3" t="s">
        <v>834</v>
      </c>
      <c r="D86" s="112">
        <v>21500000</v>
      </c>
      <c r="E86" s="112">
        <v>21500000</v>
      </c>
      <c r="F86" s="112">
        <f t="shared" si="25"/>
        <v>0</v>
      </c>
      <c r="G86" s="112">
        <v>1500000</v>
      </c>
      <c r="H86" s="112">
        <v>1294812</v>
      </c>
      <c r="I86" s="112">
        <v>0</v>
      </c>
      <c r="J86" s="112">
        <v>191925</v>
      </c>
      <c r="K86" s="112">
        <f t="shared" si="26"/>
        <v>191925</v>
      </c>
      <c r="L86" s="112">
        <f t="shared" ref="L86:L101" si="35">K86+H86</f>
        <v>1486737</v>
      </c>
      <c r="M86" s="112">
        <f t="shared" si="24"/>
        <v>13753</v>
      </c>
      <c r="N86" s="112">
        <f>14500000-8000000-5499510</f>
        <v>1000490</v>
      </c>
      <c r="O86" s="112">
        <f t="shared" si="27"/>
        <v>18999020</v>
      </c>
      <c r="P86" s="112">
        <f t="shared" si="28"/>
        <v>13263</v>
      </c>
      <c r="Q86" s="112">
        <v>490</v>
      </c>
      <c r="R86" s="112"/>
      <c r="S86" s="112">
        <f t="shared" si="34"/>
        <v>490</v>
      </c>
      <c r="T86" s="112">
        <f t="shared" si="29"/>
        <v>0</v>
      </c>
      <c r="U86" s="257">
        <f t="shared" si="30"/>
        <v>1000490</v>
      </c>
      <c r="V86" s="112">
        <f t="shared" ref="V86:V101" si="36">U86-Z86-X86-AA86-W86-Y86</f>
        <v>1000490</v>
      </c>
      <c r="W86" s="112"/>
      <c r="X86" s="112"/>
      <c r="Y86" s="112"/>
      <c r="Z86" s="112"/>
      <c r="AA86" s="112">
        <f>1748816+244834+1500000+1600000+405860-1748816-244834-1500000-1600000-405860</f>
        <v>0</v>
      </c>
      <c r="AB86" s="3" t="s">
        <v>835</v>
      </c>
      <c r="AC86" s="3">
        <v>810000</v>
      </c>
      <c r="AD86" s="123"/>
      <c r="AE86" s="123"/>
      <c r="AF86" s="123"/>
      <c r="AG86" s="123"/>
      <c r="AH86" s="123"/>
      <c r="AI86" s="123"/>
      <c r="AJ86" s="123"/>
      <c r="AK86" s="505"/>
      <c r="AL86" s="505"/>
      <c r="AM86" s="505"/>
      <c r="AN86" s="505"/>
      <c r="AO86" s="505"/>
      <c r="AP86" s="505"/>
      <c r="AQ86" s="505"/>
      <c r="AR86" s="505"/>
      <c r="AS86" s="123"/>
      <c r="AT86" s="123"/>
      <c r="AU86" s="123"/>
      <c r="AV86" s="123"/>
      <c r="AW86" s="123"/>
      <c r="AX86" s="123"/>
      <c r="AY86" s="123"/>
    </row>
    <row r="87" spans="1:56" s="5" customFormat="1" ht="30" customHeight="1">
      <c r="A87" s="112">
        <f t="shared" si="31"/>
        <v>83</v>
      </c>
      <c r="B87" s="19">
        <v>20013</v>
      </c>
      <c r="C87" s="3" t="s">
        <v>483</v>
      </c>
      <c r="D87" s="112">
        <v>1000000</v>
      </c>
      <c r="E87" s="112">
        <v>1000000</v>
      </c>
      <c r="F87" s="112">
        <f t="shared" si="25"/>
        <v>0</v>
      </c>
      <c r="G87" s="112">
        <v>1000000</v>
      </c>
      <c r="H87" s="112">
        <v>767414</v>
      </c>
      <c r="I87" s="112">
        <v>0</v>
      </c>
      <c r="J87" s="112">
        <v>214420</v>
      </c>
      <c r="K87" s="112">
        <f t="shared" si="26"/>
        <v>214420</v>
      </c>
      <c r="L87" s="112">
        <f t="shared" si="35"/>
        <v>981834</v>
      </c>
      <c r="M87" s="112">
        <f t="shared" si="24"/>
        <v>18166</v>
      </c>
      <c r="N87" s="112"/>
      <c r="O87" s="112">
        <f t="shared" si="27"/>
        <v>0</v>
      </c>
      <c r="P87" s="112">
        <f t="shared" si="28"/>
        <v>18166</v>
      </c>
      <c r="Q87" s="112"/>
      <c r="R87" s="112"/>
      <c r="S87" s="112">
        <f t="shared" si="34"/>
        <v>0</v>
      </c>
      <c r="T87" s="112">
        <f t="shared" si="29"/>
        <v>0</v>
      </c>
      <c r="U87" s="257">
        <f t="shared" si="30"/>
        <v>0</v>
      </c>
      <c r="V87" s="112">
        <f t="shared" si="36"/>
        <v>0</v>
      </c>
      <c r="W87" s="112"/>
      <c r="X87" s="112"/>
      <c r="Y87" s="112"/>
      <c r="Z87" s="112"/>
      <c r="AA87" s="127"/>
      <c r="AB87" s="3" t="s">
        <v>836</v>
      </c>
      <c r="AC87" s="3">
        <v>810000</v>
      </c>
      <c r="AD87" s="123"/>
      <c r="AE87" s="123"/>
      <c r="AF87" s="123"/>
      <c r="AG87" s="123"/>
      <c r="AH87" s="123"/>
      <c r="AI87" s="123"/>
      <c r="AJ87" s="123"/>
      <c r="AK87" s="505"/>
      <c r="AL87" s="505"/>
      <c r="AM87" s="505"/>
      <c r="AN87" s="505"/>
      <c r="AO87" s="505"/>
      <c r="AP87" s="505"/>
      <c r="AQ87" s="505"/>
      <c r="AR87" s="505"/>
      <c r="AS87" s="123"/>
      <c r="AT87" s="123"/>
      <c r="AU87" s="123"/>
      <c r="AV87" s="123"/>
      <c r="AW87" s="123"/>
      <c r="AX87" s="123"/>
      <c r="AY87" s="123"/>
    </row>
    <row r="88" spans="1:56" s="5" customFormat="1" ht="30" customHeight="1">
      <c r="A88" s="112">
        <f t="shared" si="31"/>
        <v>84</v>
      </c>
      <c r="B88" s="19">
        <v>20014</v>
      </c>
      <c r="C88" s="3" t="s">
        <v>603</v>
      </c>
      <c r="D88" s="112">
        <f>1500000+250000</f>
        <v>1750000</v>
      </c>
      <c r="E88" s="112">
        <v>1500000</v>
      </c>
      <c r="F88" s="112">
        <f t="shared" si="25"/>
        <v>250000</v>
      </c>
      <c r="G88" s="112">
        <v>450000</v>
      </c>
      <c r="H88" s="112">
        <v>314262</v>
      </c>
      <c r="I88" s="112">
        <v>0</v>
      </c>
      <c r="J88" s="112">
        <v>85737</v>
      </c>
      <c r="K88" s="112">
        <f t="shared" si="26"/>
        <v>85737</v>
      </c>
      <c r="L88" s="112">
        <f t="shared" si="35"/>
        <v>399999</v>
      </c>
      <c r="M88" s="112">
        <f t="shared" si="24"/>
        <v>50001</v>
      </c>
      <c r="N88" s="112">
        <f>1050000+250000-1300000</f>
        <v>0</v>
      </c>
      <c r="O88" s="112">
        <f t="shared" si="27"/>
        <v>1300000</v>
      </c>
      <c r="P88" s="112">
        <f t="shared" si="28"/>
        <v>50001</v>
      </c>
      <c r="Q88" s="112"/>
      <c r="R88" s="112"/>
      <c r="S88" s="112">
        <f t="shared" si="34"/>
        <v>0</v>
      </c>
      <c r="T88" s="112">
        <f t="shared" si="29"/>
        <v>0</v>
      </c>
      <c r="U88" s="257">
        <f t="shared" si="30"/>
        <v>0</v>
      </c>
      <c r="V88" s="112">
        <f t="shared" si="36"/>
        <v>0</v>
      </c>
      <c r="W88" s="112"/>
      <c r="X88" s="112"/>
      <c r="Y88" s="112"/>
      <c r="Z88" s="112"/>
      <c r="AA88" s="127"/>
      <c r="AB88" s="3" t="s">
        <v>1256</v>
      </c>
      <c r="AC88" s="3">
        <v>829000</v>
      </c>
      <c r="AD88" s="123"/>
      <c r="AE88" s="123"/>
      <c r="AF88" s="123"/>
      <c r="AG88" s="123"/>
      <c r="AH88" s="123"/>
      <c r="AI88" s="123"/>
      <c r="AJ88" s="123"/>
      <c r="AK88" s="505"/>
      <c r="AL88" s="505"/>
      <c r="AM88" s="505"/>
      <c r="AN88" s="505"/>
      <c r="AO88" s="505"/>
      <c r="AP88" s="505"/>
      <c r="AQ88" s="505"/>
      <c r="AR88" s="505"/>
      <c r="AS88" s="123"/>
      <c r="AT88" s="123"/>
      <c r="AU88" s="123"/>
      <c r="AV88" s="123"/>
      <c r="AW88" s="123"/>
      <c r="AX88" s="123"/>
      <c r="AY88" s="123"/>
    </row>
    <row r="89" spans="1:56" s="5" customFormat="1" ht="45">
      <c r="A89" s="112">
        <f t="shared" si="31"/>
        <v>85</v>
      </c>
      <c r="B89" s="19">
        <v>20016</v>
      </c>
      <c r="C89" s="3" t="s">
        <v>1292</v>
      </c>
      <c r="D89" s="112">
        <f>2500000+200000</f>
        <v>2700000</v>
      </c>
      <c r="E89" s="112">
        <v>2500000</v>
      </c>
      <c r="F89" s="112">
        <f t="shared" si="25"/>
        <v>200000</v>
      </c>
      <c r="G89" s="112">
        <v>1000000</v>
      </c>
      <c r="H89" s="112">
        <v>983235</v>
      </c>
      <c r="I89" s="112">
        <v>0</v>
      </c>
      <c r="J89" s="112">
        <v>15484</v>
      </c>
      <c r="K89" s="112">
        <f t="shared" si="26"/>
        <v>15484</v>
      </c>
      <c r="L89" s="112">
        <f t="shared" si="35"/>
        <v>998719</v>
      </c>
      <c r="M89" s="112">
        <f t="shared" si="24"/>
        <v>701281</v>
      </c>
      <c r="N89" s="112">
        <f>1000000-500000</f>
        <v>500000</v>
      </c>
      <c r="O89" s="112">
        <f t="shared" si="27"/>
        <v>500000</v>
      </c>
      <c r="P89" s="112">
        <f t="shared" si="28"/>
        <v>1281</v>
      </c>
      <c r="Q89" s="112">
        <v>700000</v>
      </c>
      <c r="R89" s="112"/>
      <c r="S89" s="112">
        <f t="shared" si="34"/>
        <v>700000</v>
      </c>
      <c r="T89" s="112">
        <f t="shared" si="29"/>
        <v>0</v>
      </c>
      <c r="U89" s="257">
        <f t="shared" si="30"/>
        <v>500000</v>
      </c>
      <c r="V89" s="112">
        <f t="shared" si="36"/>
        <v>500000</v>
      </c>
      <c r="W89" s="112"/>
      <c r="X89" s="112"/>
      <c r="Y89" s="112"/>
      <c r="Z89" s="112"/>
      <c r="AA89" s="127"/>
      <c r="AB89" s="3" t="s">
        <v>1293</v>
      </c>
      <c r="AC89" s="3">
        <v>826000</v>
      </c>
      <c r="AD89" s="123"/>
      <c r="AE89" s="123"/>
      <c r="AF89" s="123"/>
      <c r="AG89" s="123"/>
      <c r="AH89" s="123"/>
      <c r="AI89" s="123"/>
      <c r="AJ89" s="123"/>
      <c r="AK89" s="505"/>
      <c r="AL89" s="505"/>
      <c r="AM89" s="505"/>
      <c r="AN89" s="505"/>
      <c r="AO89" s="505"/>
      <c r="AP89" s="505"/>
      <c r="AQ89" s="505"/>
      <c r="AR89" s="505"/>
      <c r="AS89" s="123"/>
      <c r="AT89" s="123"/>
      <c r="AU89" s="123"/>
      <c r="AV89" s="123"/>
      <c r="AW89" s="123"/>
      <c r="AX89" s="123"/>
      <c r="AY89" s="123"/>
      <c r="AZ89" s="148"/>
      <c r="BA89" s="148"/>
      <c r="BB89" s="148"/>
      <c r="BC89" s="148"/>
      <c r="BD89" s="148"/>
    </row>
    <row r="90" spans="1:56" s="5" customFormat="1" ht="30" customHeight="1">
      <c r="A90" s="112">
        <f t="shared" si="31"/>
        <v>86</v>
      </c>
      <c r="B90" s="19">
        <v>20017</v>
      </c>
      <c r="C90" s="3" t="s">
        <v>732</v>
      </c>
      <c r="D90" s="112">
        <v>10000000</v>
      </c>
      <c r="E90" s="112">
        <v>10000000</v>
      </c>
      <c r="F90" s="112">
        <f t="shared" si="25"/>
        <v>0</v>
      </c>
      <c r="G90" s="112">
        <v>600000</v>
      </c>
      <c r="H90" s="112">
        <v>315586</v>
      </c>
      <c r="I90" s="112">
        <v>0</v>
      </c>
      <c r="J90" s="112">
        <v>111469</v>
      </c>
      <c r="K90" s="112">
        <f t="shared" si="26"/>
        <v>111469</v>
      </c>
      <c r="L90" s="112">
        <f t="shared" si="35"/>
        <v>427055</v>
      </c>
      <c r="M90" s="112">
        <f t="shared" si="24"/>
        <v>172945</v>
      </c>
      <c r="N90" s="112">
        <v>100000</v>
      </c>
      <c r="O90" s="112">
        <f t="shared" si="27"/>
        <v>9300000</v>
      </c>
      <c r="P90" s="112">
        <f t="shared" si="28"/>
        <v>172945</v>
      </c>
      <c r="Q90" s="112"/>
      <c r="R90" s="112"/>
      <c r="S90" s="112">
        <f t="shared" si="34"/>
        <v>0</v>
      </c>
      <c r="T90" s="112">
        <f t="shared" si="29"/>
        <v>0</v>
      </c>
      <c r="U90" s="257">
        <f t="shared" si="30"/>
        <v>100000</v>
      </c>
      <c r="V90" s="112">
        <f t="shared" si="36"/>
        <v>100000</v>
      </c>
      <c r="W90" s="112"/>
      <c r="X90" s="112"/>
      <c r="Y90" s="112"/>
      <c r="Z90" s="112"/>
      <c r="AA90" s="127"/>
      <c r="AB90" s="3" t="s">
        <v>733</v>
      </c>
      <c r="AC90" s="3">
        <v>850000</v>
      </c>
      <c r="AD90" s="123"/>
      <c r="AE90" s="123"/>
      <c r="AF90" s="123"/>
      <c r="AG90" s="123"/>
      <c r="AH90" s="123"/>
      <c r="AI90" s="123"/>
      <c r="AJ90" s="123"/>
      <c r="AK90" s="505"/>
      <c r="AL90" s="505"/>
      <c r="AM90" s="505"/>
      <c r="AN90" s="505"/>
      <c r="AO90" s="505"/>
      <c r="AP90" s="505"/>
      <c r="AQ90" s="505"/>
      <c r="AR90" s="505"/>
      <c r="AS90" s="123"/>
      <c r="AT90" s="123"/>
      <c r="AU90" s="123"/>
      <c r="AV90" s="123"/>
      <c r="AW90" s="123"/>
      <c r="AX90" s="123"/>
      <c r="AY90" s="123"/>
    </row>
    <row r="91" spans="1:56" s="5" customFormat="1" ht="30" customHeight="1">
      <c r="A91" s="112">
        <f t="shared" si="31"/>
        <v>87</v>
      </c>
      <c r="B91" s="19">
        <v>20018</v>
      </c>
      <c r="C91" s="3" t="s">
        <v>458</v>
      </c>
      <c r="D91" s="112">
        <f>45000000+15000000</f>
        <v>60000000</v>
      </c>
      <c r="E91" s="112">
        <v>45000000</v>
      </c>
      <c r="F91" s="112">
        <f t="shared" si="25"/>
        <v>15000000</v>
      </c>
      <c r="G91" s="112">
        <v>1150000</v>
      </c>
      <c r="H91" s="112">
        <v>1116315</v>
      </c>
      <c r="I91" s="112">
        <v>0</v>
      </c>
      <c r="J91" s="112">
        <v>27535</v>
      </c>
      <c r="K91" s="112">
        <f t="shared" si="26"/>
        <v>27535</v>
      </c>
      <c r="L91" s="112">
        <f t="shared" si="35"/>
        <v>1143850</v>
      </c>
      <c r="M91" s="112">
        <f t="shared" si="24"/>
        <v>6150</v>
      </c>
      <c r="N91" s="112">
        <f>20000000-7000000</f>
        <v>13000000</v>
      </c>
      <c r="O91" s="112">
        <f t="shared" si="27"/>
        <v>45850000</v>
      </c>
      <c r="P91" s="112">
        <f t="shared" si="28"/>
        <v>6150</v>
      </c>
      <c r="Q91" s="112">
        <f>11350000-10000000-1350000</f>
        <v>0</v>
      </c>
      <c r="R91" s="112"/>
      <c r="S91" s="112">
        <f t="shared" si="34"/>
        <v>0</v>
      </c>
      <c r="T91" s="112">
        <f t="shared" si="29"/>
        <v>0</v>
      </c>
      <c r="U91" s="257">
        <f t="shared" si="30"/>
        <v>13000000</v>
      </c>
      <c r="V91" s="112">
        <f t="shared" si="36"/>
        <v>1650000</v>
      </c>
      <c r="W91" s="112"/>
      <c r="X91" s="112"/>
      <c r="Y91" s="112"/>
      <c r="Z91" s="112"/>
      <c r="AA91" s="112">
        <f>10000000+1350000</f>
        <v>11350000</v>
      </c>
      <c r="AB91" s="3" t="s">
        <v>704</v>
      </c>
      <c r="AC91" s="3">
        <v>826000</v>
      </c>
      <c r="AD91" s="123"/>
      <c r="AE91" s="123"/>
      <c r="AF91" s="123"/>
      <c r="AG91" s="123"/>
      <c r="AH91" s="123"/>
      <c r="AI91" s="123"/>
      <c r="AJ91" s="123"/>
      <c r="AK91" s="505"/>
      <c r="AL91" s="505"/>
      <c r="AM91" s="505"/>
      <c r="AN91" s="505"/>
      <c r="AO91" s="505"/>
      <c r="AP91" s="505"/>
      <c r="AQ91" s="505"/>
      <c r="AR91" s="505"/>
      <c r="AS91" s="123"/>
      <c r="AT91" s="123"/>
      <c r="AU91" s="123"/>
      <c r="AV91" s="123"/>
      <c r="AW91" s="123"/>
      <c r="AX91" s="123"/>
      <c r="AY91" s="123"/>
    </row>
    <row r="92" spans="1:56" s="5" customFormat="1" ht="45">
      <c r="A92" s="112">
        <f t="shared" si="31"/>
        <v>88</v>
      </c>
      <c r="B92" s="19">
        <v>20063</v>
      </c>
      <c r="C92" s="3" t="s">
        <v>1452</v>
      </c>
      <c r="D92" s="112">
        <v>1750000</v>
      </c>
      <c r="E92" s="112">
        <v>1750000</v>
      </c>
      <c r="F92" s="112">
        <f t="shared" si="25"/>
        <v>0</v>
      </c>
      <c r="G92" s="112">
        <v>700000</v>
      </c>
      <c r="H92" s="112">
        <v>470452</v>
      </c>
      <c r="I92" s="112">
        <v>0</v>
      </c>
      <c r="J92" s="112">
        <v>182520</v>
      </c>
      <c r="K92" s="112">
        <f t="shared" si="26"/>
        <v>182520</v>
      </c>
      <c r="L92" s="112">
        <f t="shared" si="35"/>
        <v>652972</v>
      </c>
      <c r="M92" s="112">
        <f t="shared" ref="M92:M110" si="37">P92+S92</f>
        <v>247028</v>
      </c>
      <c r="N92" s="112">
        <v>350000</v>
      </c>
      <c r="O92" s="112">
        <f t="shared" si="27"/>
        <v>500000</v>
      </c>
      <c r="P92" s="112">
        <f t="shared" si="28"/>
        <v>47028</v>
      </c>
      <c r="Q92" s="112">
        <f>550000-350000</f>
        <v>200000</v>
      </c>
      <c r="R92" s="112"/>
      <c r="S92" s="112">
        <f t="shared" si="34"/>
        <v>200000</v>
      </c>
      <c r="T92" s="112">
        <f t="shared" si="29"/>
        <v>0</v>
      </c>
      <c r="U92" s="257">
        <f t="shared" si="30"/>
        <v>350000</v>
      </c>
      <c r="V92" s="112">
        <f t="shared" si="36"/>
        <v>350000</v>
      </c>
      <c r="W92" s="112"/>
      <c r="X92" s="112"/>
      <c r="Y92" s="112"/>
      <c r="Z92" s="112"/>
      <c r="AA92" s="127"/>
      <c r="AB92" s="3" t="s">
        <v>1230</v>
      </c>
      <c r="AC92" s="3">
        <v>850000</v>
      </c>
      <c r="AD92" s="123"/>
      <c r="AE92" s="123"/>
      <c r="AF92" s="123"/>
      <c r="AG92" s="123"/>
      <c r="AH92" s="123"/>
      <c r="AI92" s="123"/>
      <c r="AJ92" s="123"/>
      <c r="AK92" s="505"/>
      <c r="AL92" s="505"/>
      <c r="AM92" s="505"/>
      <c r="AN92" s="505"/>
      <c r="AO92" s="505"/>
      <c r="AP92" s="505"/>
      <c r="AQ92" s="505"/>
      <c r="AR92" s="505"/>
      <c r="AS92" s="123"/>
      <c r="AT92" s="123"/>
      <c r="AU92" s="123"/>
      <c r="AV92" s="123"/>
      <c r="AW92" s="123"/>
      <c r="AX92" s="123"/>
      <c r="AY92" s="123"/>
    </row>
    <row r="93" spans="1:56" s="5" customFormat="1" ht="30" customHeight="1">
      <c r="A93" s="112">
        <f t="shared" si="31"/>
        <v>89</v>
      </c>
      <c r="B93" s="3">
        <v>20064</v>
      </c>
      <c r="C93" s="3" t="s">
        <v>512</v>
      </c>
      <c r="D93" s="112">
        <v>2000000</v>
      </c>
      <c r="E93" s="112">
        <v>2000000</v>
      </c>
      <c r="F93" s="112">
        <f t="shared" si="25"/>
        <v>0</v>
      </c>
      <c r="G93" s="112">
        <v>500000</v>
      </c>
      <c r="H93" s="112">
        <v>363833</v>
      </c>
      <c r="I93" s="112">
        <v>0</v>
      </c>
      <c r="J93" s="112">
        <v>133512</v>
      </c>
      <c r="K93" s="112">
        <f t="shared" si="26"/>
        <v>133512</v>
      </c>
      <c r="L93" s="112">
        <f t="shared" si="35"/>
        <v>497345</v>
      </c>
      <c r="M93" s="112">
        <f t="shared" si="37"/>
        <v>102655</v>
      </c>
      <c r="N93" s="112">
        <f>500000-300000</f>
        <v>200000</v>
      </c>
      <c r="O93" s="112">
        <f t="shared" si="27"/>
        <v>1200000</v>
      </c>
      <c r="P93" s="112">
        <f t="shared" si="28"/>
        <v>2655</v>
      </c>
      <c r="Q93" s="112">
        <v>100000</v>
      </c>
      <c r="R93" s="112"/>
      <c r="S93" s="112">
        <f t="shared" si="34"/>
        <v>100000</v>
      </c>
      <c r="T93" s="112">
        <f t="shared" si="29"/>
        <v>0</v>
      </c>
      <c r="U93" s="257">
        <f t="shared" si="30"/>
        <v>200000</v>
      </c>
      <c r="V93" s="112">
        <f t="shared" si="36"/>
        <v>200000</v>
      </c>
      <c r="W93" s="112"/>
      <c r="X93" s="112"/>
      <c r="Y93" s="112"/>
      <c r="Z93" s="112"/>
      <c r="AA93" s="127"/>
      <c r="AB93" s="3" t="s">
        <v>553</v>
      </c>
      <c r="AC93" s="3">
        <v>732000</v>
      </c>
      <c r="AD93" s="123"/>
      <c r="AE93" s="123"/>
      <c r="AF93" s="123"/>
      <c r="AG93" s="123"/>
      <c r="AH93" s="123"/>
      <c r="AI93" s="123"/>
      <c r="AJ93" s="123"/>
      <c r="AK93" s="505"/>
      <c r="AL93" s="505"/>
      <c r="AM93" s="505"/>
      <c r="AN93" s="505"/>
      <c r="AO93" s="505"/>
      <c r="AP93" s="505"/>
      <c r="AQ93" s="505"/>
      <c r="AR93" s="505"/>
      <c r="AS93" s="123"/>
      <c r="AT93" s="123"/>
      <c r="AU93" s="123"/>
      <c r="AV93" s="123"/>
      <c r="AW93" s="123"/>
      <c r="AX93" s="123"/>
      <c r="AY93" s="123"/>
    </row>
    <row r="94" spans="1:56" s="5" customFormat="1" ht="30" customHeight="1">
      <c r="A94" s="112">
        <f t="shared" si="31"/>
        <v>90</v>
      </c>
      <c r="B94" s="3">
        <v>20081</v>
      </c>
      <c r="C94" s="3" t="s">
        <v>592</v>
      </c>
      <c r="D94" s="112">
        <f>85000000+4300000</f>
        <v>89300000</v>
      </c>
      <c r="E94" s="112">
        <v>85000000</v>
      </c>
      <c r="F94" s="112">
        <f t="shared" si="25"/>
        <v>4300000</v>
      </c>
      <c r="G94" s="112">
        <v>53500000</v>
      </c>
      <c r="H94" s="112">
        <v>48696410</v>
      </c>
      <c r="I94" s="112">
        <v>0</v>
      </c>
      <c r="J94" s="112">
        <v>2237146</v>
      </c>
      <c r="K94" s="112">
        <f t="shared" si="26"/>
        <v>2237146</v>
      </c>
      <c r="L94" s="112">
        <f t="shared" si="35"/>
        <v>50933556</v>
      </c>
      <c r="M94" s="112">
        <f t="shared" si="37"/>
        <v>12566444</v>
      </c>
      <c r="N94" s="112">
        <f>22800000+1000000-3800000</f>
        <v>20000000</v>
      </c>
      <c r="O94" s="112">
        <f t="shared" si="27"/>
        <v>5800000</v>
      </c>
      <c r="P94" s="112">
        <f t="shared" si="28"/>
        <v>2566444</v>
      </c>
      <c r="Q94" s="112">
        <v>5000000</v>
      </c>
      <c r="R94" s="112">
        <f>7000000-2000000</f>
        <v>5000000</v>
      </c>
      <c r="S94" s="112">
        <f t="shared" si="34"/>
        <v>10000000</v>
      </c>
      <c r="T94" s="112">
        <f t="shared" si="29"/>
        <v>0</v>
      </c>
      <c r="U94" s="257">
        <f t="shared" si="30"/>
        <v>20000000</v>
      </c>
      <c r="V94" s="112">
        <f t="shared" si="36"/>
        <v>20000000</v>
      </c>
      <c r="W94" s="112"/>
      <c r="X94" s="112"/>
      <c r="Y94" s="112"/>
      <c r="Z94" s="112"/>
      <c r="AA94" s="127"/>
      <c r="AB94" s="3" t="s">
        <v>790</v>
      </c>
      <c r="AC94" s="3">
        <v>829000</v>
      </c>
      <c r="AD94" s="123"/>
      <c r="AE94" s="123"/>
      <c r="AF94" s="123"/>
      <c r="AG94" s="123"/>
      <c r="AH94" s="123"/>
      <c r="AI94" s="123"/>
      <c r="AJ94" s="123"/>
      <c r="AK94" s="505"/>
      <c r="AL94" s="505"/>
      <c r="AM94" s="505"/>
      <c r="AN94" s="505"/>
      <c r="AO94" s="505"/>
      <c r="AP94" s="505"/>
      <c r="AQ94" s="505"/>
      <c r="AR94" s="505"/>
      <c r="AS94" s="123"/>
      <c r="AT94" s="123"/>
      <c r="AU94" s="123"/>
      <c r="AV94" s="123"/>
      <c r="AW94" s="123"/>
      <c r="AX94" s="123"/>
      <c r="AY94" s="123"/>
    </row>
    <row r="95" spans="1:56" s="5" customFormat="1" ht="30" customHeight="1">
      <c r="A95" s="112">
        <f t="shared" si="31"/>
        <v>91</v>
      </c>
      <c r="B95" s="3">
        <v>20082</v>
      </c>
      <c r="C95" s="3" t="s">
        <v>578</v>
      </c>
      <c r="D95" s="112">
        <v>500000</v>
      </c>
      <c r="E95" s="112">
        <v>500000</v>
      </c>
      <c r="F95" s="112">
        <f t="shared" si="25"/>
        <v>0</v>
      </c>
      <c r="G95" s="112">
        <v>500000</v>
      </c>
      <c r="H95" s="112">
        <v>12464</v>
      </c>
      <c r="I95" s="112">
        <v>0</v>
      </c>
      <c r="J95" s="112">
        <v>118687</v>
      </c>
      <c r="K95" s="112">
        <f t="shared" si="26"/>
        <v>118687</v>
      </c>
      <c r="L95" s="112">
        <f t="shared" si="35"/>
        <v>131151</v>
      </c>
      <c r="M95" s="112">
        <f t="shared" si="37"/>
        <v>368849</v>
      </c>
      <c r="N95" s="112"/>
      <c r="O95" s="112">
        <f t="shared" si="27"/>
        <v>0</v>
      </c>
      <c r="P95" s="112">
        <f t="shared" si="28"/>
        <v>368849</v>
      </c>
      <c r="Q95" s="112"/>
      <c r="R95" s="112"/>
      <c r="S95" s="112">
        <f t="shared" si="34"/>
        <v>0</v>
      </c>
      <c r="T95" s="112">
        <f t="shared" si="29"/>
        <v>0</v>
      </c>
      <c r="U95" s="257">
        <f t="shared" si="30"/>
        <v>0</v>
      </c>
      <c r="V95" s="112">
        <f t="shared" si="36"/>
        <v>0</v>
      </c>
      <c r="W95" s="112"/>
      <c r="X95" s="112"/>
      <c r="Y95" s="112"/>
      <c r="Z95" s="112"/>
      <c r="AA95" s="127"/>
      <c r="AB95" s="3" t="s">
        <v>595</v>
      </c>
      <c r="AC95" s="3">
        <v>810000</v>
      </c>
      <c r="AD95" s="123"/>
      <c r="AE95" s="123"/>
      <c r="AF95" s="123"/>
      <c r="AG95" s="123"/>
      <c r="AH95" s="123"/>
      <c r="AI95" s="123"/>
      <c r="AJ95" s="123"/>
      <c r="AK95" s="505"/>
      <c r="AL95" s="505"/>
      <c r="AM95" s="505"/>
      <c r="AN95" s="505"/>
      <c r="AO95" s="505"/>
      <c r="AP95" s="505"/>
      <c r="AQ95" s="505"/>
      <c r="AR95" s="505"/>
      <c r="AS95" s="123"/>
      <c r="AT95" s="123"/>
      <c r="AU95" s="123"/>
      <c r="AV95" s="123"/>
      <c r="AW95" s="123"/>
      <c r="AX95" s="123"/>
      <c r="AY95" s="123"/>
    </row>
    <row r="96" spans="1:56" s="5" customFormat="1" ht="30" customHeight="1">
      <c r="A96" s="112">
        <f t="shared" si="31"/>
        <v>92</v>
      </c>
      <c r="B96" s="3">
        <v>20083</v>
      </c>
      <c r="C96" s="3" t="s">
        <v>579</v>
      </c>
      <c r="D96" s="112">
        <v>500000</v>
      </c>
      <c r="E96" s="112">
        <v>500000</v>
      </c>
      <c r="F96" s="112">
        <f t="shared" si="25"/>
        <v>0</v>
      </c>
      <c r="G96" s="112">
        <v>250000</v>
      </c>
      <c r="H96" s="112">
        <v>176266</v>
      </c>
      <c r="I96" s="112">
        <v>0</v>
      </c>
      <c r="J96" s="112">
        <v>71775</v>
      </c>
      <c r="K96" s="112">
        <f t="shared" si="26"/>
        <v>71775</v>
      </c>
      <c r="L96" s="112">
        <f t="shared" si="35"/>
        <v>248041</v>
      </c>
      <c r="M96" s="112">
        <f t="shared" si="37"/>
        <v>1959</v>
      </c>
      <c r="N96" s="112">
        <v>250000</v>
      </c>
      <c r="O96" s="112">
        <f t="shared" si="27"/>
        <v>0</v>
      </c>
      <c r="P96" s="112">
        <f t="shared" si="28"/>
        <v>1959</v>
      </c>
      <c r="Q96" s="112"/>
      <c r="R96" s="112"/>
      <c r="S96" s="112">
        <f t="shared" si="34"/>
        <v>0</v>
      </c>
      <c r="T96" s="112">
        <f t="shared" si="29"/>
        <v>0</v>
      </c>
      <c r="U96" s="257">
        <f t="shared" si="30"/>
        <v>250000</v>
      </c>
      <c r="V96" s="112">
        <f t="shared" si="36"/>
        <v>250000</v>
      </c>
      <c r="W96" s="112"/>
      <c r="X96" s="112"/>
      <c r="Y96" s="112"/>
      <c r="Z96" s="112"/>
      <c r="AA96" s="127"/>
      <c r="AB96" s="3" t="s">
        <v>594</v>
      </c>
      <c r="AC96" s="3">
        <v>810000</v>
      </c>
      <c r="AD96" s="123"/>
      <c r="AE96" s="123"/>
      <c r="AF96" s="123"/>
      <c r="AG96" s="123"/>
      <c r="AH96" s="123"/>
      <c r="AI96" s="123"/>
      <c r="AJ96" s="123"/>
      <c r="AK96" s="505"/>
      <c r="AL96" s="505"/>
      <c r="AM96" s="505"/>
      <c r="AN96" s="505"/>
      <c r="AO96" s="505"/>
      <c r="AP96" s="505"/>
      <c r="AQ96" s="505"/>
      <c r="AR96" s="505"/>
      <c r="AS96" s="123"/>
      <c r="AT96" s="123"/>
      <c r="AU96" s="123"/>
      <c r="AV96" s="123"/>
      <c r="AW96" s="123"/>
      <c r="AX96" s="123"/>
      <c r="AY96" s="123"/>
    </row>
    <row r="97" spans="1:56" s="5" customFormat="1" ht="30" customHeight="1">
      <c r="A97" s="112">
        <f t="shared" si="31"/>
        <v>93</v>
      </c>
      <c r="B97" s="3">
        <v>20084</v>
      </c>
      <c r="C97" s="3" t="s">
        <v>580</v>
      </c>
      <c r="D97" s="112">
        <v>109000000</v>
      </c>
      <c r="E97" s="112">
        <v>109000000</v>
      </c>
      <c r="F97" s="112">
        <f t="shared" si="25"/>
        <v>0</v>
      </c>
      <c r="G97" s="112">
        <v>1763814</v>
      </c>
      <c r="H97" s="112">
        <v>1513184</v>
      </c>
      <c r="I97" s="112">
        <v>0</v>
      </c>
      <c r="J97" s="112">
        <v>224971</v>
      </c>
      <c r="K97" s="112">
        <f t="shared" si="26"/>
        <v>224971</v>
      </c>
      <c r="L97" s="112">
        <f t="shared" si="35"/>
        <v>1738155</v>
      </c>
      <c r="M97" s="112">
        <f t="shared" si="37"/>
        <v>5025659</v>
      </c>
      <c r="N97" s="112">
        <v>20000000</v>
      </c>
      <c r="O97" s="112">
        <f t="shared" si="27"/>
        <v>82236186</v>
      </c>
      <c r="P97" s="112">
        <f t="shared" si="28"/>
        <v>25659</v>
      </c>
      <c r="Q97" s="112">
        <v>5000000</v>
      </c>
      <c r="R97" s="112"/>
      <c r="S97" s="112">
        <f t="shared" si="34"/>
        <v>5000000</v>
      </c>
      <c r="T97" s="112">
        <f t="shared" si="29"/>
        <v>0</v>
      </c>
      <c r="U97" s="257">
        <f t="shared" si="30"/>
        <v>20000000</v>
      </c>
      <c r="V97" s="112">
        <f t="shared" si="36"/>
        <v>0</v>
      </c>
      <c r="W97" s="112"/>
      <c r="X97" s="112"/>
      <c r="Y97" s="112">
        <v>20000000</v>
      </c>
      <c r="Z97" s="112"/>
      <c r="AA97" s="112"/>
      <c r="AB97" s="3" t="s">
        <v>762</v>
      </c>
      <c r="AC97" s="3">
        <v>742000</v>
      </c>
      <c r="AD97" s="123"/>
      <c r="AE97" s="123"/>
      <c r="AF97" s="123"/>
      <c r="AG97" s="123"/>
      <c r="AH97" s="123"/>
      <c r="AI97" s="123"/>
      <c r="AJ97" s="123"/>
      <c r="AK97" s="505"/>
      <c r="AL97" s="505"/>
      <c r="AM97" s="505"/>
      <c r="AN97" s="505"/>
      <c r="AO97" s="505"/>
      <c r="AP97" s="505"/>
      <c r="AQ97" s="505"/>
      <c r="AR97" s="505"/>
      <c r="AS97" s="123"/>
      <c r="AT97" s="123"/>
      <c r="AU97" s="123"/>
      <c r="AV97" s="123"/>
      <c r="AW97" s="123"/>
      <c r="AX97" s="123"/>
      <c r="AY97" s="123"/>
    </row>
    <row r="98" spans="1:56" s="5" customFormat="1" ht="30" customHeight="1">
      <c r="A98" s="112">
        <f t="shared" si="31"/>
        <v>94</v>
      </c>
      <c r="B98" s="3">
        <v>20087</v>
      </c>
      <c r="C98" s="3" t="s">
        <v>581</v>
      </c>
      <c r="D98" s="112">
        <f>8500000+1000000+1000000+1000000</f>
        <v>11500000</v>
      </c>
      <c r="E98" s="112">
        <v>8500000</v>
      </c>
      <c r="F98" s="112">
        <f t="shared" si="25"/>
        <v>3000000</v>
      </c>
      <c r="G98" s="112">
        <v>7500000</v>
      </c>
      <c r="H98" s="112">
        <v>5046724</v>
      </c>
      <c r="I98" s="112">
        <v>0</v>
      </c>
      <c r="J98" s="112">
        <v>1661630</v>
      </c>
      <c r="K98" s="112">
        <f t="shared" si="26"/>
        <v>1661630</v>
      </c>
      <c r="L98" s="112">
        <f t="shared" si="35"/>
        <v>6708354</v>
      </c>
      <c r="M98" s="112">
        <f t="shared" si="37"/>
        <v>1791646</v>
      </c>
      <c r="N98" s="112">
        <f>1000000+1000000+1000000</f>
        <v>3000000</v>
      </c>
      <c r="O98" s="112">
        <f t="shared" si="27"/>
        <v>0</v>
      </c>
      <c r="P98" s="112">
        <f t="shared" si="28"/>
        <v>791646</v>
      </c>
      <c r="Q98" s="112">
        <v>1000000</v>
      </c>
      <c r="R98" s="112"/>
      <c r="S98" s="112">
        <f t="shared" si="34"/>
        <v>1000000</v>
      </c>
      <c r="T98" s="112">
        <f t="shared" si="29"/>
        <v>0</v>
      </c>
      <c r="U98" s="257">
        <f t="shared" si="30"/>
        <v>3000000</v>
      </c>
      <c r="V98" s="112">
        <f t="shared" si="36"/>
        <v>0</v>
      </c>
      <c r="W98" s="112"/>
      <c r="X98" s="112"/>
      <c r="Y98" s="112">
        <f>1000000+1000000+1000000</f>
        <v>3000000</v>
      </c>
      <c r="Z98" s="112"/>
      <c r="AA98" s="127"/>
      <c r="AB98" s="3" t="s">
        <v>761</v>
      </c>
      <c r="AC98" s="3">
        <v>742000</v>
      </c>
      <c r="AD98" s="123"/>
      <c r="AE98" s="123"/>
      <c r="AF98" s="123"/>
      <c r="AG98" s="123"/>
      <c r="AH98" s="123"/>
      <c r="AI98" s="123"/>
      <c r="AJ98" s="123"/>
      <c r="AK98" s="505"/>
      <c r="AL98" s="505"/>
      <c r="AM98" s="505"/>
      <c r="AN98" s="505"/>
      <c r="AO98" s="505"/>
      <c r="AP98" s="505"/>
      <c r="AQ98" s="505"/>
      <c r="AR98" s="505"/>
      <c r="AS98" s="123"/>
      <c r="AT98" s="123"/>
      <c r="AU98" s="123"/>
      <c r="AV98" s="123"/>
      <c r="AW98" s="123"/>
      <c r="AX98" s="123"/>
      <c r="AY98" s="123"/>
    </row>
    <row r="99" spans="1:56" s="212" customFormat="1" ht="30" customHeight="1">
      <c r="A99" s="112">
        <f t="shared" si="31"/>
        <v>95</v>
      </c>
      <c r="B99" s="3">
        <v>20093</v>
      </c>
      <c r="C99" s="3" t="s">
        <v>582</v>
      </c>
      <c r="D99" s="112">
        <f>12000000+12000000</f>
        <v>24000000</v>
      </c>
      <c r="E99" s="112">
        <v>12000000</v>
      </c>
      <c r="F99" s="112">
        <f t="shared" si="25"/>
        <v>12000000</v>
      </c>
      <c r="G99" s="112">
        <v>3750000</v>
      </c>
      <c r="H99" s="112">
        <v>2201661</v>
      </c>
      <c r="I99" s="112">
        <v>0</v>
      </c>
      <c r="J99" s="112">
        <v>1347190</v>
      </c>
      <c r="K99" s="112">
        <f t="shared" si="26"/>
        <v>1347190</v>
      </c>
      <c r="L99" s="112">
        <f t="shared" si="35"/>
        <v>3548851</v>
      </c>
      <c r="M99" s="112">
        <f t="shared" si="37"/>
        <v>4201149</v>
      </c>
      <c r="N99" s="112">
        <f>13750000-8750000+2500000-5000000</f>
        <v>2500000</v>
      </c>
      <c r="O99" s="112">
        <f t="shared" si="27"/>
        <v>13750000</v>
      </c>
      <c r="P99" s="112">
        <f t="shared" si="28"/>
        <v>201149</v>
      </c>
      <c r="Q99" s="112">
        <f>2477000+4023000-2500000</f>
        <v>4000000</v>
      </c>
      <c r="R99" s="112"/>
      <c r="S99" s="112">
        <f t="shared" si="34"/>
        <v>4000000</v>
      </c>
      <c r="T99" s="112">
        <f t="shared" si="29"/>
        <v>0</v>
      </c>
      <c r="U99" s="257">
        <f t="shared" si="30"/>
        <v>2500000</v>
      </c>
      <c r="V99" s="112">
        <f t="shared" si="36"/>
        <v>2500000</v>
      </c>
      <c r="W99" s="112"/>
      <c r="X99" s="112"/>
      <c r="Y99" s="112"/>
      <c r="Z99" s="112"/>
      <c r="AA99" s="112"/>
      <c r="AB99" s="3" t="s">
        <v>1255</v>
      </c>
      <c r="AC99" s="3">
        <v>829000</v>
      </c>
      <c r="AD99" s="123"/>
      <c r="AE99" s="123"/>
      <c r="AF99" s="123"/>
      <c r="AG99" s="123"/>
      <c r="AH99" s="123"/>
      <c r="AI99" s="123"/>
      <c r="AJ99" s="123"/>
      <c r="AK99" s="505"/>
      <c r="AL99" s="505"/>
      <c r="AM99" s="505"/>
      <c r="AN99" s="505"/>
      <c r="AO99" s="505"/>
      <c r="AP99" s="505"/>
      <c r="AQ99" s="505"/>
      <c r="AR99" s="505"/>
      <c r="AS99" s="123"/>
      <c r="AT99" s="123"/>
      <c r="AU99" s="123"/>
      <c r="AV99" s="123"/>
      <c r="AW99" s="123"/>
      <c r="AX99" s="123"/>
      <c r="AY99" s="123"/>
      <c r="AZ99" s="131"/>
      <c r="BA99" s="131"/>
      <c r="BB99" s="131"/>
      <c r="BC99" s="131"/>
      <c r="BD99" s="131"/>
    </row>
    <row r="100" spans="1:56" s="212" customFormat="1" ht="30" customHeight="1">
      <c r="A100" s="112">
        <f t="shared" si="31"/>
        <v>96</v>
      </c>
      <c r="B100" s="3">
        <v>20097</v>
      </c>
      <c r="C100" s="3" t="s">
        <v>583</v>
      </c>
      <c r="D100" s="112">
        <v>2900000</v>
      </c>
      <c r="E100" s="112">
        <v>2900000</v>
      </c>
      <c r="F100" s="112">
        <f t="shared" si="25"/>
        <v>0</v>
      </c>
      <c r="G100" s="112">
        <v>0</v>
      </c>
      <c r="H100" s="112">
        <v>0</v>
      </c>
      <c r="I100" s="112">
        <v>0</v>
      </c>
      <c r="J100" s="112">
        <v>0</v>
      </c>
      <c r="K100" s="112">
        <f t="shared" si="26"/>
        <v>0</v>
      </c>
      <c r="L100" s="112">
        <f t="shared" si="35"/>
        <v>0</v>
      </c>
      <c r="M100" s="112">
        <f t="shared" si="37"/>
        <v>0</v>
      </c>
      <c r="N100" s="112"/>
      <c r="O100" s="112">
        <f t="shared" si="27"/>
        <v>2900000</v>
      </c>
      <c r="P100" s="112">
        <f t="shared" si="28"/>
        <v>0</v>
      </c>
      <c r="Q100" s="112"/>
      <c r="R100" s="112"/>
      <c r="S100" s="112">
        <f t="shared" si="34"/>
        <v>0</v>
      </c>
      <c r="T100" s="112">
        <f t="shared" si="29"/>
        <v>0</v>
      </c>
      <c r="U100" s="257">
        <f t="shared" si="30"/>
        <v>0</v>
      </c>
      <c r="V100" s="112">
        <f t="shared" si="36"/>
        <v>0</v>
      </c>
      <c r="W100" s="112"/>
      <c r="X100" s="112"/>
      <c r="Y100" s="112"/>
      <c r="Z100" s="112"/>
      <c r="AA100" s="112"/>
      <c r="AB100" s="3" t="s">
        <v>791</v>
      </c>
      <c r="AC100" s="3">
        <v>930000</v>
      </c>
      <c r="AD100" s="123"/>
      <c r="AE100" s="123"/>
      <c r="AF100" s="123"/>
      <c r="AG100" s="123"/>
      <c r="AH100" s="123"/>
      <c r="AI100" s="123"/>
      <c r="AJ100" s="123"/>
      <c r="AK100" s="505"/>
      <c r="AL100" s="505"/>
      <c r="AM100" s="505"/>
      <c r="AN100" s="505"/>
      <c r="AO100" s="505"/>
      <c r="AP100" s="505"/>
      <c r="AQ100" s="505"/>
      <c r="AR100" s="505"/>
      <c r="AS100" s="123"/>
      <c r="AT100" s="123"/>
      <c r="AU100" s="123"/>
      <c r="AV100" s="123"/>
      <c r="AW100" s="123"/>
      <c r="AX100" s="123"/>
      <c r="AY100" s="123"/>
      <c r="AZ100" s="5"/>
      <c r="BA100" s="5"/>
      <c r="BB100" s="5"/>
      <c r="BC100" s="5"/>
      <c r="BD100" s="5"/>
    </row>
    <row r="101" spans="1:56" s="212" customFormat="1" ht="30" customHeight="1">
      <c r="A101" s="112">
        <f t="shared" si="31"/>
        <v>97</v>
      </c>
      <c r="B101" s="3">
        <v>20098</v>
      </c>
      <c r="C101" s="3" t="s">
        <v>584</v>
      </c>
      <c r="D101" s="112">
        <v>500000</v>
      </c>
      <c r="E101" s="112">
        <v>500000</v>
      </c>
      <c r="F101" s="112">
        <f t="shared" ref="F101:F110" si="38">D101-E101</f>
        <v>0</v>
      </c>
      <c r="G101" s="112">
        <v>250000</v>
      </c>
      <c r="H101" s="112">
        <v>34258</v>
      </c>
      <c r="I101" s="112">
        <v>0</v>
      </c>
      <c r="J101" s="112">
        <v>114098</v>
      </c>
      <c r="K101" s="112">
        <f t="shared" ref="K101" si="39">SUM(I101:J101)</f>
        <v>114098</v>
      </c>
      <c r="L101" s="112">
        <f t="shared" si="35"/>
        <v>148356</v>
      </c>
      <c r="M101" s="112">
        <f t="shared" si="37"/>
        <v>101644</v>
      </c>
      <c r="N101" s="112">
        <v>250000</v>
      </c>
      <c r="O101" s="112">
        <f t="shared" ref="O101:O110" si="40">D101-L101-M101-N101</f>
        <v>0</v>
      </c>
      <c r="P101" s="112">
        <f t="shared" ref="P101:P110" si="41">G101-L101</f>
        <v>101644</v>
      </c>
      <c r="Q101" s="112"/>
      <c r="R101" s="112"/>
      <c r="S101" s="112">
        <f t="shared" si="34"/>
        <v>0</v>
      </c>
      <c r="T101" s="112">
        <f t="shared" ref="T101:T104" si="42">P101-M101+S101</f>
        <v>0</v>
      </c>
      <c r="U101" s="257">
        <f t="shared" ref="U101:U110" si="43">N101-T101</f>
        <v>250000</v>
      </c>
      <c r="V101" s="112">
        <f t="shared" si="36"/>
        <v>250000</v>
      </c>
      <c r="W101" s="112"/>
      <c r="X101" s="112"/>
      <c r="Y101" s="112"/>
      <c r="Z101" s="112"/>
      <c r="AA101" s="127"/>
      <c r="AB101" s="3" t="s">
        <v>593</v>
      </c>
      <c r="AC101" s="3">
        <v>742000</v>
      </c>
      <c r="AD101" s="123"/>
      <c r="AE101" s="123"/>
      <c r="AF101" s="123"/>
      <c r="AG101" s="123"/>
      <c r="AH101" s="123"/>
      <c r="AI101" s="123"/>
      <c r="AJ101" s="123"/>
      <c r="AK101" s="505"/>
      <c r="AL101" s="505"/>
      <c r="AM101" s="505"/>
      <c r="AN101" s="505"/>
      <c r="AO101" s="505"/>
      <c r="AP101" s="505"/>
      <c r="AQ101" s="505"/>
      <c r="AR101" s="505"/>
      <c r="AS101" s="123"/>
      <c r="AT101" s="123"/>
      <c r="AU101" s="123"/>
      <c r="AV101" s="123"/>
      <c r="AW101" s="123"/>
      <c r="AX101" s="123"/>
      <c r="AY101" s="123"/>
      <c r="AZ101" s="5"/>
      <c r="BA101" s="5"/>
      <c r="BB101" s="5"/>
      <c r="BC101" s="5"/>
      <c r="BD101" s="5"/>
    </row>
    <row r="102" spans="1:56" s="126" customFormat="1" ht="30" customHeight="1">
      <c r="A102" s="112">
        <f t="shared" si="31"/>
        <v>98</v>
      </c>
      <c r="B102" s="19">
        <v>20108</v>
      </c>
      <c r="C102" s="127" t="s">
        <v>615</v>
      </c>
      <c r="D102" s="112">
        <v>3500000</v>
      </c>
      <c r="E102" s="112">
        <v>3500000</v>
      </c>
      <c r="F102" s="257">
        <f t="shared" si="38"/>
        <v>0</v>
      </c>
      <c r="G102" s="112">
        <v>0</v>
      </c>
      <c r="H102" s="112">
        <v>0</v>
      </c>
      <c r="I102" s="112">
        <v>0</v>
      </c>
      <c r="J102" s="112">
        <v>0</v>
      </c>
      <c r="K102" s="112">
        <f t="shared" ref="K102:K108" si="44">I102+J102</f>
        <v>0</v>
      </c>
      <c r="L102" s="112">
        <f t="shared" ref="L102:L110" si="45">H102+K102</f>
        <v>0</v>
      </c>
      <c r="M102" s="495">
        <f t="shared" si="37"/>
        <v>350000</v>
      </c>
      <c r="N102" s="4">
        <f>350000-350000</f>
        <v>0</v>
      </c>
      <c r="O102" s="4">
        <f t="shared" si="40"/>
        <v>3150000</v>
      </c>
      <c r="P102" s="112">
        <f t="shared" si="41"/>
        <v>0</v>
      </c>
      <c r="Q102" s="112">
        <v>350000</v>
      </c>
      <c r="R102" s="112"/>
      <c r="S102" s="112">
        <f t="shared" si="34"/>
        <v>350000</v>
      </c>
      <c r="T102" s="257">
        <f t="shared" si="42"/>
        <v>0</v>
      </c>
      <c r="U102" s="112">
        <f t="shared" si="43"/>
        <v>0</v>
      </c>
      <c r="V102" s="4">
        <f>U102-AA102-W102-Z102-Y102-X102</f>
        <v>0</v>
      </c>
      <c r="W102" s="112"/>
      <c r="X102" s="112"/>
      <c r="Y102" s="112"/>
      <c r="Z102" s="112"/>
      <c r="AA102" s="112"/>
      <c r="AB102" s="498" t="s">
        <v>759</v>
      </c>
      <c r="AC102" s="3">
        <v>732000</v>
      </c>
      <c r="AD102" s="123"/>
      <c r="AE102" s="123"/>
      <c r="AF102" s="123"/>
      <c r="AG102" s="123"/>
      <c r="AH102" s="123"/>
      <c r="AI102" s="123"/>
      <c r="AJ102" s="484"/>
      <c r="AK102" s="484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</row>
    <row r="103" spans="1:56" ht="30" customHeight="1">
      <c r="A103" s="112">
        <f t="shared" si="31"/>
        <v>99</v>
      </c>
      <c r="B103" s="19">
        <v>20109</v>
      </c>
      <c r="C103" s="127" t="s">
        <v>606</v>
      </c>
      <c r="D103" s="112">
        <v>1500000</v>
      </c>
      <c r="E103" s="112">
        <v>1500000</v>
      </c>
      <c r="F103" s="112">
        <f t="shared" si="38"/>
        <v>0</v>
      </c>
      <c r="G103" s="112">
        <v>0</v>
      </c>
      <c r="H103" s="112">
        <v>0</v>
      </c>
      <c r="I103" s="112">
        <v>0</v>
      </c>
      <c r="J103" s="112">
        <v>0</v>
      </c>
      <c r="K103" s="112">
        <f t="shared" si="44"/>
        <v>0</v>
      </c>
      <c r="L103" s="112">
        <f t="shared" si="45"/>
        <v>0</v>
      </c>
      <c r="M103" s="112">
        <f t="shared" si="37"/>
        <v>1500000</v>
      </c>
      <c r="N103" s="112"/>
      <c r="O103" s="112">
        <f t="shared" si="40"/>
        <v>0</v>
      </c>
      <c r="P103" s="112">
        <f t="shared" si="41"/>
        <v>0</v>
      </c>
      <c r="Q103" s="112">
        <v>1500000</v>
      </c>
      <c r="R103" s="112"/>
      <c r="S103" s="112">
        <f t="shared" si="34"/>
        <v>1500000</v>
      </c>
      <c r="T103" s="112">
        <f t="shared" si="42"/>
        <v>0</v>
      </c>
      <c r="U103" s="257">
        <f t="shared" si="43"/>
        <v>0</v>
      </c>
      <c r="V103" s="112">
        <f>U103-W103-Z103-AA103</f>
        <v>0</v>
      </c>
      <c r="W103" s="112"/>
      <c r="X103" s="112"/>
      <c r="Y103" s="112"/>
      <c r="Z103" s="112"/>
      <c r="AA103" s="112"/>
      <c r="AB103" s="3" t="s">
        <v>792</v>
      </c>
      <c r="AC103" s="3">
        <v>840000</v>
      </c>
    </row>
    <row r="104" spans="1:56" s="126" customFormat="1" ht="30" customHeight="1">
      <c r="A104" s="112">
        <f t="shared" si="31"/>
        <v>100</v>
      </c>
      <c r="B104" s="19">
        <v>20110</v>
      </c>
      <c r="C104" s="127" t="s">
        <v>609</v>
      </c>
      <c r="D104" s="112">
        <v>600000</v>
      </c>
      <c r="E104" s="112">
        <v>600000</v>
      </c>
      <c r="F104" s="112">
        <f t="shared" si="38"/>
        <v>0</v>
      </c>
      <c r="G104" s="112">
        <v>250000</v>
      </c>
      <c r="H104" s="112">
        <v>14263</v>
      </c>
      <c r="I104" s="112">
        <v>0</v>
      </c>
      <c r="J104" s="112">
        <v>233777</v>
      </c>
      <c r="K104" s="112">
        <f t="shared" si="44"/>
        <v>233777</v>
      </c>
      <c r="L104" s="112">
        <f t="shared" si="45"/>
        <v>248040</v>
      </c>
      <c r="M104" s="112">
        <f t="shared" si="37"/>
        <v>251960</v>
      </c>
      <c r="N104" s="112">
        <f>350000-250000</f>
        <v>100000</v>
      </c>
      <c r="O104" s="112">
        <f t="shared" si="40"/>
        <v>0</v>
      </c>
      <c r="P104" s="112">
        <f t="shared" si="41"/>
        <v>1960</v>
      </c>
      <c r="Q104" s="112">
        <v>250000</v>
      </c>
      <c r="R104" s="112"/>
      <c r="S104" s="112">
        <f t="shared" si="34"/>
        <v>250000</v>
      </c>
      <c r="T104" s="112">
        <f t="shared" si="42"/>
        <v>0</v>
      </c>
      <c r="U104" s="257">
        <f t="shared" si="43"/>
        <v>100000</v>
      </c>
      <c r="V104" s="112">
        <f>U104-W104-Z104-AA104-Y104</f>
        <v>0</v>
      </c>
      <c r="W104" s="112"/>
      <c r="X104" s="112"/>
      <c r="Y104" s="112">
        <v>100000</v>
      </c>
      <c r="Z104" s="112"/>
      <c r="AA104" s="112"/>
      <c r="AB104" s="3" t="s">
        <v>718</v>
      </c>
      <c r="AC104" s="3">
        <v>810000</v>
      </c>
      <c r="AD104" s="123"/>
      <c r="AE104" s="123"/>
      <c r="AF104" s="123"/>
      <c r="AG104" s="123"/>
      <c r="AH104" s="123"/>
      <c r="AI104" s="123"/>
      <c r="AJ104" s="123"/>
      <c r="AK104" s="505"/>
      <c r="AL104" s="505"/>
      <c r="AM104" s="505"/>
      <c r="AN104" s="505"/>
      <c r="AO104" s="505"/>
      <c r="AP104" s="505"/>
      <c r="AQ104" s="505"/>
      <c r="AR104" s="505"/>
      <c r="AS104" s="123"/>
      <c r="AT104" s="123"/>
      <c r="AU104" s="123"/>
      <c r="AV104" s="123"/>
      <c r="AW104" s="123"/>
      <c r="AX104" s="123"/>
      <c r="AY104" s="123"/>
      <c r="AZ104" s="5"/>
      <c r="BA104" s="5"/>
      <c r="BB104" s="5"/>
      <c r="BC104" s="5"/>
      <c r="BD104" s="5"/>
    </row>
    <row r="105" spans="1:56" s="126" customFormat="1" ht="30" customHeight="1">
      <c r="A105" s="112">
        <f t="shared" si="31"/>
        <v>101</v>
      </c>
      <c r="B105" s="19">
        <v>20111</v>
      </c>
      <c r="C105" s="127" t="s">
        <v>656</v>
      </c>
      <c r="D105" s="112">
        <v>3400000</v>
      </c>
      <c r="E105" s="112">
        <v>3400000</v>
      </c>
      <c r="F105" s="112">
        <f t="shared" si="38"/>
        <v>0</v>
      </c>
      <c r="G105" s="112">
        <v>0</v>
      </c>
      <c r="H105" s="112">
        <v>0</v>
      </c>
      <c r="I105" s="112">
        <v>0</v>
      </c>
      <c r="J105" s="112">
        <v>0</v>
      </c>
      <c r="K105" s="112">
        <f t="shared" si="44"/>
        <v>0</v>
      </c>
      <c r="L105" s="112">
        <f t="shared" si="45"/>
        <v>0</v>
      </c>
      <c r="M105" s="112">
        <f t="shared" si="37"/>
        <v>0</v>
      </c>
      <c r="N105" s="112"/>
      <c r="O105" s="112">
        <f t="shared" si="40"/>
        <v>3400000</v>
      </c>
      <c r="P105" s="112">
        <f t="shared" si="41"/>
        <v>0</v>
      </c>
      <c r="Q105" s="112"/>
      <c r="R105" s="112"/>
      <c r="S105" s="112">
        <f t="shared" si="34"/>
        <v>0</v>
      </c>
      <c r="T105" s="112"/>
      <c r="U105" s="257">
        <f t="shared" si="43"/>
        <v>0</v>
      </c>
      <c r="V105" s="112">
        <f>U105-W105-Z105-AA105</f>
        <v>0</v>
      </c>
      <c r="W105" s="112"/>
      <c r="X105" s="112"/>
      <c r="Y105" s="112"/>
      <c r="Z105" s="112"/>
      <c r="AA105" s="112"/>
      <c r="AB105" s="3" t="s">
        <v>672</v>
      </c>
      <c r="AC105" s="3">
        <v>742000</v>
      </c>
      <c r="AD105" s="123"/>
      <c r="AE105" s="123"/>
      <c r="AF105" s="123"/>
      <c r="AG105" s="123"/>
      <c r="AH105" s="123"/>
      <c r="AI105" s="123"/>
      <c r="AJ105" s="123"/>
      <c r="AK105" s="505"/>
      <c r="AL105" s="505"/>
      <c r="AM105" s="505"/>
      <c r="AN105" s="505"/>
      <c r="AO105" s="505"/>
      <c r="AP105" s="505"/>
      <c r="AQ105" s="505"/>
      <c r="AR105" s="505"/>
      <c r="AS105" s="123"/>
      <c r="AT105" s="123"/>
      <c r="AU105" s="123"/>
      <c r="AV105" s="123"/>
      <c r="AW105" s="123"/>
      <c r="AX105" s="123"/>
      <c r="AY105" s="123"/>
      <c r="AZ105" s="5"/>
      <c r="BA105" s="5"/>
      <c r="BB105" s="5"/>
      <c r="BC105" s="5"/>
      <c r="BD105" s="5"/>
    </row>
    <row r="106" spans="1:56" ht="30" customHeight="1">
      <c r="A106" s="112">
        <f t="shared" si="31"/>
        <v>102</v>
      </c>
      <c r="B106" s="19">
        <v>20112</v>
      </c>
      <c r="C106" s="127" t="s">
        <v>657</v>
      </c>
      <c r="D106" s="112">
        <v>4700000</v>
      </c>
      <c r="E106" s="112">
        <v>4700000</v>
      </c>
      <c r="F106" s="112">
        <f t="shared" si="38"/>
        <v>0</v>
      </c>
      <c r="G106" s="112">
        <v>0</v>
      </c>
      <c r="H106" s="112">
        <v>0</v>
      </c>
      <c r="I106" s="112">
        <v>0</v>
      </c>
      <c r="J106" s="112">
        <v>0</v>
      </c>
      <c r="K106" s="112">
        <f t="shared" si="44"/>
        <v>0</v>
      </c>
      <c r="L106" s="112">
        <f t="shared" si="45"/>
        <v>0</v>
      </c>
      <c r="M106" s="112">
        <f t="shared" si="37"/>
        <v>0</v>
      </c>
      <c r="N106" s="112">
        <f>2700000-2700000</f>
        <v>0</v>
      </c>
      <c r="O106" s="112">
        <f t="shared" si="40"/>
        <v>4700000</v>
      </c>
      <c r="P106" s="112">
        <f t="shared" si="41"/>
        <v>0</v>
      </c>
      <c r="Q106" s="112"/>
      <c r="R106" s="112"/>
      <c r="S106" s="112">
        <f t="shared" si="34"/>
        <v>0</v>
      </c>
      <c r="T106" s="112"/>
      <c r="U106" s="257">
        <f t="shared" si="43"/>
        <v>0</v>
      </c>
      <c r="V106" s="112">
        <f>U106-W106-Z106-AA106</f>
        <v>0</v>
      </c>
      <c r="W106" s="112"/>
      <c r="X106" s="112"/>
      <c r="Y106" s="112"/>
      <c r="Z106" s="112"/>
      <c r="AA106" s="112"/>
      <c r="AB106" s="3" t="s">
        <v>680</v>
      </c>
      <c r="AC106" s="3">
        <v>746000</v>
      </c>
      <c r="AZ106" s="5"/>
      <c r="BA106" s="5"/>
      <c r="BB106" s="5"/>
      <c r="BC106" s="5"/>
      <c r="BD106" s="5"/>
    </row>
    <row r="107" spans="1:56" ht="30" customHeight="1">
      <c r="A107" s="112">
        <f t="shared" si="31"/>
        <v>103</v>
      </c>
      <c r="B107" s="19">
        <v>20113</v>
      </c>
      <c r="C107" s="127" t="s">
        <v>670</v>
      </c>
      <c r="D107" s="112">
        <f>2800000</f>
        <v>2800000</v>
      </c>
      <c r="E107" s="112">
        <v>2030000</v>
      </c>
      <c r="F107" s="112">
        <f t="shared" si="38"/>
        <v>770000</v>
      </c>
      <c r="G107" s="112">
        <v>0</v>
      </c>
      <c r="H107" s="112">
        <v>0</v>
      </c>
      <c r="I107" s="112">
        <v>0</v>
      </c>
      <c r="J107" s="112">
        <v>0</v>
      </c>
      <c r="K107" s="112">
        <f t="shared" si="44"/>
        <v>0</v>
      </c>
      <c r="L107" s="112">
        <f t="shared" si="45"/>
        <v>0</v>
      </c>
      <c r="M107" s="112">
        <f t="shared" si="37"/>
        <v>1000000</v>
      </c>
      <c r="N107" s="112">
        <f>1800000-800000</f>
        <v>1000000</v>
      </c>
      <c r="O107" s="112">
        <f t="shared" si="40"/>
        <v>800000</v>
      </c>
      <c r="P107" s="112">
        <f t="shared" si="41"/>
        <v>0</v>
      </c>
      <c r="Q107" s="112">
        <v>1000000</v>
      </c>
      <c r="R107" s="112"/>
      <c r="S107" s="112">
        <f t="shared" si="34"/>
        <v>1000000</v>
      </c>
      <c r="T107" s="112"/>
      <c r="U107" s="257">
        <f t="shared" si="43"/>
        <v>1000000</v>
      </c>
      <c r="V107" s="112">
        <f>U107-W107-Z107-AA107</f>
        <v>1000000</v>
      </c>
      <c r="W107" s="112"/>
      <c r="X107" s="112"/>
      <c r="Y107" s="112"/>
      <c r="Z107" s="112"/>
      <c r="AA107" s="112"/>
      <c r="AB107" s="3" t="s">
        <v>671</v>
      </c>
      <c r="AC107" s="3">
        <v>742000</v>
      </c>
      <c r="AZ107" s="5"/>
      <c r="BA107" s="5"/>
      <c r="BB107" s="5"/>
      <c r="BC107" s="5"/>
      <c r="BD107" s="5"/>
    </row>
    <row r="108" spans="1:56" ht="30" customHeight="1">
      <c r="A108" s="112">
        <f t="shared" si="31"/>
        <v>104</v>
      </c>
      <c r="B108" s="19">
        <v>20114</v>
      </c>
      <c r="C108" s="127" t="s">
        <v>695</v>
      </c>
      <c r="D108" s="112">
        <f>5000000+5000000-1000000</f>
        <v>9000000</v>
      </c>
      <c r="E108" s="112">
        <v>5000000</v>
      </c>
      <c r="F108" s="112">
        <f t="shared" si="38"/>
        <v>4000000</v>
      </c>
      <c r="G108" s="112">
        <v>0</v>
      </c>
      <c r="H108" s="112">
        <v>0</v>
      </c>
      <c r="I108" s="112">
        <v>0</v>
      </c>
      <c r="J108" s="112">
        <v>0</v>
      </c>
      <c r="K108" s="112">
        <f t="shared" si="44"/>
        <v>0</v>
      </c>
      <c r="L108" s="112">
        <f t="shared" si="45"/>
        <v>0</v>
      </c>
      <c r="M108" s="112">
        <f t="shared" si="37"/>
        <v>0</v>
      </c>
      <c r="N108" s="112">
        <f>5000000+5000000-1000000-1000000-2000000</f>
        <v>6000000</v>
      </c>
      <c r="O108" s="112">
        <f t="shared" si="40"/>
        <v>3000000</v>
      </c>
      <c r="P108" s="112">
        <f t="shared" si="41"/>
        <v>0</v>
      </c>
      <c r="Q108" s="112"/>
      <c r="R108" s="112"/>
      <c r="S108" s="112">
        <f t="shared" si="34"/>
        <v>0</v>
      </c>
      <c r="T108" s="112"/>
      <c r="U108" s="257">
        <f t="shared" si="43"/>
        <v>6000000</v>
      </c>
      <c r="V108" s="112">
        <f>U108-W108-Z108-AA108</f>
        <v>6000000</v>
      </c>
      <c r="W108" s="112"/>
      <c r="X108" s="112"/>
      <c r="Y108" s="112"/>
      <c r="Z108" s="112"/>
      <c r="AA108" s="112"/>
      <c r="AB108" s="3" t="s">
        <v>1207</v>
      </c>
      <c r="AC108" s="3">
        <v>810000</v>
      </c>
      <c r="AZ108" s="5"/>
      <c r="BA108" s="5"/>
      <c r="BB108" s="5"/>
      <c r="BC108" s="5"/>
      <c r="BD108" s="5"/>
    </row>
    <row r="109" spans="1:56" ht="30" customHeight="1">
      <c r="A109" s="112">
        <f t="shared" si="31"/>
        <v>105</v>
      </c>
      <c r="B109" s="19">
        <v>20129</v>
      </c>
      <c r="C109" s="207" t="s">
        <v>758</v>
      </c>
      <c r="D109" s="112">
        <v>117500000</v>
      </c>
      <c r="E109" s="112">
        <v>117500000</v>
      </c>
      <c r="F109" s="112">
        <f t="shared" si="38"/>
        <v>0</v>
      </c>
      <c r="G109" s="112">
        <v>0</v>
      </c>
      <c r="H109" s="112">
        <v>0</v>
      </c>
      <c r="I109" s="112">
        <v>0</v>
      </c>
      <c r="J109" s="112">
        <v>0</v>
      </c>
      <c r="K109" s="112">
        <f>SUM(I109:J109)</f>
        <v>0</v>
      </c>
      <c r="L109" s="112">
        <f t="shared" si="45"/>
        <v>0</v>
      </c>
      <c r="M109" s="112">
        <f t="shared" si="37"/>
        <v>0</v>
      </c>
      <c r="N109" s="112">
        <f>2000000-1000000-300000</f>
        <v>700000</v>
      </c>
      <c r="O109" s="112">
        <f t="shared" si="40"/>
        <v>116800000</v>
      </c>
      <c r="P109" s="112">
        <f t="shared" si="41"/>
        <v>0</v>
      </c>
      <c r="Q109" s="112"/>
      <c r="R109" s="112"/>
      <c r="S109" s="112">
        <f t="shared" si="34"/>
        <v>0</v>
      </c>
      <c r="T109" s="112">
        <f>P109-M109+S109</f>
        <v>0</v>
      </c>
      <c r="U109" s="452">
        <f t="shared" si="43"/>
        <v>700000</v>
      </c>
      <c r="V109" s="112">
        <f>U109-AA109</f>
        <v>700000</v>
      </c>
      <c r="W109" s="112"/>
      <c r="X109" s="112"/>
      <c r="Y109" s="112"/>
      <c r="Z109" s="112"/>
      <c r="AA109" s="112"/>
      <c r="AB109" s="3" t="s">
        <v>854</v>
      </c>
      <c r="AC109" s="3">
        <v>742000</v>
      </c>
      <c r="AK109" s="123"/>
      <c r="AL109" s="123"/>
      <c r="AM109" s="123"/>
      <c r="AN109" s="123"/>
      <c r="AO109" s="123"/>
      <c r="AP109" s="123"/>
      <c r="AQ109" s="123"/>
      <c r="AR109" s="123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 ht="30" customHeight="1">
      <c r="A110" s="112">
        <f t="shared" si="31"/>
        <v>106</v>
      </c>
      <c r="B110" s="19">
        <v>20139</v>
      </c>
      <c r="C110" s="127" t="s">
        <v>801</v>
      </c>
      <c r="D110" s="112">
        <v>27500000</v>
      </c>
      <c r="E110" s="112">
        <v>27500000</v>
      </c>
      <c r="F110" s="112">
        <f t="shared" si="38"/>
        <v>0</v>
      </c>
      <c r="G110" s="112">
        <v>25500000</v>
      </c>
      <c r="H110" s="112">
        <v>6086728</v>
      </c>
      <c r="I110" s="112">
        <v>0</v>
      </c>
      <c r="J110" s="112">
        <v>1214071</v>
      </c>
      <c r="K110" s="112">
        <f>I110+J110</f>
        <v>1214071</v>
      </c>
      <c r="L110" s="112">
        <f t="shared" si="45"/>
        <v>7300799</v>
      </c>
      <c r="M110" s="112">
        <f t="shared" si="37"/>
        <v>20199201</v>
      </c>
      <c r="N110" s="112"/>
      <c r="O110" s="112">
        <f t="shared" si="40"/>
        <v>0</v>
      </c>
      <c r="P110" s="112">
        <f t="shared" si="41"/>
        <v>18199201</v>
      </c>
      <c r="Q110" s="112"/>
      <c r="R110" s="112">
        <v>2000000</v>
      </c>
      <c r="S110" s="112">
        <f t="shared" si="34"/>
        <v>2000000</v>
      </c>
      <c r="T110" s="112"/>
      <c r="U110" s="257">
        <f t="shared" si="43"/>
        <v>0</v>
      </c>
      <c r="V110" s="112">
        <f>U110-W110-Z110-AA110</f>
        <v>0</v>
      </c>
      <c r="W110" s="112"/>
      <c r="X110" s="112"/>
      <c r="Y110" s="112"/>
      <c r="Z110" s="112"/>
      <c r="AA110" s="112"/>
      <c r="AB110" s="3" t="s">
        <v>804</v>
      </c>
      <c r="AC110" s="3">
        <v>810000</v>
      </c>
    </row>
    <row r="111" spans="1:56" s="5" customFormat="1" ht="30" customHeight="1">
      <c r="A111" s="112">
        <f t="shared" si="31"/>
        <v>107</v>
      </c>
      <c r="B111" s="19">
        <v>20148</v>
      </c>
      <c r="C111" s="127" t="s">
        <v>1208</v>
      </c>
      <c r="D111" s="112">
        <v>500000</v>
      </c>
      <c r="E111" s="112"/>
      <c r="F111" s="112">
        <f t="shared" ref="F111:F118" si="46">D111-E111</f>
        <v>500000</v>
      </c>
      <c r="G111" s="112">
        <v>0</v>
      </c>
      <c r="H111" s="112"/>
      <c r="I111" s="112"/>
      <c r="J111" s="112"/>
      <c r="K111" s="112">
        <f t="shared" ref="K111:K118" si="47">I111+J111</f>
        <v>0</v>
      </c>
      <c r="L111" s="112">
        <f t="shared" ref="L111:L118" si="48">H111+K111</f>
        <v>0</v>
      </c>
      <c r="M111" s="112">
        <f t="shared" ref="M111:M118" si="49">P111+S111</f>
        <v>0</v>
      </c>
      <c r="N111" s="257">
        <v>500000</v>
      </c>
      <c r="O111" s="112">
        <f t="shared" ref="O111:O118" si="50">D111-L111-M111-N111</f>
        <v>0</v>
      </c>
      <c r="P111" s="112">
        <f t="shared" ref="P111:P118" si="51">G111-L111</f>
        <v>0</v>
      </c>
      <c r="Q111" s="112"/>
      <c r="R111" s="112"/>
      <c r="S111" s="112">
        <f t="shared" ref="S111:S118" si="52">SUM(Q111:R111)</f>
        <v>0</v>
      </c>
      <c r="T111" s="112">
        <f t="shared" ref="T111:T118" si="53">P111-M111+S111</f>
        <v>0</v>
      </c>
      <c r="U111" s="257">
        <f t="shared" ref="U111:U118" si="54">N111-T111</f>
        <v>500000</v>
      </c>
      <c r="V111" s="112">
        <f t="shared" ref="V111:V120" si="55">U111-Z111-X111-AA111-W111-Y111</f>
        <v>0</v>
      </c>
      <c r="W111" s="112"/>
      <c r="X111" s="112"/>
      <c r="Y111" s="112">
        <v>500000</v>
      </c>
      <c r="Z111" s="112"/>
      <c r="AA111" s="112"/>
      <c r="AB111" s="3" t="s">
        <v>1259</v>
      </c>
      <c r="AC111" s="3">
        <v>810000</v>
      </c>
      <c r="AD111" s="123"/>
      <c r="AE111" s="123"/>
      <c r="AF111" s="123"/>
      <c r="AG111" s="123"/>
      <c r="AH111" s="123"/>
      <c r="AI111" s="123"/>
      <c r="AJ111" s="123"/>
      <c r="AK111" s="505"/>
      <c r="AL111" s="505"/>
      <c r="AM111" s="505"/>
      <c r="AN111" s="505"/>
      <c r="AO111" s="505"/>
      <c r="AP111" s="505"/>
      <c r="AQ111" s="505"/>
      <c r="AR111" s="505"/>
      <c r="AS111" s="123"/>
      <c r="AT111" s="123"/>
      <c r="AU111" s="123"/>
      <c r="AV111" s="123"/>
      <c r="AW111" s="123"/>
      <c r="AX111" s="123"/>
      <c r="AY111" s="123"/>
    </row>
    <row r="112" spans="1:56" s="5" customFormat="1" ht="30" customHeight="1">
      <c r="A112" s="112">
        <f t="shared" si="31"/>
        <v>108</v>
      </c>
      <c r="B112" s="19">
        <v>20149</v>
      </c>
      <c r="C112" s="127" t="s">
        <v>1237</v>
      </c>
      <c r="D112" s="112">
        <f>8000000-3500000+500000</f>
        <v>5000000</v>
      </c>
      <c r="E112" s="112"/>
      <c r="F112" s="112">
        <f t="shared" ref="F112" si="56">D112-E112</f>
        <v>5000000</v>
      </c>
      <c r="G112" s="112">
        <v>0</v>
      </c>
      <c r="H112" s="112"/>
      <c r="I112" s="112"/>
      <c r="J112" s="112"/>
      <c r="K112" s="112">
        <f t="shared" ref="K112" si="57">I112+J112</f>
        <v>0</v>
      </c>
      <c r="L112" s="112">
        <f t="shared" ref="L112" si="58">H112+K112</f>
        <v>0</v>
      </c>
      <c r="M112" s="112">
        <f t="shared" ref="M112" si="59">P112+S112</f>
        <v>0</v>
      </c>
      <c r="N112" s="257">
        <f>8000000-7000000+2200000</f>
        <v>3200000</v>
      </c>
      <c r="O112" s="112">
        <f t="shared" ref="O112" si="60">D112-L112-M112-N112</f>
        <v>1800000</v>
      </c>
      <c r="P112" s="112">
        <f t="shared" ref="P112" si="61">G112-L112</f>
        <v>0</v>
      </c>
      <c r="Q112" s="112"/>
      <c r="R112" s="112"/>
      <c r="S112" s="112">
        <f t="shared" ref="S112" si="62">SUM(Q112:R112)</f>
        <v>0</v>
      </c>
      <c r="T112" s="112">
        <f t="shared" ref="T112" si="63">P112-M112+S112</f>
        <v>0</v>
      </c>
      <c r="U112" s="257">
        <f t="shared" ref="U112" si="64">N112-T112</f>
        <v>3200000</v>
      </c>
      <c r="V112" s="112">
        <f t="shared" si="55"/>
        <v>1000000</v>
      </c>
      <c r="W112" s="112"/>
      <c r="X112" s="112"/>
      <c r="Y112" s="112"/>
      <c r="Z112" s="112"/>
      <c r="AA112" s="112">
        <f>400000+1800000</f>
        <v>2200000</v>
      </c>
      <c r="AB112" s="3" t="s">
        <v>1504</v>
      </c>
      <c r="AC112" s="3">
        <v>742000</v>
      </c>
      <c r="AD112" s="123"/>
      <c r="AE112" s="123"/>
      <c r="AF112" s="123"/>
      <c r="AG112" s="123"/>
      <c r="AH112" s="123"/>
      <c r="AI112" s="123"/>
      <c r="AJ112" s="123"/>
      <c r="AK112" s="505"/>
      <c r="AL112" s="505"/>
      <c r="AM112" s="505"/>
      <c r="AN112" s="505"/>
      <c r="AO112" s="505"/>
      <c r="AP112" s="505"/>
      <c r="AQ112" s="505"/>
      <c r="AR112" s="505"/>
      <c r="AS112" s="123"/>
      <c r="AT112" s="123"/>
      <c r="AU112" s="123"/>
      <c r="AV112" s="123"/>
      <c r="AW112" s="123"/>
      <c r="AX112" s="123"/>
      <c r="AY112" s="123"/>
    </row>
    <row r="113" spans="1:51" s="5" customFormat="1" ht="30" customHeight="1">
      <c r="A113" s="112">
        <f t="shared" si="31"/>
        <v>109</v>
      </c>
      <c r="B113" s="19">
        <v>20150</v>
      </c>
      <c r="C113" s="127" t="s">
        <v>837</v>
      </c>
      <c r="D113" s="112">
        <v>150000</v>
      </c>
      <c r="E113" s="112"/>
      <c r="F113" s="112">
        <f t="shared" si="46"/>
        <v>150000</v>
      </c>
      <c r="G113" s="112">
        <v>0</v>
      </c>
      <c r="H113" s="112"/>
      <c r="I113" s="112"/>
      <c r="J113" s="112"/>
      <c r="K113" s="112">
        <f t="shared" si="47"/>
        <v>0</v>
      </c>
      <c r="L113" s="112">
        <f t="shared" si="48"/>
        <v>0</v>
      </c>
      <c r="M113" s="112">
        <f t="shared" si="49"/>
        <v>0</v>
      </c>
      <c r="N113" s="112">
        <v>150000</v>
      </c>
      <c r="O113" s="112">
        <f t="shared" si="50"/>
        <v>0</v>
      </c>
      <c r="P113" s="112">
        <f t="shared" si="51"/>
        <v>0</v>
      </c>
      <c r="Q113" s="112"/>
      <c r="R113" s="112"/>
      <c r="S113" s="112">
        <f t="shared" si="52"/>
        <v>0</v>
      </c>
      <c r="T113" s="112">
        <f t="shared" si="53"/>
        <v>0</v>
      </c>
      <c r="U113" s="257">
        <f t="shared" si="54"/>
        <v>150000</v>
      </c>
      <c r="V113" s="112">
        <f t="shared" si="55"/>
        <v>150000</v>
      </c>
      <c r="W113" s="112"/>
      <c r="X113" s="112"/>
      <c r="Y113" s="112"/>
      <c r="Z113" s="112"/>
      <c r="AA113" s="112"/>
      <c r="AB113" s="3" t="s">
        <v>1260</v>
      </c>
      <c r="AC113" s="3">
        <v>742000</v>
      </c>
      <c r="AD113" s="123"/>
      <c r="AE113" s="123"/>
      <c r="AF113" s="123"/>
      <c r="AG113" s="123"/>
      <c r="AH113" s="123"/>
      <c r="AI113" s="123"/>
      <c r="AJ113" s="123"/>
      <c r="AK113" s="505"/>
      <c r="AL113" s="505"/>
      <c r="AM113" s="505"/>
      <c r="AN113" s="505"/>
      <c r="AO113" s="505"/>
      <c r="AP113" s="505"/>
      <c r="AQ113" s="505"/>
      <c r="AR113" s="505"/>
      <c r="AS113" s="123"/>
      <c r="AT113" s="123"/>
      <c r="AU113" s="123"/>
      <c r="AV113" s="123"/>
      <c r="AW113" s="123"/>
      <c r="AX113" s="123"/>
      <c r="AY113" s="123"/>
    </row>
    <row r="114" spans="1:51" s="5" customFormat="1" ht="30" customHeight="1">
      <c r="A114" s="112">
        <f t="shared" si="31"/>
        <v>110</v>
      </c>
      <c r="B114" s="19">
        <v>20151</v>
      </c>
      <c r="C114" s="127" t="s">
        <v>838</v>
      </c>
      <c r="D114" s="112">
        <v>10500000</v>
      </c>
      <c r="E114" s="112"/>
      <c r="F114" s="112">
        <f t="shared" si="46"/>
        <v>10500000</v>
      </c>
      <c r="G114" s="112">
        <v>0</v>
      </c>
      <c r="H114" s="112"/>
      <c r="I114" s="112"/>
      <c r="J114" s="112"/>
      <c r="K114" s="112">
        <f t="shared" si="47"/>
        <v>0</v>
      </c>
      <c r="L114" s="112">
        <f t="shared" si="48"/>
        <v>0</v>
      </c>
      <c r="M114" s="112">
        <f t="shared" si="49"/>
        <v>0</v>
      </c>
      <c r="N114" s="112">
        <f>10500000-10400000</f>
        <v>100000</v>
      </c>
      <c r="O114" s="112">
        <f t="shared" si="50"/>
        <v>10400000</v>
      </c>
      <c r="P114" s="112">
        <f t="shared" si="51"/>
        <v>0</v>
      </c>
      <c r="Q114" s="112"/>
      <c r="R114" s="112"/>
      <c r="S114" s="112">
        <f t="shared" si="52"/>
        <v>0</v>
      </c>
      <c r="T114" s="112">
        <f t="shared" si="53"/>
        <v>0</v>
      </c>
      <c r="U114" s="257">
        <f t="shared" si="54"/>
        <v>100000</v>
      </c>
      <c r="V114" s="112">
        <f t="shared" si="55"/>
        <v>100000</v>
      </c>
      <c r="W114" s="112"/>
      <c r="X114" s="112"/>
      <c r="Y114" s="112"/>
      <c r="Z114" s="112"/>
      <c r="AA114" s="112"/>
      <c r="AB114" s="3" t="s">
        <v>839</v>
      </c>
      <c r="AC114" s="3">
        <v>840000</v>
      </c>
      <c r="AD114" s="123"/>
      <c r="AE114" s="123"/>
      <c r="AF114" s="123"/>
      <c r="AG114" s="123"/>
      <c r="AH114" s="123"/>
      <c r="AI114" s="123"/>
      <c r="AJ114" s="123"/>
      <c r="AK114" s="505"/>
      <c r="AL114" s="505"/>
      <c r="AM114" s="505"/>
      <c r="AN114" s="505"/>
      <c r="AO114" s="505"/>
      <c r="AP114" s="505"/>
      <c r="AQ114" s="505"/>
      <c r="AR114" s="505"/>
      <c r="AS114" s="123"/>
      <c r="AT114" s="123"/>
      <c r="AU114" s="123"/>
      <c r="AV114" s="123"/>
      <c r="AW114" s="123"/>
      <c r="AX114" s="123"/>
      <c r="AY114" s="123"/>
    </row>
    <row r="115" spans="1:51" s="5" customFormat="1" ht="30" customHeight="1">
      <c r="A115" s="112">
        <f t="shared" si="31"/>
        <v>111</v>
      </c>
      <c r="B115" s="19">
        <v>20152</v>
      </c>
      <c r="C115" s="127" t="s">
        <v>840</v>
      </c>
      <c r="D115" s="112">
        <v>200000</v>
      </c>
      <c r="E115" s="112"/>
      <c r="F115" s="112">
        <f t="shared" si="46"/>
        <v>200000</v>
      </c>
      <c r="G115" s="112">
        <v>0</v>
      </c>
      <c r="H115" s="112"/>
      <c r="I115" s="112"/>
      <c r="J115" s="112"/>
      <c r="K115" s="112">
        <f t="shared" si="47"/>
        <v>0</v>
      </c>
      <c r="L115" s="112">
        <f t="shared" si="48"/>
        <v>0</v>
      </c>
      <c r="M115" s="112">
        <f t="shared" si="49"/>
        <v>0</v>
      </c>
      <c r="N115" s="112">
        <v>200000</v>
      </c>
      <c r="O115" s="112">
        <f t="shared" si="50"/>
        <v>0</v>
      </c>
      <c r="P115" s="112">
        <f t="shared" si="51"/>
        <v>0</v>
      </c>
      <c r="Q115" s="112"/>
      <c r="R115" s="112"/>
      <c r="S115" s="112">
        <f t="shared" si="52"/>
        <v>0</v>
      </c>
      <c r="T115" s="112">
        <f t="shared" si="53"/>
        <v>0</v>
      </c>
      <c r="U115" s="257">
        <f t="shared" si="54"/>
        <v>200000</v>
      </c>
      <c r="V115" s="112">
        <f t="shared" si="55"/>
        <v>200000</v>
      </c>
      <c r="W115" s="112"/>
      <c r="X115" s="112"/>
      <c r="Y115" s="112"/>
      <c r="Z115" s="112"/>
      <c r="AA115" s="112"/>
      <c r="AB115" s="3" t="s">
        <v>1261</v>
      </c>
      <c r="AC115" s="3">
        <v>848000</v>
      </c>
      <c r="AD115" s="123"/>
      <c r="AE115" s="123"/>
      <c r="AF115" s="123"/>
      <c r="AG115" s="123"/>
      <c r="AH115" s="123"/>
      <c r="AI115" s="123"/>
      <c r="AJ115" s="123"/>
      <c r="AK115" s="505"/>
      <c r="AL115" s="505"/>
      <c r="AM115" s="505"/>
      <c r="AN115" s="505"/>
      <c r="AO115" s="505"/>
      <c r="AP115" s="505"/>
      <c r="AQ115" s="505"/>
      <c r="AR115" s="505"/>
      <c r="AS115" s="123"/>
      <c r="AT115" s="123"/>
      <c r="AU115" s="123"/>
      <c r="AV115" s="123"/>
      <c r="AW115" s="123"/>
      <c r="AX115" s="123"/>
      <c r="AY115" s="123"/>
    </row>
    <row r="116" spans="1:51" s="5" customFormat="1" ht="30" customHeight="1">
      <c r="A116" s="112">
        <f t="shared" si="31"/>
        <v>112</v>
      </c>
      <c r="B116" s="19">
        <v>20153</v>
      </c>
      <c r="C116" s="127" t="s">
        <v>841</v>
      </c>
      <c r="D116" s="112">
        <v>700000</v>
      </c>
      <c r="E116" s="112"/>
      <c r="F116" s="112">
        <f t="shared" si="46"/>
        <v>700000</v>
      </c>
      <c r="G116" s="112">
        <v>0</v>
      </c>
      <c r="H116" s="112"/>
      <c r="I116" s="112"/>
      <c r="J116" s="112"/>
      <c r="K116" s="112">
        <f t="shared" si="47"/>
        <v>0</v>
      </c>
      <c r="L116" s="112">
        <f t="shared" si="48"/>
        <v>0</v>
      </c>
      <c r="M116" s="112">
        <f t="shared" si="49"/>
        <v>0</v>
      </c>
      <c r="N116" s="112">
        <v>700000</v>
      </c>
      <c r="O116" s="112">
        <f t="shared" si="50"/>
        <v>0</v>
      </c>
      <c r="P116" s="112">
        <f t="shared" si="51"/>
        <v>0</v>
      </c>
      <c r="Q116" s="112"/>
      <c r="R116" s="112"/>
      <c r="S116" s="112">
        <f t="shared" si="52"/>
        <v>0</v>
      </c>
      <c r="T116" s="112">
        <f t="shared" si="53"/>
        <v>0</v>
      </c>
      <c r="U116" s="257">
        <f t="shared" si="54"/>
        <v>700000</v>
      </c>
      <c r="V116" s="112">
        <f t="shared" si="55"/>
        <v>400000</v>
      </c>
      <c r="W116" s="112"/>
      <c r="X116" s="112"/>
      <c r="Y116" s="112"/>
      <c r="Z116" s="112"/>
      <c r="AA116" s="112">
        <v>300000</v>
      </c>
      <c r="AB116" s="3" t="s">
        <v>1394</v>
      </c>
      <c r="AC116" s="3">
        <v>732000</v>
      </c>
      <c r="AD116" s="123"/>
      <c r="AE116" s="123"/>
      <c r="AF116" s="123"/>
      <c r="AG116" s="123"/>
      <c r="AH116" s="123"/>
      <c r="AI116" s="123"/>
      <c r="AJ116" s="123"/>
      <c r="AK116" s="505"/>
      <c r="AL116" s="505"/>
      <c r="AM116" s="505"/>
      <c r="AN116" s="505"/>
      <c r="AO116" s="505"/>
      <c r="AP116" s="505"/>
      <c r="AQ116" s="505"/>
      <c r="AR116" s="505"/>
      <c r="AS116" s="123"/>
      <c r="AT116" s="123"/>
      <c r="AU116" s="123"/>
      <c r="AV116" s="123"/>
      <c r="AW116" s="123"/>
      <c r="AX116" s="123"/>
      <c r="AY116" s="123"/>
    </row>
    <row r="117" spans="1:51" s="5" customFormat="1" ht="30" customHeight="1">
      <c r="A117" s="112">
        <f t="shared" si="31"/>
        <v>113</v>
      </c>
      <c r="B117" s="19">
        <v>20154</v>
      </c>
      <c r="C117" s="127" t="s">
        <v>842</v>
      </c>
      <c r="D117" s="112">
        <f>500000+250000</f>
        <v>750000</v>
      </c>
      <c r="E117" s="112"/>
      <c r="F117" s="112">
        <f t="shared" si="46"/>
        <v>750000</v>
      </c>
      <c r="G117" s="112">
        <v>0</v>
      </c>
      <c r="H117" s="112"/>
      <c r="I117" s="112"/>
      <c r="J117" s="112"/>
      <c r="K117" s="112">
        <f t="shared" si="47"/>
        <v>0</v>
      </c>
      <c r="L117" s="112">
        <f t="shared" si="48"/>
        <v>0</v>
      </c>
      <c r="M117" s="112">
        <f t="shared" si="49"/>
        <v>0</v>
      </c>
      <c r="N117" s="112">
        <f>500000-500000+750000</f>
        <v>750000</v>
      </c>
      <c r="O117" s="112">
        <f t="shared" si="50"/>
        <v>0</v>
      </c>
      <c r="P117" s="112">
        <f t="shared" si="51"/>
        <v>0</v>
      </c>
      <c r="Q117" s="112"/>
      <c r="R117" s="112"/>
      <c r="S117" s="112">
        <f t="shared" si="52"/>
        <v>0</v>
      </c>
      <c r="T117" s="112">
        <f t="shared" si="53"/>
        <v>0</v>
      </c>
      <c r="U117" s="257">
        <f t="shared" si="54"/>
        <v>750000</v>
      </c>
      <c r="V117" s="112">
        <f t="shared" si="55"/>
        <v>750000</v>
      </c>
      <c r="W117" s="112"/>
      <c r="X117" s="112"/>
      <c r="Y117" s="112"/>
      <c r="Z117" s="112"/>
      <c r="AA117" s="112"/>
      <c r="AB117" s="3" t="s">
        <v>1482</v>
      </c>
      <c r="AC117" s="3">
        <v>732000</v>
      </c>
      <c r="AD117" s="123"/>
      <c r="AE117" s="123"/>
      <c r="AF117" s="123"/>
      <c r="AG117" s="123"/>
      <c r="AH117" s="123"/>
      <c r="AI117" s="123"/>
      <c r="AJ117" s="123"/>
      <c r="AK117" s="505"/>
      <c r="AL117" s="505"/>
      <c r="AM117" s="505"/>
      <c r="AN117" s="505"/>
      <c r="AO117" s="505"/>
      <c r="AP117" s="505"/>
      <c r="AQ117" s="505"/>
      <c r="AR117" s="505"/>
      <c r="AS117" s="123"/>
      <c r="AT117" s="123"/>
      <c r="AU117" s="123"/>
      <c r="AV117" s="123"/>
      <c r="AW117" s="123"/>
      <c r="AX117" s="123"/>
      <c r="AY117" s="123"/>
    </row>
    <row r="118" spans="1:51" s="5" customFormat="1" ht="30" customHeight="1">
      <c r="A118" s="112">
        <f t="shared" si="31"/>
        <v>114</v>
      </c>
      <c r="B118" s="19">
        <v>20155</v>
      </c>
      <c r="C118" s="127" t="s">
        <v>1488</v>
      </c>
      <c r="D118" s="112">
        <f>350000-200000</f>
        <v>150000</v>
      </c>
      <c r="E118" s="112"/>
      <c r="F118" s="112">
        <f t="shared" si="46"/>
        <v>150000</v>
      </c>
      <c r="G118" s="112">
        <v>0</v>
      </c>
      <c r="H118" s="112"/>
      <c r="I118" s="112"/>
      <c r="J118" s="112"/>
      <c r="K118" s="112">
        <f t="shared" si="47"/>
        <v>0</v>
      </c>
      <c r="L118" s="112">
        <f t="shared" si="48"/>
        <v>0</v>
      </c>
      <c r="M118" s="112">
        <f t="shared" si="49"/>
        <v>0</v>
      </c>
      <c r="N118" s="112">
        <f>350000-200000</f>
        <v>150000</v>
      </c>
      <c r="O118" s="112">
        <f t="shared" si="50"/>
        <v>0</v>
      </c>
      <c r="P118" s="112">
        <f t="shared" si="51"/>
        <v>0</v>
      </c>
      <c r="Q118" s="112"/>
      <c r="R118" s="112"/>
      <c r="S118" s="112">
        <f t="shared" si="52"/>
        <v>0</v>
      </c>
      <c r="T118" s="112">
        <f t="shared" si="53"/>
        <v>0</v>
      </c>
      <c r="U118" s="257">
        <f t="shared" si="54"/>
        <v>150000</v>
      </c>
      <c r="V118" s="112">
        <f t="shared" si="55"/>
        <v>150000</v>
      </c>
      <c r="W118" s="112"/>
      <c r="X118" s="112"/>
      <c r="Y118" s="112"/>
      <c r="Z118" s="112"/>
      <c r="AA118" s="112"/>
      <c r="AB118" s="3" t="s">
        <v>1489</v>
      </c>
      <c r="AC118" s="3">
        <v>829000</v>
      </c>
      <c r="AD118" s="123"/>
      <c r="AE118" s="123"/>
      <c r="AF118" s="123"/>
      <c r="AG118" s="123"/>
      <c r="AH118" s="123"/>
      <c r="AI118" s="123"/>
      <c r="AJ118" s="123"/>
      <c r="AK118" s="505"/>
      <c r="AL118" s="505"/>
      <c r="AM118" s="505"/>
      <c r="AN118" s="505"/>
      <c r="AO118" s="505"/>
      <c r="AP118" s="505"/>
      <c r="AQ118" s="505"/>
      <c r="AR118" s="505"/>
      <c r="AS118" s="123"/>
      <c r="AT118" s="123"/>
      <c r="AU118" s="123"/>
      <c r="AV118" s="123"/>
      <c r="AW118" s="123"/>
      <c r="AX118" s="123"/>
      <c r="AY118" s="123"/>
    </row>
    <row r="119" spans="1:51" s="5" customFormat="1" ht="30" customHeight="1">
      <c r="A119" s="112">
        <f t="shared" si="31"/>
        <v>115</v>
      </c>
      <c r="B119" s="19">
        <v>20156</v>
      </c>
      <c r="C119" s="127" t="s">
        <v>844</v>
      </c>
      <c r="D119" s="112">
        <v>2000000</v>
      </c>
      <c r="E119" s="112"/>
      <c r="F119" s="112">
        <f t="shared" ref="F119:F120" si="65">D119-E119</f>
        <v>2000000</v>
      </c>
      <c r="G119" s="112">
        <v>0</v>
      </c>
      <c r="H119" s="112"/>
      <c r="I119" s="112"/>
      <c r="J119" s="112"/>
      <c r="K119" s="112">
        <f t="shared" ref="K119:K120" si="66">I119+J119</f>
        <v>0</v>
      </c>
      <c r="L119" s="112">
        <f t="shared" ref="L119:L120" si="67">H119+K119</f>
        <v>0</v>
      </c>
      <c r="M119" s="112">
        <f t="shared" ref="M119:M120" si="68">P119+S119</f>
        <v>0</v>
      </c>
      <c r="N119" s="112">
        <v>800000</v>
      </c>
      <c r="O119" s="112">
        <f t="shared" ref="O119:O120" si="69">D119-L119-M119-N119</f>
        <v>1200000</v>
      </c>
      <c r="P119" s="112">
        <f t="shared" ref="P119:P120" si="70">G119-L119</f>
        <v>0</v>
      </c>
      <c r="Q119" s="112"/>
      <c r="R119" s="112"/>
      <c r="S119" s="112">
        <f t="shared" ref="S119:S120" si="71">SUM(Q119:R119)</f>
        <v>0</v>
      </c>
      <c r="T119" s="112">
        <f t="shared" ref="T119:T120" si="72">P119-M119+S119</f>
        <v>0</v>
      </c>
      <c r="U119" s="257">
        <f t="shared" ref="U119:U120" si="73">N119-T119</f>
        <v>800000</v>
      </c>
      <c r="V119" s="112">
        <f t="shared" si="55"/>
        <v>800000</v>
      </c>
      <c r="W119" s="112"/>
      <c r="X119" s="112"/>
      <c r="Y119" s="112"/>
      <c r="Z119" s="112"/>
      <c r="AA119" s="112"/>
      <c r="AB119" s="3" t="s">
        <v>1291</v>
      </c>
      <c r="AC119" s="3">
        <v>829000</v>
      </c>
      <c r="AD119" s="123"/>
      <c r="AE119" s="123"/>
      <c r="AF119" s="123"/>
      <c r="AG119" s="123"/>
      <c r="AH119" s="123"/>
      <c r="AI119" s="123"/>
      <c r="AJ119" s="123"/>
      <c r="AK119" s="505"/>
      <c r="AL119" s="505"/>
      <c r="AM119" s="505"/>
      <c r="AN119" s="505"/>
      <c r="AO119" s="505"/>
      <c r="AP119" s="505"/>
      <c r="AQ119" s="505"/>
      <c r="AR119" s="505"/>
      <c r="AS119" s="123"/>
      <c r="AT119" s="123"/>
      <c r="AU119" s="123"/>
      <c r="AV119" s="123"/>
      <c r="AW119" s="123"/>
      <c r="AX119" s="123"/>
      <c r="AY119" s="123"/>
    </row>
    <row r="120" spans="1:51" s="5" customFormat="1" ht="30" customHeight="1">
      <c r="A120" s="112">
        <f t="shared" si="31"/>
        <v>116</v>
      </c>
      <c r="B120" s="19">
        <v>20157</v>
      </c>
      <c r="C120" s="127" t="s">
        <v>883</v>
      </c>
      <c r="D120" s="112">
        <v>1330000</v>
      </c>
      <c r="E120" s="112"/>
      <c r="F120" s="112">
        <f t="shared" si="65"/>
        <v>1330000</v>
      </c>
      <c r="G120" s="112">
        <v>0</v>
      </c>
      <c r="H120" s="112"/>
      <c r="I120" s="112"/>
      <c r="J120" s="112"/>
      <c r="K120" s="112">
        <f t="shared" si="66"/>
        <v>0</v>
      </c>
      <c r="L120" s="112">
        <f t="shared" si="67"/>
        <v>0</v>
      </c>
      <c r="M120" s="112">
        <f t="shared" si="68"/>
        <v>0</v>
      </c>
      <c r="N120" s="112">
        <f>1330000-1000000</f>
        <v>330000</v>
      </c>
      <c r="O120" s="112">
        <f t="shared" si="69"/>
        <v>1000000</v>
      </c>
      <c r="P120" s="112">
        <f t="shared" si="70"/>
        <v>0</v>
      </c>
      <c r="Q120" s="112"/>
      <c r="R120" s="112"/>
      <c r="S120" s="112">
        <f t="shared" si="71"/>
        <v>0</v>
      </c>
      <c r="T120" s="112">
        <f t="shared" si="72"/>
        <v>0</v>
      </c>
      <c r="U120" s="257">
        <f t="shared" si="73"/>
        <v>330000</v>
      </c>
      <c r="V120" s="112">
        <f t="shared" si="55"/>
        <v>330000</v>
      </c>
      <c r="W120" s="112"/>
      <c r="X120" s="112"/>
      <c r="Y120" s="112"/>
      <c r="Z120" s="112"/>
      <c r="AA120" s="112"/>
      <c r="AB120" s="3" t="s">
        <v>1262</v>
      </c>
      <c r="AC120" s="3">
        <v>930000</v>
      </c>
      <c r="AD120" s="123"/>
      <c r="AE120" s="123"/>
      <c r="AF120" s="123"/>
      <c r="AG120" s="123"/>
      <c r="AH120" s="123"/>
      <c r="AI120" s="123"/>
      <c r="AJ120" s="123"/>
      <c r="AK120" s="505"/>
      <c r="AL120" s="505"/>
      <c r="AM120" s="505"/>
      <c r="AN120" s="505"/>
      <c r="AO120" s="505"/>
      <c r="AP120" s="505"/>
      <c r="AQ120" s="505"/>
      <c r="AR120" s="505"/>
      <c r="AS120" s="123"/>
      <c r="AT120" s="123"/>
      <c r="AU120" s="123"/>
      <c r="AV120" s="123"/>
      <c r="AW120" s="123"/>
      <c r="AX120" s="123"/>
      <c r="AY120" s="123"/>
    </row>
    <row r="121" spans="1:51" s="5" customFormat="1" ht="30" customHeight="1">
      <c r="A121" s="112">
        <f t="shared" si="31"/>
        <v>117</v>
      </c>
      <c r="B121" s="19">
        <v>20158</v>
      </c>
      <c r="C121" s="127" t="s">
        <v>845</v>
      </c>
      <c r="D121" s="112">
        <v>40000000</v>
      </c>
      <c r="E121" s="112"/>
      <c r="F121" s="112">
        <f t="shared" ref="F121:F123" si="74">D121-E121</f>
        <v>40000000</v>
      </c>
      <c r="G121" s="112">
        <v>0</v>
      </c>
      <c r="H121" s="112"/>
      <c r="I121" s="112"/>
      <c r="J121" s="112"/>
      <c r="K121" s="112">
        <f t="shared" ref="K121:K123" si="75">I121+J121</f>
        <v>0</v>
      </c>
      <c r="L121" s="112">
        <f t="shared" ref="L121:L123" si="76">H121+K121</f>
        <v>0</v>
      </c>
      <c r="M121" s="112">
        <f t="shared" ref="M121:M123" si="77">P121+S121</f>
        <v>0</v>
      </c>
      <c r="N121" s="112">
        <f>5000000-4000000-500000</f>
        <v>500000</v>
      </c>
      <c r="O121" s="112">
        <f t="shared" ref="O121:O123" si="78">D121-L121-M121-N121</f>
        <v>39500000</v>
      </c>
      <c r="P121" s="112">
        <f t="shared" ref="P121:P123" si="79">G121-L121</f>
        <v>0</v>
      </c>
      <c r="Q121" s="112"/>
      <c r="R121" s="112"/>
      <c r="S121" s="112">
        <f t="shared" ref="S121:S123" si="80">SUM(Q121:R121)</f>
        <v>0</v>
      </c>
      <c r="T121" s="112">
        <f t="shared" ref="T121:T123" si="81">P121-M121+S121</f>
        <v>0</v>
      </c>
      <c r="U121" s="257">
        <f t="shared" ref="U121:U123" si="82">N121-T121</f>
        <v>500000</v>
      </c>
      <c r="V121" s="112">
        <f t="shared" ref="V121:V123" si="83">U121-W121-Z121-AA121</f>
        <v>500000</v>
      </c>
      <c r="W121" s="112"/>
      <c r="X121" s="112"/>
      <c r="Y121" s="112"/>
      <c r="Z121" s="112"/>
      <c r="AA121" s="112"/>
      <c r="AB121" s="3" t="s">
        <v>1231</v>
      </c>
      <c r="AC121" s="3">
        <v>870000</v>
      </c>
      <c r="AD121" s="123"/>
      <c r="AE121" s="123"/>
      <c r="AF121" s="123"/>
      <c r="AG121" s="123"/>
      <c r="AH121" s="123"/>
      <c r="AI121" s="123"/>
      <c r="AJ121" s="123"/>
      <c r="AK121" s="505"/>
      <c r="AL121" s="505"/>
      <c r="AM121" s="505"/>
      <c r="AN121" s="505"/>
      <c r="AO121" s="505"/>
      <c r="AP121" s="505"/>
      <c r="AQ121" s="505"/>
      <c r="AR121" s="505"/>
      <c r="AS121" s="123"/>
      <c r="AT121" s="123"/>
      <c r="AU121" s="123"/>
      <c r="AV121" s="123"/>
      <c r="AW121" s="123"/>
      <c r="AX121" s="123"/>
      <c r="AY121" s="123"/>
    </row>
    <row r="122" spans="1:51" s="5" customFormat="1" ht="30" customHeight="1">
      <c r="A122" s="112">
        <f t="shared" si="31"/>
        <v>118</v>
      </c>
      <c r="B122" s="19">
        <v>20159</v>
      </c>
      <c r="C122" s="127" t="s">
        <v>846</v>
      </c>
      <c r="D122" s="112">
        <v>36000000</v>
      </c>
      <c r="E122" s="112"/>
      <c r="F122" s="112">
        <f t="shared" si="74"/>
        <v>36000000</v>
      </c>
      <c r="G122" s="112">
        <v>0</v>
      </c>
      <c r="H122" s="112"/>
      <c r="I122" s="112"/>
      <c r="J122" s="112"/>
      <c r="K122" s="112">
        <f t="shared" si="75"/>
        <v>0</v>
      </c>
      <c r="L122" s="112">
        <f t="shared" si="76"/>
        <v>0</v>
      </c>
      <c r="M122" s="112">
        <f t="shared" si="77"/>
        <v>0</v>
      </c>
      <c r="N122" s="112">
        <f>2000000-500000-1000000</f>
        <v>500000</v>
      </c>
      <c r="O122" s="112">
        <f t="shared" si="78"/>
        <v>35500000</v>
      </c>
      <c r="P122" s="112">
        <f t="shared" si="79"/>
        <v>0</v>
      </c>
      <c r="Q122" s="112"/>
      <c r="R122" s="112"/>
      <c r="S122" s="112">
        <f t="shared" si="80"/>
        <v>0</v>
      </c>
      <c r="T122" s="112">
        <f t="shared" si="81"/>
        <v>0</v>
      </c>
      <c r="U122" s="257">
        <f t="shared" si="82"/>
        <v>500000</v>
      </c>
      <c r="V122" s="112">
        <f t="shared" si="83"/>
        <v>500000</v>
      </c>
      <c r="W122" s="112"/>
      <c r="X122" s="112"/>
      <c r="Y122" s="112"/>
      <c r="Z122" s="112"/>
      <c r="AA122" s="112"/>
      <c r="AB122" s="3" t="s">
        <v>1263</v>
      </c>
      <c r="AC122" s="3">
        <v>732000</v>
      </c>
      <c r="AD122" s="123"/>
      <c r="AE122" s="123"/>
      <c r="AF122" s="123"/>
      <c r="AG122" s="123"/>
      <c r="AH122" s="123"/>
      <c r="AI122" s="123"/>
      <c r="AJ122" s="123"/>
      <c r="AK122" s="505"/>
      <c r="AL122" s="505"/>
      <c r="AM122" s="505"/>
      <c r="AN122" s="505"/>
      <c r="AO122" s="505"/>
      <c r="AP122" s="505"/>
      <c r="AQ122" s="505"/>
      <c r="AR122" s="505"/>
      <c r="AS122" s="123"/>
      <c r="AT122" s="123"/>
      <c r="AU122" s="123"/>
      <c r="AV122" s="123"/>
      <c r="AW122" s="123"/>
      <c r="AX122" s="123"/>
      <c r="AY122" s="123"/>
    </row>
    <row r="123" spans="1:51" s="5" customFormat="1" ht="30" customHeight="1">
      <c r="A123" s="112">
        <f t="shared" si="31"/>
        <v>119</v>
      </c>
      <c r="B123" s="19">
        <v>20160</v>
      </c>
      <c r="C123" s="127" t="s">
        <v>847</v>
      </c>
      <c r="D123" s="112">
        <v>16000000</v>
      </c>
      <c r="E123" s="112"/>
      <c r="F123" s="112">
        <f t="shared" si="74"/>
        <v>16000000</v>
      </c>
      <c r="G123" s="112">
        <v>0</v>
      </c>
      <c r="H123" s="112"/>
      <c r="I123" s="112"/>
      <c r="J123" s="112"/>
      <c r="K123" s="112">
        <f t="shared" si="75"/>
        <v>0</v>
      </c>
      <c r="L123" s="112">
        <f t="shared" si="76"/>
        <v>0</v>
      </c>
      <c r="M123" s="112">
        <f t="shared" si="77"/>
        <v>0</v>
      </c>
      <c r="N123" s="112">
        <f>1500000-500000-800000</f>
        <v>200000</v>
      </c>
      <c r="O123" s="112">
        <f t="shared" si="78"/>
        <v>15800000</v>
      </c>
      <c r="P123" s="112">
        <f t="shared" si="79"/>
        <v>0</v>
      </c>
      <c r="Q123" s="112"/>
      <c r="R123" s="112"/>
      <c r="S123" s="112">
        <f t="shared" si="80"/>
        <v>0</v>
      </c>
      <c r="T123" s="112">
        <f t="shared" si="81"/>
        <v>0</v>
      </c>
      <c r="U123" s="257">
        <f t="shared" si="82"/>
        <v>200000</v>
      </c>
      <c r="V123" s="112">
        <f t="shared" si="83"/>
        <v>200000</v>
      </c>
      <c r="W123" s="112"/>
      <c r="X123" s="112"/>
      <c r="Y123" s="112"/>
      <c r="Z123" s="112"/>
      <c r="AA123" s="112"/>
      <c r="AB123" s="3" t="s">
        <v>1264</v>
      </c>
      <c r="AC123" s="3">
        <v>742000</v>
      </c>
      <c r="AD123" s="123"/>
      <c r="AE123" s="123"/>
      <c r="AF123" s="123"/>
      <c r="AG123" s="123"/>
      <c r="AH123" s="123"/>
      <c r="AI123" s="123"/>
      <c r="AJ123" s="123"/>
      <c r="AK123" s="505"/>
      <c r="AL123" s="505"/>
      <c r="AM123" s="505"/>
      <c r="AN123" s="505"/>
      <c r="AO123" s="505"/>
      <c r="AP123" s="505"/>
      <c r="AQ123" s="505"/>
      <c r="AR123" s="505"/>
      <c r="AS123" s="123"/>
      <c r="AT123" s="123"/>
      <c r="AU123" s="123"/>
      <c r="AV123" s="123"/>
      <c r="AW123" s="123"/>
      <c r="AX123" s="123"/>
      <c r="AY123" s="123"/>
    </row>
    <row r="124" spans="1:51" s="272" customFormat="1" ht="30" customHeight="1">
      <c r="A124" s="236">
        <f>COUNT(A5:A123)</f>
        <v>119</v>
      </c>
      <c r="B124" s="233"/>
      <c r="C124" s="236"/>
      <c r="D124" s="236">
        <f>SUM(D5:D123)</f>
        <v>4118637003</v>
      </c>
      <c r="E124" s="236">
        <f t="shared" ref="E124:AA124" si="84">SUM(E5:E123)</f>
        <v>3841650091</v>
      </c>
      <c r="F124" s="236">
        <f t="shared" si="84"/>
        <v>276986912</v>
      </c>
      <c r="G124" s="236">
        <f t="shared" si="84"/>
        <v>2011508764</v>
      </c>
      <c r="H124" s="236">
        <f t="shared" si="84"/>
        <v>1878585888</v>
      </c>
      <c r="I124" s="236">
        <f t="shared" si="84"/>
        <v>449944</v>
      </c>
      <c r="J124" s="236">
        <f t="shared" si="84"/>
        <v>55753908</v>
      </c>
      <c r="K124" s="236">
        <f t="shared" si="84"/>
        <v>56203852</v>
      </c>
      <c r="L124" s="236">
        <f t="shared" si="84"/>
        <v>1934789740</v>
      </c>
      <c r="M124" s="236">
        <f t="shared" si="84"/>
        <v>211266781</v>
      </c>
      <c r="N124" s="236">
        <f t="shared" si="84"/>
        <v>246349008</v>
      </c>
      <c r="O124" s="236">
        <f t="shared" si="84"/>
        <v>1726231474</v>
      </c>
      <c r="P124" s="236">
        <f t="shared" si="84"/>
        <v>76719024</v>
      </c>
      <c r="Q124" s="236">
        <f t="shared" si="84"/>
        <v>106337757</v>
      </c>
      <c r="R124" s="236">
        <f t="shared" si="84"/>
        <v>30300000</v>
      </c>
      <c r="S124" s="236">
        <f t="shared" si="84"/>
        <v>136637757</v>
      </c>
      <c r="T124" s="236">
        <f t="shared" si="84"/>
        <v>2090000</v>
      </c>
      <c r="U124" s="236">
        <f t="shared" si="84"/>
        <v>244259008</v>
      </c>
      <c r="V124" s="236">
        <f t="shared" si="84"/>
        <v>182259851</v>
      </c>
      <c r="W124" s="236">
        <f t="shared" si="84"/>
        <v>0</v>
      </c>
      <c r="X124" s="236">
        <f t="shared" si="84"/>
        <v>0</v>
      </c>
      <c r="Y124" s="236">
        <f t="shared" si="84"/>
        <v>29200000</v>
      </c>
      <c r="Z124" s="236">
        <f t="shared" si="84"/>
        <v>0</v>
      </c>
      <c r="AA124" s="236">
        <f t="shared" si="84"/>
        <v>32799157</v>
      </c>
      <c r="AB124" s="271"/>
      <c r="AC124" s="271"/>
      <c r="AD124" s="123"/>
      <c r="AE124" s="123"/>
      <c r="AF124" s="123"/>
      <c r="AG124" s="123"/>
      <c r="AH124" s="123"/>
      <c r="AI124" s="123"/>
      <c r="AJ124" s="123"/>
      <c r="AK124" s="609"/>
      <c r="AL124" s="505"/>
      <c r="AM124" s="505"/>
      <c r="AN124" s="505"/>
      <c r="AO124" s="505"/>
      <c r="AP124" s="505"/>
      <c r="AQ124" s="505"/>
      <c r="AR124" s="505"/>
      <c r="AS124" s="123"/>
      <c r="AT124" s="123"/>
      <c r="AU124" s="123"/>
      <c r="AV124" s="123"/>
      <c r="AW124" s="123"/>
      <c r="AX124" s="123"/>
      <c r="AY124" s="123"/>
    </row>
    <row r="125" spans="1:51" s="560" customFormat="1" ht="22.5" hidden="1" customHeight="1">
      <c r="C125" s="578"/>
      <c r="D125" s="647">
        <f>SUM(L124:O124)</f>
        <v>4118637003</v>
      </c>
      <c r="E125" s="647"/>
      <c r="F125" s="647">
        <f>D124-E124</f>
        <v>276986912</v>
      </c>
      <c r="G125" s="647"/>
      <c r="H125" s="647"/>
      <c r="I125" s="647"/>
      <c r="J125" s="647"/>
      <c r="K125" s="647"/>
      <c r="L125" s="647">
        <f>H124+K124</f>
        <v>1934789740</v>
      </c>
      <c r="M125" s="647">
        <f>P124+S124</f>
        <v>213356781</v>
      </c>
      <c r="N125" s="647"/>
      <c r="O125" s="647"/>
      <c r="P125" s="647">
        <f>G124-L125</f>
        <v>76719024</v>
      </c>
      <c r="Q125" s="647">
        <f>'ריכוז אגפים 2024'!AV8</f>
        <v>105987757</v>
      </c>
      <c r="R125" s="647">
        <f>'עדכוני תקציב 2024'!AE80</f>
        <v>30300000</v>
      </c>
      <c r="S125" s="647"/>
      <c r="T125" s="647">
        <f>P125+S124-M124</f>
        <v>2090000</v>
      </c>
      <c r="U125" s="647">
        <f>N124-T125</f>
        <v>244259008</v>
      </c>
      <c r="V125" s="647"/>
      <c r="W125" s="647"/>
      <c r="X125" s="647"/>
      <c r="Y125" s="647"/>
      <c r="Z125" s="647"/>
      <c r="AA125" s="647"/>
      <c r="AB125" s="647"/>
      <c r="AC125" s="647"/>
      <c r="AD125" s="123"/>
      <c r="AE125" s="559"/>
      <c r="AF125" s="559"/>
      <c r="AG125" s="559"/>
      <c r="AH125" s="559"/>
      <c r="AI125" s="559"/>
      <c r="AJ125" s="559"/>
      <c r="AK125" s="648"/>
      <c r="AL125" s="648"/>
      <c r="AM125" s="648"/>
      <c r="AN125" s="648"/>
      <c r="AO125" s="648"/>
      <c r="AP125" s="648"/>
      <c r="AQ125" s="648"/>
      <c r="AR125" s="648"/>
      <c r="AS125" s="559"/>
      <c r="AT125" s="559"/>
      <c r="AU125" s="559"/>
      <c r="AV125" s="559"/>
      <c r="AW125" s="559"/>
      <c r="AX125" s="559"/>
      <c r="AY125" s="559"/>
    </row>
    <row r="126" spans="1:51">
      <c r="Q126" s="124">
        <f>Q124-Q125</f>
        <v>350000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BD110">
    <sortCondition ref="B5:B110"/>
  </sortState>
  <conditionalFormatting sqref="O17">
    <cfRule type="cellIs" dxfId="427" priority="16" operator="lessThan">
      <formula>0</formula>
    </cfRule>
  </conditionalFormatting>
  <conditionalFormatting sqref="AB4:AB5 AK4:AK5">
    <cfRule type="cellIs" dxfId="426" priority="17" operator="equal">
      <formula>0</formula>
    </cfRule>
  </conditionalFormatting>
  <conditionalFormatting sqref="AP6">
    <cfRule type="cellIs" dxfId="425" priority="12" operator="equal">
      <formula>0</formula>
    </cfRule>
  </conditionalFormatting>
  <conditionalFormatting sqref="AQ6:AR6">
    <cfRule type="cellIs" dxfId="424" priority="11" operator="equal">
      <formula>0</formula>
    </cfRule>
  </conditionalFormatting>
  <conditionalFormatting sqref="U93 AK93 AM93 AO93 AQ93">
    <cfRule type="cellIs" dxfId="423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02D2-9BF3-4A72-A8D3-23B11EA4210E}">
  <dimension ref="A1:BD126"/>
  <sheetViews>
    <sheetView showZeros="0" rightToLeft="1" zoomScaleNormal="100" workbookViewId="0">
      <pane xSplit="6" ySplit="4" topLeftCell="L12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8.75"/>
  <cols>
    <col min="1" max="1" width="5" style="123" customWidth="1"/>
    <col min="2" max="2" width="6.7109375" style="205" customWidth="1"/>
    <col min="3" max="3" width="18.140625" style="221" customWidth="1"/>
    <col min="4" max="4" width="12.7109375" style="124" customWidth="1"/>
    <col min="5" max="5" width="12.7109375" style="124" hidden="1" customWidth="1"/>
    <col min="6" max="6" width="11.42578125" style="124" hidden="1" customWidth="1"/>
    <col min="7" max="8" width="12.7109375" style="124" hidden="1" customWidth="1"/>
    <col min="9" max="10" width="10.140625" style="124" hidden="1" customWidth="1"/>
    <col min="11" max="11" width="12.7109375" style="124" hidden="1" customWidth="1"/>
    <col min="12" max="12" width="12.7109375" style="124" customWidth="1"/>
    <col min="13" max="13" width="11.140625" style="124" customWidth="1"/>
    <col min="14" max="14" width="11.28515625" style="124" customWidth="1"/>
    <col min="15" max="15" width="12.5703125" style="124" customWidth="1"/>
    <col min="16" max="18" width="11.140625" style="124" hidden="1" customWidth="1"/>
    <col min="19" max="19" width="11.7109375" style="124" hidden="1" customWidth="1"/>
    <col min="20" max="20" width="9.28515625" style="124" customWidth="1"/>
    <col min="21" max="21" width="11.140625" style="559" bestFit="1" customWidth="1"/>
    <col min="22" max="22" width="11.42578125" style="123" customWidth="1"/>
    <col min="23" max="24" width="10.140625" style="123" hidden="1" customWidth="1"/>
    <col min="25" max="25" width="10.140625" style="123" customWidth="1"/>
    <col min="26" max="26" width="10.140625" style="123" hidden="1" customWidth="1"/>
    <col min="27" max="27" width="10.28515625" style="123" customWidth="1"/>
    <col min="28" max="28" width="29.28515625" style="221" customWidth="1"/>
    <col min="29" max="29" width="10.7109375" style="123" hidden="1" customWidth="1"/>
    <col min="30" max="30" width="10.5703125" style="123" customWidth="1"/>
    <col min="31" max="31" width="16.5703125" style="123" customWidth="1"/>
    <col min="32" max="33" width="12.42578125" style="123" customWidth="1"/>
    <col min="34" max="35" width="16.5703125" style="123" customWidth="1"/>
    <col min="36" max="36" width="11.140625" style="123" bestFit="1" customWidth="1"/>
    <col min="37" max="37" width="37" style="505" customWidth="1"/>
    <col min="38" max="38" width="12.7109375" style="505" customWidth="1"/>
    <col min="39" max="39" width="7.28515625" style="505" customWidth="1"/>
    <col min="40" max="40" width="15.140625" style="505" customWidth="1"/>
    <col min="41" max="41" width="17.140625" style="505" customWidth="1"/>
    <col min="42" max="42" width="19.28515625" style="505" customWidth="1"/>
    <col min="43" max="43" width="35.85546875" style="505" customWidth="1"/>
    <col min="44" max="44" width="40.5703125" style="505" customWidth="1"/>
    <col min="45" max="45" width="12.42578125" style="123" customWidth="1"/>
    <col min="46" max="46" width="16.5703125" style="123" customWidth="1"/>
    <col min="47" max="47" width="12.42578125" style="123" customWidth="1"/>
    <col min="48" max="48" width="16.5703125" style="123" customWidth="1"/>
    <col min="49" max="49" width="12.42578125" style="123" customWidth="1"/>
    <col min="50" max="50" width="16.5703125" style="123" customWidth="1"/>
    <col min="51" max="51" width="12.42578125" style="123" customWidth="1"/>
    <col min="52" max="16384" width="9.140625" style="123"/>
  </cols>
  <sheetData>
    <row r="1" spans="1:56" s="132" customFormat="1">
      <c r="A1" s="145"/>
      <c r="B1" s="145"/>
      <c r="C1" s="667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582"/>
      <c r="V1" s="145"/>
      <c r="W1" s="145"/>
      <c r="X1" s="145"/>
      <c r="Y1" s="123"/>
      <c r="Z1" s="123"/>
      <c r="AA1" s="123" t="s">
        <v>1234</v>
      </c>
      <c r="AB1" s="505"/>
      <c r="AD1" s="123"/>
      <c r="AE1" s="123"/>
      <c r="AF1" s="123"/>
      <c r="AG1" s="123"/>
      <c r="AH1" s="123"/>
      <c r="AI1" s="123"/>
      <c r="AJ1" s="123"/>
      <c r="AK1" s="505"/>
      <c r="AL1" s="505"/>
      <c r="AM1" s="505"/>
      <c r="AN1" s="505"/>
      <c r="AO1" s="505"/>
      <c r="AP1" s="505"/>
      <c r="AQ1" s="505"/>
      <c r="AR1" s="505"/>
      <c r="AS1" s="123"/>
      <c r="AT1" s="123"/>
      <c r="AU1" s="123"/>
      <c r="AV1" s="123"/>
      <c r="AW1" s="123"/>
      <c r="AX1" s="123"/>
      <c r="AY1" s="123"/>
    </row>
    <row r="2" spans="1:56">
      <c r="A2" s="145" t="s">
        <v>145</v>
      </c>
      <c r="B2" s="145"/>
      <c r="C2" s="667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408"/>
      <c r="Z2" s="145"/>
      <c r="AA2" s="145"/>
      <c r="AB2" s="669"/>
    </row>
    <row r="3" spans="1:56">
      <c r="U3" s="576"/>
      <c r="V3" s="145"/>
      <c r="W3" s="145"/>
      <c r="X3" s="145"/>
      <c r="Y3" s="145"/>
      <c r="Z3" s="145"/>
      <c r="AA3" s="145"/>
    </row>
    <row r="4" spans="1:56" s="206" customFormat="1" ht="75">
      <c r="A4" s="292" t="s">
        <v>443</v>
      </c>
      <c r="B4" s="125" t="s">
        <v>1</v>
      </c>
      <c r="C4" s="125" t="s">
        <v>2</v>
      </c>
      <c r="D4" s="125" t="s">
        <v>3</v>
      </c>
      <c r="E4" s="125" t="s">
        <v>4</v>
      </c>
      <c r="F4" s="125" t="s">
        <v>5</v>
      </c>
      <c r="G4" s="125" t="s">
        <v>6</v>
      </c>
      <c r="H4" s="125" t="s">
        <v>7</v>
      </c>
      <c r="I4" s="125" t="s">
        <v>9</v>
      </c>
      <c r="J4" s="125" t="s">
        <v>101</v>
      </c>
      <c r="K4" s="125" t="s">
        <v>10</v>
      </c>
      <c r="L4" s="275" t="s">
        <v>11</v>
      </c>
      <c r="M4" s="125" t="s">
        <v>793</v>
      </c>
      <c r="N4" s="125" t="s">
        <v>794</v>
      </c>
      <c r="O4" s="2" t="s">
        <v>795</v>
      </c>
      <c r="P4" s="2" t="s">
        <v>12</v>
      </c>
      <c r="Q4" s="2" t="s">
        <v>796</v>
      </c>
      <c r="R4" s="2" t="s">
        <v>797</v>
      </c>
      <c r="S4" s="2" t="s">
        <v>798</v>
      </c>
      <c r="T4" s="2" t="s">
        <v>799</v>
      </c>
      <c r="U4" s="2" t="s">
        <v>800</v>
      </c>
      <c r="V4" s="13" t="s">
        <v>13</v>
      </c>
      <c r="W4" s="13" t="s">
        <v>14</v>
      </c>
      <c r="X4" s="125" t="s">
        <v>15</v>
      </c>
      <c r="Y4" s="125" t="s">
        <v>185</v>
      </c>
      <c r="Z4" s="125" t="s">
        <v>385</v>
      </c>
      <c r="AA4" s="125" t="s">
        <v>67</v>
      </c>
      <c r="AB4" s="506" t="s">
        <v>207</v>
      </c>
      <c r="AC4" s="125" t="s">
        <v>16</v>
      </c>
      <c r="AD4" s="123"/>
      <c r="AE4" s="123"/>
      <c r="AF4" s="123"/>
      <c r="AG4" s="123"/>
      <c r="AH4" s="123"/>
      <c r="AI4" s="123"/>
      <c r="AJ4" s="123"/>
      <c r="AK4" s="505"/>
      <c r="AL4" s="505"/>
      <c r="AM4" s="505"/>
      <c r="AN4" s="505"/>
      <c r="AO4" s="505"/>
      <c r="AP4" s="505"/>
      <c r="AQ4" s="505"/>
      <c r="AR4" s="505"/>
      <c r="AS4" s="123"/>
      <c r="AT4" s="123"/>
      <c r="AU4" s="123"/>
      <c r="AV4" s="123"/>
      <c r="AW4" s="123"/>
      <c r="AX4" s="123"/>
      <c r="AY4" s="123"/>
    </row>
    <row r="5" spans="1:56" s="206" customFormat="1" ht="30" customHeight="1">
      <c r="A5" s="112">
        <v>1</v>
      </c>
      <c r="B5" s="127">
        <f>'תקציב החברה לפיתוח 2025'!B5</f>
        <v>382</v>
      </c>
      <c r="C5" s="222" t="str">
        <f>'תקציב החברה לפיתוח 2025'!C5</f>
        <v xml:space="preserve">מערכת כבישים   באזור תעשייה מערבי </v>
      </c>
      <c r="D5" s="112">
        <f>'תקציב החברה לפיתוח 2025'!D5</f>
        <v>111381330</v>
      </c>
      <c r="E5" s="112">
        <f>'תקציב החברה לפיתוח 2025'!E5</f>
        <v>111381330</v>
      </c>
      <c r="F5" s="112">
        <f>'תקציב החברה לפיתוח 2025'!F5</f>
        <v>0</v>
      </c>
      <c r="G5" s="112">
        <f>'תקציב החברה לפיתוח 2025'!G5</f>
        <v>72381330</v>
      </c>
      <c r="H5" s="112">
        <f>'תקציב החברה לפיתוח 2025'!H5</f>
        <v>67060829</v>
      </c>
      <c r="I5" s="112">
        <f>'תקציב החברה לפיתוח 2025'!I5</f>
        <v>0</v>
      </c>
      <c r="J5" s="112">
        <f>'תקציב החברה לפיתוח 2025'!J5</f>
        <v>3766894</v>
      </c>
      <c r="K5" s="112">
        <f>'תקציב החברה לפיתוח 2025'!K5</f>
        <v>3766894</v>
      </c>
      <c r="L5" s="112">
        <f>'תקציב החברה לפיתוח 2025'!L5</f>
        <v>70827723</v>
      </c>
      <c r="M5" s="112">
        <f>'תקציב החברה לפיתוח 2025'!M5</f>
        <v>1553607</v>
      </c>
      <c r="N5" s="112">
        <f>'תקציב החברה לפיתוח 2025'!N5</f>
        <v>6100000</v>
      </c>
      <c r="O5" s="112">
        <f>'תקציב החברה לפיתוח 2025'!O5</f>
        <v>32900000</v>
      </c>
      <c r="P5" s="112">
        <f>'תקציב החברה לפיתוח 2025'!P5</f>
        <v>1553607</v>
      </c>
      <c r="Q5" s="112">
        <f>'תקציב החברה לפיתוח 2025'!Q5</f>
        <v>0</v>
      </c>
      <c r="R5" s="112">
        <f>'תקציב החברה לפיתוח 2025'!R5</f>
        <v>0</v>
      </c>
      <c r="S5" s="112">
        <f>'תקציב החברה לפיתוח 2025'!S5</f>
        <v>0</v>
      </c>
      <c r="T5" s="112">
        <f>'תקציב החברה לפיתוח 2025'!T5</f>
        <v>0</v>
      </c>
      <c r="U5" s="257">
        <f>'תקציב החברה לפיתוח 2025'!U5</f>
        <v>6100000</v>
      </c>
      <c r="V5" s="112">
        <f>'תקציב החברה לפיתוח 2025'!V5</f>
        <v>500000</v>
      </c>
      <c r="W5" s="112">
        <f>'תקציב החברה לפיתוח 2025'!W5</f>
        <v>0</v>
      </c>
      <c r="X5" s="112">
        <f>'תקציב החברה לפיתוח 2025'!X5</f>
        <v>0</v>
      </c>
      <c r="Y5" s="112">
        <f>'תקציב החברה לפיתוח 2025'!Y5</f>
        <v>5600000</v>
      </c>
      <c r="Z5" s="112">
        <f>'תקציב החברה לפיתוח 2025'!Z5</f>
        <v>0</v>
      </c>
      <c r="AA5" s="112">
        <f>'תקציב החברה לפיתוח 2025'!AA5</f>
        <v>0</v>
      </c>
      <c r="AB5" s="207" t="str">
        <f>'תקציב החברה לפיתוח 2025'!AB5</f>
        <v>המשך ביצוע עבודות במתחם.  2025 : משכית.</v>
      </c>
      <c r="AC5" s="127">
        <f>'תקציב החברה לפיתוח 2025'!AC5</f>
        <v>742000</v>
      </c>
      <c r="AD5" s="123"/>
      <c r="AE5" s="123"/>
      <c r="AF5" s="123"/>
      <c r="AG5" s="123"/>
      <c r="AH5" s="123"/>
      <c r="AI5" s="123"/>
      <c r="AJ5" s="123"/>
      <c r="AK5" s="505"/>
      <c r="AL5" s="505"/>
      <c r="AM5" s="505"/>
      <c r="AN5" s="505"/>
      <c r="AO5" s="505"/>
      <c r="AP5" s="505"/>
      <c r="AQ5" s="505"/>
      <c r="AR5" s="505"/>
      <c r="AS5" s="123"/>
      <c r="AT5" s="123"/>
      <c r="AU5" s="123"/>
      <c r="AV5" s="123"/>
      <c r="AW5" s="123"/>
      <c r="AX5" s="123"/>
      <c r="AY5" s="123"/>
    </row>
    <row r="6" spans="1:56" s="126" customFormat="1" ht="35.25" customHeight="1">
      <c r="A6" s="112">
        <f>1+A5</f>
        <v>2</v>
      </c>
      <c r="B6" s="127">
        <f>'תקציב החברה לפיתוח 2025'!B6</f>
        <v>576</v>
      </c>
      <c r="C6" s="222" t="str">
        <f>'תקציב החברה לפיתוח 2025'!C6</f>
        <v>בית העלמין החדש</v>
      </c>
      <c r="D6" s="112">
        <f>'תקציב החברה לפיתוח 2025'!D6</f>
        <v>78113000</v>
      </c>
      <c r="E6" s="112">
        <f>'תקציב החברה לפיתוח 2025'!E6</f>
        <v>78113000</v>
      </c>
      <c r="F6" s="112">
        <f>'תקציב החברה לפיתוח 2025'!F6</f>
        <v>0</v>
      </c>
      <c r="G6" s="112">
        <f>'תקציב החברה לפיתוח 2025'!G6</f>
        <v>58113000</v>
      </c>
      <c r="H6" s="112">
        <f>'תקציב החברה לפיתוח 2025'!H6</f>
        <v>57850912</v>
      </c>
      <c r="I6" s="112">
        <f>'תקציב החברה לפיתוח 2025'!I6</f>
        <v>0</v>
      </c>
      <c r="J6" s="112">
        <f>'תקציב החברה לפיתוח 2025'!J6</f>
        <v>52801</v>
      </c>
      <c r="K6" s="112">
        <f>'תקציב החברה לפיתוח 2025'!K6</f>
        <v>52801</v>
      </c>
      <c r="L6" s="112">
        <f>'תקציב החברה לפיתוח 2025'!L6</f>
        <v>57903713</v>
      </c>
      <c r="M6" s="112">
        <f>'תקציב החברה לפיתוח 2025'!M6</f>
        <v>209287</v>
      </c>
      <c r="N6" s="112">
        <f>'תקציב החברה לפיתוח 2025'!N6</f>
        <v>0</v>
      </c>
      <c r="O6" s="112">
        <f>'תקציב החברה לפיתוח 2025'!O6</f>
        <v>20000000</v>
      </c>
      <c r="P6" s="112">
        <f>'תקציב החברה לפיתוח 2025'!P6</f>
        <v>209287</v>
      </c>
      <c r="Q6" s="112">
        <f>'תקציב החברה לפיתוח 2025'!Q6</f>
        <v>0</v>
      </c>
      <c r="R6" s="112">
        <f>'תקציב החברה לפיתוח 2025'!R6</f>
        <v>0</v>
      </c>
      <c r="S6" s="112">
        <f>'תקציב החברה לפיתוח 2025'!S6</f>
        <v>0</v>
      </c>
      <c r="T6" s="112">
        <f>'תקציב החברה לפיתוח 2025'!T6</f>
        <v>0</v>
      </c>
      <c r="U6" s="257">
        <f>'תקציב החברה לפיתוח 2025'!U6</f>
        <v>0</v>
      </c>
      <c r="V6" s="112">
        <f>'תקציב החברה לפיתוח 2025'!V6</f>
        <v>0</v>
      </c>
      <c r="W6" s="112">
        <f>'תקציב החברה לפיתוח 2025'!W6</f>
        <v>0</v>
      </c>
      <c r="X6" s="112">
        <f>'תקציב החברה לפיתוח 2025'!X6</f>
        <v>0</v>
      </c>
      <c r="Y6" s="112">
        <f>'תקציב החברה לפיתוח 2025'!Y6</f>
        <v>0</v>
      </c>
      <c r="Z6" s="112">
        <f>'תקציב החברה לפיתוח 2025'!Z6</f>
        <v>0</v>
      </c>
      <c r="AA6" s="112">
        <f>'תקציב החברה לפיתוח 2025'!AA6</f>
        <v>0</v>
      </c>
      <c r="AB6" s="222" t="str">
        <f>'תקציב החברה לפיתוח 2025'!AB6</f>
        <v xml:space="preserve">עבודות הרחבת והכשרת חלקות נוספות  בבית העלמין החדש. </v>
      </c>
      <c r="AC6" s="127">
        <f>'תקציב החברה לפיתוח 2025'!AC6</f>
        <v>760000</v>
      </c>
      <c r="AD6" s="123"/>
      <c r="AE6" s="123"/>
      <c r="AF6" s="123"/>
      <c r="AG6" s="123"/>
      <c r="AH6" s="123"/>
      <c r="AI6" s="123"/>
      <c r="AJ6" s="123"/>
      <c r="AK6" s="505"/>
      <c r="AL6" s="505"/>
      <c r="AM6" s="505"/>
      <c r="AN6" s="505"/>
      <c r="AO6" s="505"/>
      <c r="AP6" s="505"/>
      <c r="AQ6" s="505"/>
      <c r="AR6" s="505"/>
      <c r="AS6" s="123"/>
      <c r="AT6" s="123"/>
      <c r="AU6" s="123"/>
      <c r="AV6" s="123"/>
      <c r="AW6" s="123"/>
      <c r="AX6" s="123"/>
      <c r="AY6" s="123"/>
      <c r="AZ6" s="5"/>
      <c r="BA6" s="5"/>
      <c r="BB6" s="5"/>
      <c r="BC6" s="5"/>
      <c r="BD6" s="5"/>
    </row>
    <row r="7" spans="1:56" s="128" customFormat="1" ht="25.5" customHeight="1">
      <c r="A7" s="112">
        <f t="shared" ref="A7:A70" si="0">1+A6</f>
        <v>3</v>
      </c>
      <c r="B7" s="127">
        <f>'תקציב החברה לפיתוח 2025'!B7</f>
        <v>1067</v>
      </c>
      <c r="C7" s="222" t="str">
        <f>'תקציב החברה לפיתוח 2025'!C7</f>
        <v>עבודות פיתוח קטנות</v>
      </c>
      <c r="D7" s="112">
        <f>'תקציב החברה לפיתוח 2025'!D7</f>
        <v>5675000</v>
      </c>
      <c r="E7" s="112">
        <f>'תקציב החברה לפיתוח 2025'!E7</f>
        <v>5475000</v>
      </c>
      <c r="F7" s="112">
        <f>'תקציב החברה לפיתוח 2025'!F7</f>
        <v>200000</v>
      </c>
      <c r="G7" s="112">
        <f>'תקציב החברה לפיתוח 2025'!G7</f>
        <v>4975000</v>
      </c>
      <c r="H7" s="112">
        <f>'תקציב החברה לפיתוח 2025'!H7</f>
        <v>4792332</v>
      </c>
      <c r="I7" s="112">
        <f>'תקציב החברה לפיתוח 2025'!I7</f>
        <v>0</v>
      </c>
      <c r="J7" s="112">
        <f>'תקציב החברה לפיתוח 2025'!J7</f>
        <v>113500</v>
      </c>
      <c r="K7" s="112">
        <f>'תקציב החברה לפיתוח 2025'!K7</f>
        <v>113500</v>
      </c>
      <c r="L7" s="112">
        <f>'תקציב החברה לפיתוח 2025'!L7</f>
        <v>4905832</v>
      </c>
      <c r="M7" s="112">
        <f>'תקציב החברה לפיתוח 2025'!M7</f>
        <v>269168</v>
      </c>
      <c r="N7" s="112">
        <f>'תקציב החברה לפיתוח 2025'!N7</f>
        <v>500000</v>
      </c>
      <c r="O7" s="112">
        <f>'תקציב החברה לפיתוח 2025'!O7</f>
        <v>0</v>
      </c>
      <c r="P7" s="112">
        <f>'תקציב החברה לפיתוח 2025'!P7</f>
        <v>69168</v>
      </c>
      <c r="Q7" s="112">
        <f>'תקציב החברה לפיתוח 2025'!Q7</f>
        <v>200000</v>
      </c>
      <c r="R7" s="112">
        <f>'תקציב החברה לפיתוח 2025'!R7</f>
        <v>0</v>
      </c>
      <c r="S7" s="112">
        <f>'תקציב החברה לפיתוח 2025'!S7</f>
        <v>200000</v>
      </c>
      <c r="T7" s="112">
        <f>'תקציב החברה לפיתוח 2025'!T7</f>
        <v>0</v>
      </c>
      <c r="U7" s="257">
        <f>'תקציב החברה לפיתוח 2025'!U7</f>
        <v>500000</v>
      </c>
      <c r="V7" s="112">
        <f>'תקציב החברה לפיתוח 2025'!V7</f>
        <v>500000</v>
      </c>
      <c r="W7" s="112">
        <f>'תקציב החברה לפיתוח 2025'!W7</f>
        <v>0</v>
      </c>
      <c r="X7" s="112">
        <f>'תקציב החברה לפיתוח 2025'!X7</f>
        <v>0</v>
      </c>
      <c r="Y7" s="112">
        <f>'תקציב החברה לפיתוח 2025'!Y7</f>
        <v>0</v>
      </c>
      <c r="Z7" s="112">
        <f>'תקציב החברה לפיתוח 2025'!Z7</f>
        <v>0</v>
      </c>
      <c r="AA7" s="127">
        <f>'תקציב החברה לפיתוח 2025'!AA7</f>
        <v>0</v>
      </c>
      <c r="AB7" s="210" t="str">
        <f>'תקציב החברה לפיתוח 2025'!AB7</f>
        <v>סל עבודות קטנות עפ"י דרישה.</v>
      </c>
      <c r="AC7" s="127">
        <f>'תקציב החברה לפיתוח 2025'!AC7</f>
        <v>742000</v>
      </c>
      <c r="AD7" s="123"/>
      <c r="AE7" s="123"/>
      <c r="AF7" s="123"/>
      <c r="AG7" s="123"/>
      <c r="AH7" s="123"/>
      <c r="AI7" s="123"/>
      <c r="AJ7" s="123"/>
      <c r="AK7" s="505"/>
      <c r="AL7" s="505"/>
      <c r="AM7" s="505"/>
      <c r="AN7" s="505"/>
      <c r="AO7" s="505"/>
      <c r="AP7" s="505"/>
      <c r="AQ7" s="505"/>
      <c r="AR7" s="505"/>
      <c r="AS7" s="123"/>
      <c r="AT7" s="123"/>
      <c r="AU7" s="123"/>
      <c r="AV7" s="123"/>
      <c r="AW7" s="123"/>
      <c r="AX7" s="123"/>
      <c r="AY7" s="123"/>
      <c r="AZ7" s="5"/>
      <c r="BA7" s="5"/>
      <c r="BB7" s="5"/>
      <c r="BC7" s="5"/>
      <c r="BD7" s="5"/>
    </row>
    <row r="8" spans="1:56" s="126" customFormat="1" ht="30" customHeight="1">
      <c r="A8" s="112">
        <f t="shared" si="0"/>
        <v>4</v>
      </c>
      <c r="B8" s="127">
        <f>'תקציב החברה לפיתוח 2025'!B8</f>
        <v>1207</v>
      </c>
      <c r="C8" s="222" t="str">
        <f>'תקציב החברה לפיתוח 2025'!C8</f>
        <v>מתחם זרובבל</v>
      </c>
      <c r="D8" s="112">
        <f>'תקציב החברה לפיתוח 2025'!D8</f>
        <v>45650000</v>
      </c>
      <c r="E8" s="112">
        <f>'תקציב החברה לפיתוח 2025'!E8</f>
        <v>45650000</v>
      </c>
      <c r="F8" s="112">
        <f>'תקציב החברה לפיתוח 2025'!F8</f>
        <v>0</v>
      </c>
      <c r="G8" s="112">
        <f>'תקציב החברה לפיתוח 2025'!G8</f>
        <v>43370000</v>
      </c>
      <c r="H8" s="112">
        <f>'תקציב החברה לפיתוח 2025'!H8</f>
        <v>43349903</v>
      </c>
      <c r="I8" s="112">
        <f>'תקציב החברה לפיתוח 2025'!I8</f>
        <v>0</v>
      </c>
      <c r="J8" s="112">
        <f>'תקציב החברה לפיתוח 2025'!J8</f>
        <v>0</v>
      </c>
      <c r="K8" s="112">
        <f>'תקציב החברה לפיתוח 2025'!K8</f>
        <v>0</v>
      </c>
      <c r="L8" s="112">
        <f>'תקציב החברה לפיתוח 2025'!L8</f>
        <v>43349903</v>
      </c>
      <c r="M8" s="112">
        <f>'תקציב החברה לפיתוח 2025'!M8</f>
        <v>20097</v>
      </c>
      <c r="N8" s="112">
        <f>'תקציב החברה לפיתוח 2025'!N8</f>
        <v>0</v>
      </c>
      <c r="O8" s="112">
        <f>'תקציב החברה לפיתוח 2025'!O8</f>
        <v>2280000</v>
      </c>
      <c r="P8" s="112">
        <f>'תקציב החברה לפיתוח 2025'!P8</f>
        <v>20097</v>
      </c>
      <c r="Q8" s="112">
        <f>'תקציב החברה לפיתוח 2025'!Q8</f>
        <v>0</v>
      </c>
      <c r="R8" s="112">
        <f>'תקציב החברה לפיתוח 2025'!R8</f>
        <v>0</v>
      </c>
      <c r="S8" s="112">
        <f>'תקציב החברה לפיתוח 2025'!S8</f>
        <v>0</v>
      </c>
      <c r="T8" s="112">
        <f>'תקציב החברה לפיתוח 2025'!T8</f>
        <v>0</v>
      </c>
      <c r="U8" s="257">
        <f>'תקציב החברה לפיתוח 2025'!U8</f>
        <v>0</v>
      </c>
      <c r="V8" s="112">
        <f>'תקציב החברה לפיתוח 2025'!V8</f>
        <v>0</v>
      </c>
      <c r="W8" s="112">
        <f>'תקציב החברה לפיתוח 2025'!W8</f>
        <v>0</v>
      </c>
      <c r="X8" s="112">
        <f>'תקציב החברה לפיתוח 2025'!X8</f>
        <v>0</v>
      </c>
      <c r="Y8" s="112">
        <f>'תקציב החברה לפיתוח 2025'!Y8</f>
        <v>0</v>
      </c>
      <c r="Z8" s="112">
        <f>'תקציב החברה לפיתוח 2025'!Z8</f>
        <v>0</v>
      </c>
      <c r="AA8" s="127">
        <f>'תקציב החברה לפיתוח 2025'!AA8</f>
        <v>0</v>
      </c>
      <c r="AB8" s="210" t="str">
        <f>'תקציב החברה לפיתוח 2025'!AB8</f>
        <v xml:space="preserve">המשך עבודות פיתוח במתחם. פיתוח השצ"פ. </v>
      </c>
      <c r="AC8" s="127">
        <f>'תקציב החברה לפיתוח 2025'!AC8</f>
        <v>742000</v>
      </c>
      <c r="AD8" s="123"/>
      <c r="AE8" s="123"/>
      <c r="AF8" s="123"/>
      <c r="AG8" s="123"/>
      <c r="AH8" s="123"/>
      <c r="AI8" s="123"/>
      <c r="AJ8" s="123"/>
      <c r="AK8" s="505"/>
      <c r="AL8" s="505"/>
      <c r="AM8" s="505"/>
      <c r="AN8" s="505"/>
      <c r="AO8" s="505"/>
      <c r="AP8" s="505"/>
      <c r="AQ8" s="505"/>
      <c r="AR8" s="505"/>
      <c r="AS8" s="123"/>
      <c r="AT8" s="123"/>
      <c r="AU8" s="123"/>
      <c r="AV8" s="123"/>
      <c r="AW8" s="123"/>
      <c r="AX8" s="123"/>
      <c r="AY8" s="123"/>
      <c r="AZ8" s="5"/>
      <c r="BA8" s="5"/>
      <c r="BB8" s="5"/>
      <c r="BC8" s="5"/>
      <c r="BD8" s="5"/>
    </row>
    <row r="9" spans="1:56" s="128" customFormat="1" ht="45">
      <c r="A9" s="112">
        <f t="shared" si="0"/>
        <v>5</v>
      </c>
      <c r="B9" s="127">
        <f>'תקציב החברה לפיתוח 2025'!B9</f>
        <v>1238</v>
      </c>
      <c r="C9" s="222" t="str">
        <f>'תקציב החברה לפיתוח 2025'!C9</f>
        <v xml:space="preserve">פיתוח   פארק רבין </v>
      </c>
      <c r="D9" s="112">
        <f>'תקציב החברה לפיתוח 2025'!D9</f>
        <v>40500000</v>
      </c>
      <c r="E9" s="112">
        <f>'תקציב החברה לפיתוח 2025'!E9</f>
        <v>40500000</v>
      </c>
      <c r="F9" s="112">
        <f>'תקציב החברה לפיתוח 2025'!F9</f>
        <v>0</v>
      </c>
      <c r="G9" s="112">
        <f>'תקציב החברה לפיתוח 2025'!G9</f>
        <v>29000000</v>
      </c>
      <c r="H9" s="112">
        <f>'תקציב החברה לפיתוח 2025'!H9</f>
        <v>28114558</v>
      </c>
      <c r="I9" s="112">
        <f>'תקציב החברה לפיתוח 2025'!I9</f>
        <v>0</v>
      </c>
      <c r="J9" s="112">
        <f>'תקציב החברה לפיתוח 2025'!J9</f>
        <v>657578</v>
      </c>
      <c r="K9" s="112">
        <f>'תקציב החברה לפיתוח 2025'!K9</f>
        <v>657578</v>
      </c>
      <c r="L9" s="112">
        <f>'תקציב החברה לפיתוח 2025'!L9</f>
        <v>28772136</v>
      </c>
      <c r="M9" s="112">
        <f>'תקציב החברה לפיתוח 2025'!M9</f>
        <v>4227864</v>
      </c>
      <c r="N9" s="112">
        <f>'תקציב החברה לפיתוח 2025'!N9</f>
        <v>5500000</v>
      </c>
      <c r="O9" s="112">
        <f>'תקציב החברה לפיתוח 2025'!O9</f>
        <v>2000000</v>
      </c>
      <c r="P9" s="112">
        <f>'תקציב החברה לפיתוח 2025'!P9</f>
        <v>227864</v>
      </c>
      <c r="Q9" s="112">
        <f>'תקציב החברה לפיתוח 2025'!Q9</f>
        <v>4000000</v>
      </c>
      <c r="R9" s="112">
        <f>'תקציב החברה לפיתוח 2025'!R9</f>
        <v>0</v>
      </c>
      <c r="S9" s="112">
        <f>'תקציב החברה לפיתוח 2025'!S9</f>
        <v>4000000</v>
      </c>
      <c r="T9" s="112">
        <f>'תקציב החברה לפיתוח 2025'!T9</f>
        <v>0</v>
      </c>
      <c r="U9" s="257">
        <f>'תקציב החברה לפיתוח 2025'!U9</f>
        <v>5500000</v>
      </c>
      <c r="V9" s="112">
        <f>'תקציב החברה לפיתוח 2025'!V9</f>
        <v>3730988</v>
      </c>
      <c r="W9" s="112">
        <f>'תקציב החברה לפיתוח 2025'!W9</f>
        <v>0</v>
      </c>
      <c r="X9" s="112">
        <f>'תקציב החברה לפיתוח 2025'!X9</f>
        <v>0</v>
      </c>
      <c r="Y9" s="112">
        <f>'תקציב החברה לפיתוח 2025'!Y9</f>
        <v>0</v>
      </c>
      <c r="Z9" s="112">
        <f>'תקציב החברה לפיתוח 2025'!Z9</f>
        <v>0</v>
      </c>
      <c r="AA9" s="112">
        <f>'תקציב החברה לפיתוח 2025'!AA9</f>
        <v>1769012</v>
      </c>
      <c r="AB9" s="222" t="str">
        <f>'תקציב החברה לפיתוח 2025'!AB9</f>
        <v>השלמת ביצוע פארק רבין צפון. מימון רמ"י ( שצ"פים מכרזי "בית קורקס" , "אולפני קסם").</v>
      </c>
      <c r="AC9" s="127">
        <f>'תקציב החברה לפיתוח 2025'!AC9</f>
        <v>742000</v>
      </c>
      <c r="AD9" s="123"/>
      <c r="AE9" s="123"/>
      <c r="AF9" s="123"/>
      <c r="AG9" s="123"/>
      <c r="AH9" s="123"/>
      <c r="AI9" s="123"/>
      <c r="AJ9" s="123"/>
      <c r="AK9" s="505"/>
      <c r="AL9" s="505"/>
      <c r="AM9" s="505"/>
      <c r="AN9" s="505"/>
      <c r="AO9" s="505"/>
      <c r="AP9" s="505"/>
      <c r="AQ9" s="505"/>
      <c r="AR9" s="505"/>
      <c r="AS9" s="123"/>
      <c r="AT9" s="123"/>
      <c r="AU9" s="123"/>
      <c r="AV9" s="123"/>
      <c r="AW9" s="123"/>
      <c r="AX9" s="123"/>
      <c r="AY9" s="123"/>
    </row>
    <row r="10" spans="1:56" s="128" customFormat="1" ht="30" customHeight="1">
      <c r="A10" s="112">
        <f t="shared" si="0"/>
        <v>6</v>
      </c>
      <c r="B10" s="127">
        <f>'תקציב החברה לפיתוח 2025'!B10</f>
        <v>1298</v>
      </c>
      <c r="C10" s="222" t="str">
        <f>'תקציב החברה לפיתוח 2025'!C10</f>
        <v>תכנונים כלליים</v>
      </c>
      <c r="D10" s="112">
        <f>'תקציב החברה לפיתוח 2025'!D10</f>
        <v>7570000</v>
      </c>
      <c r="E10" s="112">
        <f>'תקציב החברה לפיתוח 2025'!E10</f>
        <v>6770000</v>
      </c>
      <c r="F10" s="112">
        <f>'תקציב החברה לפיתוח 2025'!F10</f>
        <v>800000</v>
      </c>
      <c r="G10" s="112">
        <f>'תקציב החברה לפיתוח 2025'!G10</f>
        <v>6100000</v>
      </c>
      <c r="H10" s="112">
        <f>'תקציב החברה לפיתוח 2025'!H10</f>
        <v>5896692</v>
      </c>
      <c r="I10" s="112">
        <f>'תקציב החברה לפיתוח 2025'!I10</f>
        <v>0</v>
      </c>
      <c r="J10" s="112">
        <f>'תקציב החברה לפיתוח 2025'!J10</f>
        <v>130240</v>
      </c>
      <c r="K10" s="112">
        <f>'תקציב החברה לפיתוח 2025'!K10</f>
        <v>130240</v>
      </c>
      <c r="L10" s="112">
        <f>'תקציב החברה לפיתוח 2025'!L10</f>
        <v>6026932</v>
      </c>
      <c r="M10" s="112">
        <f>'תקציב החברה לפיתוח 2025'!M10</f>
        <v>743068</v>
      </c>
      <c r="N10" s="112">
        <f>'תקציב החברה לפיתוח 2025'!N10</f>
        <v>800000</v>
      </c>
      <c r="O10" s="112">
        <f>'תקציב החברה לפיתוח 2025'!O10</f>
        <v>0</v>
      </c>
      <c r="P10" s="112">
        <f>'תקציב החברה לפיתוח 2025'!P10</f>
        <v>73068</v>
      </c>
      <c r="Q10" s="112">
        <f>'תקציב החברה לפיתוח 2025'!Q10</f>
        <v>270000</v>
      </c>
      <c r="R10" s="112">
        <f>'תקציב החברה לפיתוח 2025'!R10</f>
        <v>400000</v>
      </c>
      <c r="S10" s="112">
        <f>'תקציב החברה לפיתוח 2025'!S10</f>
        <v>670000</v>
      </c>
      <c r="T10" s="112">
        <f>'תקציב החברה לפיתוח 2025'!T10</f>
        <v>0</v>
      </c>
      <c r="U10" s="257">
        <f>'תקציב החברה לפיתוח 2025'!U10</f>
        <v>800000</v>
      </c>
      <c r="V10" s="112">
        <f>'תקציב החברה לפיתוח 2025'!V10</f>
        <v>500000</v>
      </c>
      <c r="W10" s="112">
        <f>'תקציב החברה לפיתוח 2025'!W10</f>
        <v>0</v>
      </c>
      <c r="X10" s="112">
        <f>'תקציב החברה לפיתוח 2025'!X10</f>
        <v>0</v>
      </c>
      <c r="Y10" s="112">
        <f>'תקציב החברה לפיתוח 2025'!Y10</f>
        <v>0</v>
      </c>
      <c r="Z10" s="112">
        <f>'תקציב החברה לפיתוח 2025'!Z10</f>
        <v>0</v>
      </c>
      <c r="AA10" s="112">
        <f>'תקציב החברה לפיתוח 2025'!AA10</f>
        <v>300000</v>
      </c>
      <c r="AB10" s="210" t="str">
        <f>'תקציב החברה לפיתוח 2025'!AB10</f>
        <v>סל עבודות תכנון עפ"י דרישה.כולל ייעוץ הסכם גג רמי. מימון רמ"י .</v>
      </c>
      <c r="AC10" s="127">
        <f>'תקציב החברה לפיתוח 2025'!AC10</f>
        <v>742000</v>
      </c>
      <c r="AD10" s="123"/>
      <c r="AE10" s="123"/>
      <c r="AF10" s="123"/>
      <c r="AG10" s="123"/>
      <c r="AH10" s="123"/>
      <c r="AI10" s="123"/>
      <c r="AJ10" s="123"/>
      <c r="AK10" s="505"/>
      <c r="AL10" s="505"/>
      <c r="AM10" s="505"/>
      <c r="AN10" s="505"/>
      <c r="AO10" s="505"/>
      <c r="AP10" s="505"/>
      <c r="AQ10" s="505"/>
      <c r="AR10" s="505"/>
      <c r="AS10" s="123"/>
      <c r="AT10" s="123"/>
      <c r="AU10" s="123"/>
      <c r="AV10" s="123"/>
      <c r="AW10" s="123"/>
      <c r="AX10" s="123"/>
      <c r="AY10" s="123"/>
      <c r="AZ10" s="5"/>
      <c r="BA10" s="5"/>
      <c r="BB10" s="5"/>
      <c r="BC10" s="5"/>
      <c r="BD10" s="5"/>
    </row>
    <row r="11" spans="1:56" s="128" customFormat="1" ht="45">
      <c r="A11" s="112">
        <f t="shared" si="0"/>
        <v>7</v>
      </c>
      <c r="B11" s="3">
        <f>'תקציב החברה לפיתוח 2025'!B11</f>
        <v>1322</v>
      </c>
      <c r="C11" s="202" t="str">
        <f>'תקציב החברה לפיתוח 2025'!C11</f>
        <v>מתחם נוף ים פיתוח</v>
      </c>
      <c r="D11" s="112">
        <f>'תקציב החברה לפיתוח 2025'!D11</f>
        <v>18500000</v>
      </c>
      <c r="E11" s="112">
        <f>'תקציב החברה לפיתוח 2025'!E11</f>
        <v>18500000</v>
      </c>
      <c r="F11" s="112">
        <f>'תקציב החברה לפיתוח 2025'!F11</f>
        <v>0</v>
      </c>
      <c r="G11" s="112">
        <f>'תקציב החברה לפיתוח 2025'!G11</f>
        <v>10850000</v>
      </c>
      <c r="H11" s="112">
        <f>'תקציב החברה לפיתוח 2025'!H11</f>
        <v>9799391</v>
      </c>
      <c r="I11" s="112">
        <f>'תקציב החברה לפיתוח 2025'!I11</f>
        <v>0</v>
      </c>
      <c r="J11" s="112">
        <f>'תקציב החברה לפיתוח 2025'!J11</f>
        <v>0</v>
      </c>
      <c r="K11" s="112">
        <f>'תקציב החברה לפיתוח 2025'!K11</f>
        <v>0</v>
      </c>
      <c r="L11" s="112">
        <f>'תקציב החברה לפיתוח 2025'!L11</f>
        <v>9799391</v>
      </c>
      <c r="M11" s="112">
        <f>'תקציב החברה לפיתוח 2025'!M11</f>
        <v>1050609</v>
      </c>
      <c r="N11" s="112">
        <f>'תקציב החברה לפיתוח 2025'!N11</f>
        <v>0</v>
      </c>
      <c r="O11" s="112">
        <f>'תקציב החברה לפיתוח 2025'!O11</f>
        <v>7650000</v>
      </c>
      <c r="P11" s="112">
        <f>'תקציב החברה לפיתוח 2025'!P11</f>
        <v>1050609</v>
      </c>
      <c r="Q11" s="112">
        <f>'תקציב החברה לפיתוח 2025'!Q11</f>
        <v>0</v>
      </c>
      <c r="R11" s="112">
        <f>'תקציב החברה לפיתוח 2025'!R11</f>
        <v>0</v>
      </c>
      <c r="S11" s="112">
        <f>'תקציב החברה לפיתוח 2025'!S11</f>
        <v>0</v>
      </c>
      <c r="T11" s="112">
        <f>'תקציב החברה לפיתוח 2025'!T11</f>
        <v>0</v>
      </c>
      <c r="U11" s="257">
        <f>'תקציב החברה לפיתוח 2025'!U11</f>
        <v>0</v>
      </c>
      <c r="V11" s="112">
        <f>'תקציב החברה לפיתוח 2025'!V11</f>
        <v>0</v>
      </c>
      <c r="W11" s="112">
        <f>'תקציב החברה לפיתוח 2025'!W11</f>
        <v>0</v>
      </c>
      <c r="X11" s="112">
        <f>'תקציב החברה לפיתוח 2025'!X11</f>
        <v>0</v>
      </c>
      <c r="Y11" s="112">
        <f>'תקציב החברה לפיתוח 2025'!Y11</f>
        <v>0</v>
      </c>
      <c r="Z11" s="112">
        <f>'תקציב החברה לפיתוח 2025'!Z11</f>
        <v>0</v>
      </c>
      <c r="AA11" s="127">
        <f>'תקציב החברה לפיתוח 2025'!AA11</f>
        <v>0</v>
      </c>
      <c r="AB11" s="202" t="str">
        <f>'תקציב החברה לפיתוח 2025'!AB11</f>
        <v>ביצוע תשתיות רח' הנשיא מחיבורו לשער הים עד הצומת רח' הפועל התאנה כולל הטמנת רשת חשמל.</v>
      </c>
      <c r="AC11" s="3">
        <f>'תקציב החברה לפיתוח 2025'!AC11</f>
        <v>742000</v>
      </c>
      <c r="AD11" s="123"/>
      <c r="AE11" s="123"/>
      <c r="AF11" s="123"/>
      <c r="AG11" s="123"/>
      <c r="AH11" s="123"/>
      <c r="AI11" s="123"/>
      <c r="AJ11" s="123"/>
      <c r="AK11" s="505"/>
      <c r="AL11" s="505"/>
      <c r="AM11" s="505"/>
      <c r="AN11" s="505"/>
      <c r="AO11" s="505"/>
      <c r="AP11" s="505"/>
      <c r="AQ11" s="505"/>
      <c r="AR11" s="505"/>
      <c r="AS11" s="123"/>
      <c r="AT11" s="123"/>
      <c r="AU11" s="123"/>
      <c r="AV11" s="123"/>
      <c r="AW11" s="123"/>
      <c r="AX11" s="123"/>
      <c r="AY11" s="123"/>
      <c r="AZ11" s="126"/>
      <c r="BA11" s="126"/>
      <c r="BB11" s="126"/>
      <c r="BC11" s="126"/>
      <c r="BD11" s="126"/>
    </row>
    <row r="12" spans="1:56" s="5" customFormat="1" ht="33" customHeight="1">
      <c r="A12" s="112">
        <f t="shared" si="0"/>
        <v>8</v>
      </c>
      <c r="B12" s="3">
        <f>'תקציב החברה לפיתוח 2025'!B12</f>
        <v>1357</v>
      </c>
      <c r="C12" s="202" t="str">
        <f>'תקציב החברה לפיתוח 2025'!C12</f>
        <v>ספורטק שלב ג'</v>
      </c>
      <c r="D12" s="112">
        <f>'תקציב החברה לפיתוח 2025'!D12</f>
        <v>18812000</v>
      </c>
      <c r="E12" s="112">
        <f>'תקציב החברה לפיתוח 2025'!E12</f>
        <v>18812000</v>
      </c>
      <c r="F12" s="112">
        <f>'תקציב החברה לפיתוח 2025'!F12</f>
        <v>0</v>
      </c>
      <c r="G12" s="112">
        <f>'תקציב החברה לפיתוח 2025'!G12</f>
        <v>18812000</v>
      </c>
      <c r="H12" s="112">
        <f>'תקציב החברה לפיתוח 2025'!H12</f>
        <v>17962840</v>
      </c>
      <c r="I12" s="112">
        <f>'תקציב החברה לפיתוח 2025'!I12</f>
        <v>0</v>
      </c>
      <c r="J12" s="112">
        <f>'תקציב החברה לפיתוח 2025'!J12</f>
        <v>113649</v>
      </c>
      <c r="K12" s="112">
        <f>'תקציב החברה לפיתוח 2025'!K12</f>
        <v>113649</v>
      </c>
      <c r="L12" s="112">
        <f>'תקציב החברה לפיתוח 2025'!L12</f>
        <v>18076489</v>
      </c>
      <c r="M12" s="112">
        <f>'תקציב החברה לפיתוח 2025'!M12</f>
        <v>735511</v>
      </c>
      <c r="N12" s="112">
        <f>'תקציב החברה לפיתוח 2025'!N12</f>
        <v>0</v>
      </c>
      <c r="O12" s="112">
        <f>'תקציב החברה לפיתוח 2025'!O12</f>
        <v>0</v>
      </c>
      <c r="P12" s="112">
        <f>'תקציב החברה לפיתוח 2025'!P12</f>
        <v>735511</v>
      </c>
      <c r="Q12" s="112">
        <f>'תקציב החברה לפיתוח 2025'!Q12</f>
        <v>0</v>
      </c>
      <c r="R12" s="112">
        <f>'תקציב החברה לפיתוח 2025'!R12</f>
        <v>0</v>
      </c>
      <c r="S12" s="112">
        <f>'תקציב החברה לפיתוח 2025'!S12</f>
        <v>0</v>
      </c>
      <c r="T12" s="112">
        <f>'תקציב החברה לפיתוח 2025'!T12</f>
        <v>0</v>
      </c>
      <c r="U12" s="257">
        <f>'תקציב החברה לפיתוח 2025'!U12</f>
        <v>0</v>
      </c>
      <c r="V12" s="112">
        <f>'תקציב החברה לפיתוח 2025'!V12</f>
        <v>0</v>
      </c>
      <c r="W12" s="112">
        <f>'תקציב החברה לפיתוח 2025'!W12</f>
        <v>0</v>
      </c>
      <c r="X12" s="112">
        <f>'תקציב החברה לפיתוח 2025'!X12</f>
        <v>0</v>
      </c>
      <c r="Y12" s="112">
        <f>'תקציב החברה לפיתוח 2025'!Y12</f>
        <v>0</v>
      </c>
      <c r="Z12" s="112">
        <f>'תקציב החברה לפיתוח 2025'!Z12</f>
        <v>0</v>
      </c>
      <c r="AA12" s="127">
        <f>'תקציב החברה לפיתוח 2025'!AA12</f>
        <v>0</v>
      </c>
      <c r="AB12" s="202" t="str">
        <f>'תקציב החברה לפיתוח 2025'!AB12</f>
        <v>עבודות מבנה מועדון פטנג. בספורטק. חן סופיים.לסגירה.</v>
      </c>
      <c r="AC12" s="3">
        <f>'תקציב החברה לפיתוח 2025'!AC12</f>
        <v>829000</v>
      </c>
      <c r="AD12" s="123"/>
      <c r="AE12" s="123"/>
      <c r="AF12" s="123"/>
      <c r="AG12" s="123"/>
      <c r="AH12" s="123"/>
      <c r="AI12" s="123"/>
      <c r="AJ12" s="123"/>
      <c r="AK12" s="505"/>
      <c r="AL12" s="505"/>
      <c r="AM12" s="505"/>
      <c r="AN12" s="505"/>
      <c r="AO12" s="505"/>
      <c r="AP12" s="505"/>
      <c r="AQ12" s="505"/>
      <c r="AR12" s="505"/>
      <c r="AS12" s="123"/>
      <c r="AT12" s="123"/>
      <c r="AU12" s="123"/>
      <c r="AV12" s="123"/>
      <c r="AW12" s="123"/>
      <c r="AX12" s="123"/>
      <c r="AY12" s="123"/>
    </row>
    <row r="13" spans="1:56" s="5" customFormat="1" ht="30" customHeight="1">
      <c r="A13" s="112">
        <f t="shared" si="0"/>
        <v>9</v>
      </c>
      <c r="B13" s="127">
        <f>'תקציב החברה לפיתוח 2025'!B13</f>
        <v>1375</v>
      </c>
      <c r="C13" s="222" t="str">
        <f>'תקציב החברה לפיתוח 2025'!C13</f>
        <v>הקמת בריכה ומרכז לאומנויות לחימה</v>
      </c>
      <c r="D13" s="112">
        <f>'תקציב החברה לפיתוח 2025'!D13</f>
        <v>42150000</v>
      </c>
      <c r="E13" s="112">
        <f>'תקציב החברה לפיתוח 2025'!E13</f>
        <v>42150000</v>
      </c>
      <c r="F13" s="112">
        <f>'תקציב החברה לפיתוח 2025'!F13</f>
        <v>0</v>
      </c>
      <c r="G13" s="112">
        <f>'תקציב החברה לפיתוח 2025'!G13</f>
        <v>30150000</v>
      </c>
      <c r="H13" s="112">
        <f>'תקציב החברה לפיתוח 2025'!H13</f>
        <v>30140054</v>
      </c>
      <c r="I13" s="112">
        <f>'תקציב החברה לפיתוח 2025'!I13</f>
        <v>0</v>
      </c>
      <c r="J13" s="112">
        <f>'תקציב החברה לפיתוח 2025'!J13</f>
        <v>0</v>
      </c>
      <c r="K13" s="112">
        <f>'תקציב החברה לפיתוח 2025'!K13</f>
        <v>0</v>
      </c>
      <c r="L13" s="112">
        <f>'תקציב החברה לפיתוח 2025'!L13</f>
        <v>30140054</v>
      </c>
      <c r="M13" s="112">
        <f>'תקציב החברה לפיתוח 2025'!M13</f>
        <v>9946</v>
      </c>
      <c r="N13" s="112">
        <f>'תקציב החברה לפיתוח 2025'!N13</f>
        <v>0</v>
      </c>
      <c r="O13" s="112">
        <f>'תקציב החברה לפיתוח 2025'!O13</f>
        <v>12000000</v>
      </c>
      <c r="P13" s="112">
        <f>'תקציב החברה לפיתוח 2025'!P13</f>
        <v>9946</v>
      </c>
      <c r="Q13" s="112">
        <f>'תקציב החברה לפיתוח 2025'!Q13</f>
        <v>0</v>
      </c>
      <c r="R13" s="112">
        <f>'תקציב החברה לפיתוח 2025'!R13</f>
        <v>0</v>
      </c>
      <c r="S13" s="112">
        <f>'תקציב החברה לפיתוח 2025'!S13</f>
        <v>0</v>
      </c>
      <c r="T13" s="112">
        <f>'תקציב החברה לפיתוח 2025'!T13</f>
        <v>0</v>
      </c>
      <c r="U13" s="257">
        <f>'תקציב החברה לפיתוח 2025'!U13</f>
        <v>0</v>
      </c>
      <c r="V13" s="112">
        <f>'תקציב החברה לפיתוח 2025'!V13</f>
        <v>0</v>
      </c>
      <c r="W13" s="112">
        <f>'תקציב החברה לפיתוח 2025'!W13</f>
        <v>0</v>
      </c>
      <c r="X13" s="112">
        <f>'תקציב החברה לפיתוח 2025'!X13</f>
        <v>0</v>
      </c>
      <c r="Y13" s="112">
        <f>'תקציב החברה לפיתוח 2025'!Y13</f>
        <v>0</v>
      </c>
      <c r="Z13" s="112">
        <f>'תקציב החברה לפיתוח 2025'!Z13</f>
        <v>0</v>
      </c>
      <c r="AA13" s="127">
        <f>'תקציב החברה לפיתוח 2025'!AA13</f>
        <v>0</v>
      </c>
      <c r="AB13" s="222" t="str">
        <f>'תקציב החברה לפיתוח 2025'!AB13</f>
        <v xml:space="preserve">תוספת קומה והקמת חדרי פעילויות. </v>
      </c>
      <c r="AC13" s="127">
        <f>'תקציב החברה לפיתוח 2025'!AC13</f>
        <v>747000</v>
      </c>
      <c r="AD13" s="123"/>
      <c r="AE13" s="123"/>
      <c r="AF13" s="123"/>
      <c r="AG13" s="123"/>
      <c r="AH13" s="123"/>
      <c r="AI13" s="123"/>
      <c r="AJ13" s="123"/>
      <c r="AK13" s="505"/>
      <c r="AL13" s="505"/>
      <c r="AM13" s="505"/>
      <c r="AN13" s="505"/>
      <c r="AO13" s="505"/>
      <c r="AP13" s="505"/>
      <c r="AQ13" s="505"/>
      <c r="AR13" s="505"/>
      <c r="AS13" s="123"/>
      <c r="AT13" s="123"/>
      <c r="AU13" s="123"/>
      <c r="AV13" s="123"/>
      <c r="AW13" s="123"/>
      <c r="AX13" s="123"/>
      <c r="AY13" s="123"/>
    </row>
    <row r="14" spans="1:56" s="126" customFormat="1" ht="45">
      <c r="A14" s="112">
        <f t="shared" si="0"/>
        <v>10</v>
      </c>
      <c r="B14" s="127">
        <f>'תקציב החברה לפיתוח 2025'!B14</f>
        <v>1547</v>
      </c>
      <c r="C14" s="222" t="str">
        <f>'תקציב החברה לפיתוח 2025'!C14</f>
        <v>פיתוח מתחם גליל ים הר' 1985 א'</v>
      </c>
      <c r="D14" s="112">
        <f>'תקציב החברה לפיתוח 2025'!D14</f>
        <v>144000000</v>
      </c>
      <c r="E14" s="112">
        <f>'תקציב החברה לפיתוח 2025'!E14</f>
        <v>144000000</v>
      </c>
      <c r="F14" s="112">
        <f>'תקציב החברה לפיתוח 2025'!F14</f>
        <v>0</v>
      </c>
      <c r="G14" s="112">
        <f>'תקציב החברה לפיתוח 2025'!G14</f>
        <v>114650000</v>
      </c>
      <c r="H14" s="112">
        <f>'תקציב החברה לפיתוח 2025'!H14</f>
        <v>114334499</v>
      </c>
      <c r="I14" s="112">
        <f>'תקציב החברה לפיתוח 2025'!I14</f>
        <v>0</v>
      </c>
      <c r="J14" s="112">
        <f>'תקציב החברה לפיתוח 2025'!J14</f>
        <v>8286</v>
      </c>
      <c r="K14" s="112">
        <f>'תקציב החברה לפיתוח 2025'!K14</f>
        <v>8286</v>
      </c>
      <c r="L14" s="112">
        <f>'תקציב החברה לפיתוח 2025'!L14</f>
        <v>114342785</v>
      </c>
      <c r="M14" s="112">
        <f>'תקציב החברה לפיתוח 2025'!M14</f>
        <v>4895327</v>
      </c>
      <c r="N14" s="112">
        <f>'תקציב החברה לפיתוח 2025'!N14</f>
        <v>0</v>
      </c>
      <c r="O14" s="112">
        <f>'תקציב החברה לפיתוח 2025'!O14</f>
        <v>24761888</v>
      </c>
      <c r="P14" s="112">
        <f>'תקציב החברה לפיתוח 2025'!P14</f>
        <v>307215</v>
      </c>
      <c r="Q14" s="112">
        <f>'תקציב החברה לפיתוח 2025'!Q14</f>
        <v>4588112</v>
      </c>
      <c r="R14" s="112">
        <f>'תקציב החברה לפיתוח 2025'!R14</f>
        <v>0</v>
      </c>
      <c r="S14" s="112">
        <f>'תקציב החברה לפיתוח 2025'!S14</f>
        <v>4588112</v>
      </c>
      <c r="T14" s="112">
        <f>'תקציב החברה לפיתוח 2025'!T14</f>
        <v>0</v>
      </c>
      <c r="U14" s="257">
        <f>'תקציב החברה לפיתוח 2025'!U14</f>
        <v>0</v>
      </c>
      <c r="V14" s="112">
        <f>'תקציב החברה לפיתוח 2025'!V14</f>
        <v>0</v>
      </c>
      <c r="W14" s="112">
        <f>'תקציב החברה לפיתוח 2025'!W14</f>
        <v>0</v>
      </c>
      <c r="X14" s="112">
        <f>'תקציב החברה לפיתוח 2025'!X14</f>
        <v>0</v>
      </c>
      <c r="Y14" s="112">
        <f>'תקציב החברה לפיתוח 2025'!Y14</f>
        <v>0</v>
      </c>
      <c r="Z14" s="112">
        <f>'תקציב החברה לפיתוח 2025'!Z14</f>
        <v>0</v>
      </c>
      <c r="AA14" s="112">
        <f>'תקציב החברה לפיתוח 2025'!AA14</f>
        <v>0</v>
      </c>
      <c r="AB14" s="222" t="str">
        <f>'תקציב החברה לפיתוח 2025'!AB14</f>
        <v>עבודות פיתוח. מימון רמ"י במסגרת הסכם "הגג". מימון רמ"י ( שצ"פים מכרז "גליל ים ג'").</v>
      </c>
      <c r="AC14" s="127">
        <f>'תקציב החברה לפיתוח 2025'!AC14</f>
        <v>742000</v>
      </c>
      <c r="AD14" s="123"/>
      <c r="AE14" s="123"/>
      <c r="AF14" s="123"/>
      <c r="AG14" s="123"/>
      <c r="AH14" s="123"/>
      <c r="AI14" s="123"/>
      <c r="AJ14" s="123"/>
      <c r="AK14" s="505"/>
      <c r="AL14" s="505"/>
      <c r="AM14" s="505"/>
      <c r="AN14" s="505"/>
      <c r="AO14" s="505"/>
      <c r="AP14" s="505"/>
      <c r="AQ14" s="505"/>
      <c r="AR14" s="505"/>
      <c r="AS14" s="123"/>
      <c r="AT14" s="123"/>
      <c r="AU14" s="123"/>
      <c r="AV14" s="123"/>
      <c r="AW14" s="123"/>
      <c r="AX14" s="123"/>
      <c r="AY14" s="123"/>
    </row>
    <row r="15" spans="1:56" s="126" customFormat="1" ht="45">
      <c r="A15" s="112">
        <f t="shared" si="0"/>
        <v>11</v>
      </c>
      <c r="B15" s="127">
        <f>'תקציב החברה לפיתוח 2025'!B15</f>
        <v>1588</v>
      </c>
      <c r="C15" s="222" t="str">
        <f>'תקציב החברה לפיתוח 2025'!C15</f>
        <v>פיתוח מתחם אלוני ים הר' 2030</v>
      </c>
      <c r="D15" s="112">
        <f>'תקציב החברה לפיתוח 2025'!D15</f>
        <v>64000000</v>
      </c>
      <c r="E15" s="112">
        <f>'תקציב החברה לפיתוח 2025'!E15</f>
        <v>53500000</v>
      </c>
      <c r="F15" s="112">
        <f>'תקציב החברה לפיתוח 2025'!F15</f>
        <v>10500000</v>
      </c>
      <c r="G15" s="112">
        <f>'תקציב החברה לפיתוח 2025'!G15</f>
        <v>45500000</v>
      </c>
      <c r="H15" s="112">
        <f>'תקציב החברה לפיתוח 2025'!H15</f>
        <v>44535997</v>
      </c>
      <c r="I15" s="112">
        <f>'תקציב החברה לפיתוח 2025'!I15</f>
        <v>0</v>
      </c>
      <c r="J15" s="112">
        <f>'תקציב החברה לפיתוח 2025'!J15</f>
        <v>224796</v>
      </c>
      <c r="K15" s="112">
        <f>'תקציב החברה לפיתוח 2025'!K15</f>
        <v>224796</v>
      </c>
      <c r="L15" s="112">
        <f>'תקציב החברה לפיתוח 2025'!L15</f>
        <v>44760793</v>
      </c>
      <c r="M15" s="112">
        <f>'תקציב החברה לפיתוח 2025'!M15</f>
        <v>2239207</v>
      </c>
      <c r="N15" s="112">
        <f>'תקציב החברה לפיתוח 2025'!N15</f>
        <v>6000000</v>
      </c>
      <c r="O15" s="112">
        <f>'תקציב החברה לפיתוח 2025'!O15</f>
        <v>11000000</v>
      </c>
      <c r="P15" s="112">
        <f>'תקציב החברה לפיתוח 2025'!P15</f>
        <v>739207</v>
      </c>
      <c r="Q15" s="112">
        <f>'תקציב החברה לפיתוח 2025'!Q15</f>
        <v>1500000</v>
      </c>
      <c r="R15" s="112">
        <f>'תקציב החברה לפיתוח 2025'!R15</f>
        <v>0</v>
      </c>
      <c r="S15" s="112">
        <f>'תקציב החברה לפיתוח 2025'!S15</f>
        <v>1500000</v>
      </c>
      <c r="T15" s="112">
        <f>'תקציב החברה לפיתוח 2025'!T15</f>
        <v>0</v>
      </c>
      <c r="U15" s="257">
        <f>'תקציב החברה לפיתוח 2025'!U15</f>
        <v>6000000</v>
      </c>
      <c r="V15" s="112">
        <f>'תקציב החברה לפיתוח 2025'!V15</f>
        <v>6000000</v>
      </c>
      <c r="W15" s="112">
        <f>'תקציב החברה לפיתוח 2025'!W15</f>
        <v>0</v>
      </c>
      <c r="X15" s="112">
        <f>'תקציב החברה לפיתוח 2025'!X15</f>
        <v>0</v>
      </c>
      <c r="Y15" s="112">
        <f>'תקציב החברה לפיתוח 2025'!Y15</f>
        <v>0</v>
      </c>
      <c r="Z15" s="112">
        <f>'תקציב החברה לפיתוח 2025'!Z15</f>
        <v>0</v>
      </c>
      <c r="AA15" s="112">
        <f>'תקציב החברה לפיתוח 2025'!AA15</f>
        <v>0</v>
      </c>
      <c r="AB15" s="222" t="str">
        <f>'תקציב החברה לפיתוח 2025'!AB15</f>
        <v>המשך עבודות פיתוח שצ"פ ("מערכות") במתחם אלוני ים הר' 2030 .</v>
      </c>
      <c r="AC15" s="127">
        <f>'תקציב החברה לפיתוח 2025'!AC15</f>
        <v>742000</v>
      </c>
      <c r="AD15" s="123"/>
      <c r="AE15" s="123"/>
      <c r="AF15" s="123"/>
      <c r="AG15" s="123"/>
      <c r="AH15" s="123"/>
      <c r="AI15" s="123"/>
      <c r="AJ15" s="123"/>
      <c r="AK15" s="505"/>
      <c r="AL15" s="505"/>
      <c r="AM15" s="505"/>
      <c r="AN15" s="505"/>
      <c r="AO15" s="505"/>
      <c r="AP15" s="505"/>
      <c r="AQ15" s="505"/>
      <c r="AR15" s="505"/>
      <c r="AS15" s="123"/>
      <c r="AT15" s="123"/>
      <c r="AU15" s="123"/>
      <c r="AV15" s="123"/>
      <c r="AW15" s="123"/>
      <c r="AX15" s="123"/>
      <c r="AY15" s="123"/>
    </row>
    <row r="16" spans="1:56" s="126" customFormat="1" ht="30" customHeight="1">
      <c r="A16" s="112">
        <f t="shared" si="0"/>
        <v>12</v>
      </c>
      <c r="B16" s="127">
        <f>'תקציב החברה לפיתוח 2025'!B16</f>
        <v>1615</v>
      </c>
      <c r="C16" s="222" t="str">
        <f>'תקציב החברה לפיתוח 2025'!C16</f>
        <v>פיתוח מתחם הר' 1903</v>
      </c>
      <c r="D16" s="112">
        <f>'תקציב החברה לפיתוח 2025'!D16</f>
        <v>27700000</v>
      </c>
      <c r="E16" s="112">
        <f>'תקציב החברה לפיתוח 2025'!E16</f>
        <v>27700000</v>
      </c>
      <c r="F16" s="112">
        <f>'תקציב החברה לפיתוח 2025'!F16</f>
        <v>0</v>
      </c>
      <c r="G16" s="112">
        <f>'תקציב החברה לפיתוח 2025'!G16</f>
        <v>22700000</v>
      </c>
      <c r="H16" s="112">
        <f>'תקציב החברה לפיתוח 2025'!H16</f>
        <v>22550373</v>
      </c>
      <c r="I16" s="112">
        <f>'תקציב החברה לפיתוח 2025'!I16</f>
        <v>0</v>
      </c>
      <c r="J16" s="112">
        <f>'תקציב החברה לפיתוח 2025'!J16</f>
        <v>9415</v>
      </c>
      <c r="K16" s="112">
        <f>'תקציב החברה לפיתוח 2025'!K16</f>
        <v>9415</v>
      </c>
      <c r="L16" s="112">
        <f>'תקציב החברה לפיתוח 2025'!L16</f>
        <v>22559788</v>
      </c>
      <c r="M16" s="112">
        <f>'תקציב החברה לפיתוח 2025'!M16</f>
        <v>140212</v>
      </c>
      <c r="N16" s="112">
        <f>'תקציב החברה לפיתוח 2025'!N16</f>
        <v>0</v>
      </c>
      <c r="O16" s="112">
        <f>'תקציב החברה לפיתוח 2025'!O16</f>
        <v>5000000</v>
      </c>
      <c r="P16" s="112">
        <f>'תקציב החברה לפיתוח 2025'!P16</f>
        <v>140212</v>
      </c>
      <c r="Q16" s="112">
        <f>'תקציב החברה לפיתוח 2025'!Q16</f>
        <v>0</v>
      </c>
      <c r="R16" s="112">
        <f>'תקציב החברה לפיתוח 2025'!R16</f>
        <v>0</v>
      </c>
      <c r="S16" s="112">
        <f>'תקציב החברה לפיתוח 2025'!S16</f>
        <v>0</v>
      </c>
      <c r="T16" s="112">
        <f>'תקציב החברה לפיתוח 2025'!T16</f>
        <v>0</v>
      </c>
      <c r="U16" s="257">
        <f>'תקציב החברה לפיתוח 2025'!U16</f>
        <v>0</v>
      </c>
      <c r="V16" s="112">
        <f>'תקציב החברה לפיתוח 2025'!V16</f>
        <v>0</v>
      </c>
      <c r="W16" s="112">
        <f>'תקציב החברה לפיתוח 2025'!W16</f>
        <v>0</v>
      </c>
      <c r="X16" s="112">
        <f>'תקציב החברה לפיתוח 2025'!X16</f>
        <v>0</v>
      </c>
      <c r="Y16" s="112">
        <f>'תקציב החברה לפיתוח 2025'!Y16</f>
        <v>0</v>
      </c>
      <c r="Z16" s="112">
        <f>'תקציב החברה לפיתוח 2025'!Z16</f>
        <v>0</v>
      </c>
      <c r="AA16" s="127">
        <f>'תקציב החברה לפיתוח 2025'!AA16</f>
        <v>0</v>
      </c>
      <c r="AB16" s="222" t="str">
        <f>'תקציב החברה לפיתוח 2025'!AB16</f>
        <v>טיפול בשב"צ וגינת כלבים. חן סופיים. התב"ר לסגירה.</v>
      </c>
      <c r="AC16" s="127">
        <f>'תקציב החברה לפיתוח 2025'!AC16</f>
        <v>742000</v>
      </c>
      <c r="AD16" s="123"/>
      <c r="AE16" s="123"/>
      <c r="AF16" s="123"/>
      <c r="AG16" s="123"/>
      <c r="AH16" s="123"/>
      <c r="AI16" s="123"/>
      <c r="AJ16" s="123"/>
      <c r="AK16" s="505"/>
      <c r="AL16" s="505"/>
      <c r="AM16" s="505"/>
      <c r="AN16" s="505"/>
      <c r="AO16" s="505"/>
      <c r="AP16" s="505"/>
      <c r="AQ16" s="505"/>
      <c r="AR16" s="505"/>
      <c r="AS16" s="123"/>
      <c r="AT16" s="123"/>
      <c r="AU16" s="123"/>
      <c r="AV16" s="123"/>
      <c r="AW16" s="123"/>
      <c r="AX16" s="123"/>
      <c r="AY16" s="123"/>
    </row>
    <row r="17" spans="1:56" s="5" customFormat="1" ht="90">
      <c r="A17" s="112">
        <f t="shared" si="0"/>
        <v>13</v>
      </c>
      <c r="B17" s="3">
        <f>'תקציב החברה לפיתוח 2025'!B17</f>
        <v>1620</v>
      </c>
      <c r="C17" s="496" t="str">
        <f>'תקציב החברה לפיתוח 2025'!C17</f>
        <v xml:space="preserve">תכנון חיבוריות בין מזרח למערב </v>
      </c>
      <c r="D17" s="4">
        <f>'תקציב החברה לפיתוח 2025'!D17</f>
        <v>4200000</v>
      </c>
      <c r="E17" s="4">
        <f>'תקציב החברה לפיתוח 2025'!E17</f>
        <v>4200000</v>
      </c>
      <c r="F17" s="112">
        <f>'תקציב החברה לפיתוח 2025'!F17</f>
        <v>0</v>
      </c>
      <c r="G17" s="4">
        <f>'תקציב החברה לפיתוח 2025'!G17</f>
        <v>500000</v>
      </c>
      <c r="H17" s="4">
        <f>'תקציב החברה לפיתוח 2025'!H17</f>
        <v>0</v>
      </c>
      <c r="I17" s="4">
        <f>'תקציב החברה לפיתוח 2025'!I17</f>
        <v>0</v>
      </c>
      <c r="J17" s="4">
        <f>'תקציב החברה לפיתוח 2025'!J17</f>
        <v>0</v>
      </c>
      <c r="K17" s="4">
        <f>'תקציב החברה לפיתוח 2025'!K17</f>
        <v>0</v>
      </c>
      <c r="L17" s="4">
        <f>'תקציב החברה לפיתוח 2025'!L17</f>
        <v>0</v>
      </c>
      <c r="M17" s="112">
        <f>'תקציב החברה לפיתוח 2025'!M17</f>
        <v>500000</v>
      </c>
      <c r="N17" s="112">
        <f>'תקציב החברה לפיתוח 2025'!N17</f>
        <v>500000</v>
      </c>
      <c r="O17" s="4">
        <f>'תקציב החברה לפיתוח 2025'!O17</f>
        <v>3200000</v>
      </c>
      <c r="P17" s="4">
        <f>'תקציב החברה לפיתוח 2025'!P17</f>
        <v>500000</v>
      </c>
      <c r="Q17" s="4">
        <f>'תקציב החברה לפיתוח 2025'!Q17</f>
        <v>0</v>
      </c>
      <c r="R17" s="4">
        <f>'תקציב החברה לפיתוח 2025'!R17</f>
        <v>0</v>
      </c>
      <c r="S17" s="4">
        <f>'תקציב החברה לפיתוח 2025'!S17</f>
        <v>0</v>
      </c>
      <c r="T17" s="4">
        <f>'תקציב החברה לפיתוח 2025'!T17</f>
        <v>0</v>
      </c>
      <c r="U17" s="495">
        <f>'תקציב החברה לפיתוח 2025'!U17</f>
        <v>500000</v>
      </c>
      <c r="V17" s="4">
        <f>'תקציב החברה לפיתוח 2025'!V17</f>
        <v>500000</v>
      </c>
      <c r="W17" s="4">
        <f>'תקציב החברה לפיתוח 2025'!W17</f>
        <v>0</v>
      </c>
      <c r="X17" s="4">
        <f>'תקציב החברה לפיתוח 2025'!X17</f>
        <v>0</v>
      </c>
      <c r="Y17" s="4">
        <f>'תקציב החברה לפיתוח 2025'!Y17</f>
        <v>0</v>
      </c>
      <c r="Z17" s="4">
        <f>'תקציב החברה לפיתוח 2025'!Z17</f>
        <v>0</v>
      </c>
      <c r="AA17" s="3">
        <f>'תקציב החברה לפיתוח 2025'!AA17</f>
        <v>0</v>
      </c>
      <c r="AB17" s="202" t="str">
        <f>'תקציב החברה לפיתוח 2025'!AB17</f>
        <v>תכנון כולל לסוגיית חיזוק הקשר בין מזרח העיר למערבה באמצעות תוספות של גשרים להולכי רגל ורכב דו גלגלי. הגשרים מהווים תנאים לקידום העצמת זכויות באיזור התעסוקה.</v>
      </c>
      <c r="AC17" s="3">
        <f>'תקציב החברה לפיתוח 2025'!AC17</f>
        <v>732000</v>
      </c>
      <c r="AD17" s="123"/>
      <c r="AE17" s="123"/>
      <c r="AF17" s="123"/>
      <c r="AG17" s="123"/>
      <c r="AH17" s="123"/>
      <c r="AI17" s="123"/>
      <c r="AJ17" s="123"/>
      <c r="AK17" s="505"/>
      <c r="AL17" s="505"/>
      <c r="AM17" s="505"/>
      <c r="AN17" s="505"/>
      <c r="AO17" s="505"/>
      <c r="AP17" s="505"/>
      <c r="AQ17" s="505"/>
      <c r="AR17" s="505"/>
      <c r="AS17" s="123"/>
      <c r="AT17" s="123"/>
      <c r="AU17" s="123"/>
      <c r="AV17" s="123"/>
      <c r="AW17" s="123"/>
      <c r="AX17" s="123"/>
      <c r="AY17" s="123"/>
    </row>
    <row r="18" spans="1:56" s="126" customFormat="1" ht="30">
      <c r="A18" s="112">
        <f t="shared" si="0"/>
        <v>14</v>
      </c>
      <c r="B18" s="127">
        <f>'תקציב החברה לפיתוח 2025'!B18</f>
        <v>1657</v>
      </c>
      <c r="C18" s="222" t="str">
        <f>'תקציב החברה לפיתוח 2025'!C18</f>
        <v>פיתוח מתחם "מרינה לי"</v>
      </c>
      <c r="D18" s="4">
        <f>'תקציב החברה לפיתוח 2025'!D18</f>
        <v>65000000</v>
      </c>
      <c r="E18" s="112">
        <f>'תקציב החברה לפיתוח 2025'!E18</f>
        <v>65000000</v>
      </c>
      <c r="F18" s="112">
        <f>'תקציב החברה לפיתוח 2025'!F18</f>
        <v>0</v>
      </c>
      <c r="G18" s="112">
        <f>'תקציב החברה לפיתוח 2025'!G18</f>
        <v>54519789</v>
      </c>
      <c r="H18" s="112">
        <f>'תקציב החברה לפיתוח 2025'!H18</f>
        <v>42830239</v>
      </c>
      <c r="I18" s="112">
        <f>'תקציב החברה לפיתוח 2025'!I18</f>
        <v>0</v>
      </c>
      <c r="J18" s="112">
        <f>'תקציב החברה לפיתוח 2025'!J18</f>
        <v>1303874</v>
      </c>
      <c r="K18" s="112">
        <f>'תקציב החברה לפיתוח 2025'!K18</f>
        <v>1303874</v>
      </c>
      <c r="L18" s="112">
        <f>'תקציב החברה לפיתוח 2025'!L18</f>
        <v>44134113</v>
      </c>
      <c r="M18" s="112">
        <f>'תקציב החברה לפיתוח 2025'!M18</f>
        <v>5685676</v>
      </c>
      <c r="N18" s="112">
        <f>'תקציב החברה לפיתוח 2025'!N18</f>
        <v>3480211</v>
      </c>
      <c r="O18" s="112">
        <f>'תקציב החברה לפיתוח 2025'!O18</f>
        <v>11700000</v>
      </c>
      <c r="P18" s="112">
        <f>'תקציב החברה לפיתוח 2025'!P18</f>
        <v>10385676</v>
      </c>
      <c r="Q18" s="112">
        <f>'תקציב החברה לפיתוח 2025'!Q18</f>
        <v>0</v>
      </c>
      <c r="R18" s="112">
        <f>'תקציב החברה לפיתוח 2025'!R18</f>
        <v>-4700000</v>
      </c>
      <c r="S18" s="112">
        <f>'תקציב החברה לפיתוח 2025'!S18</f>
        <v>-4700000</v>
      </c>
      <c r="T18" s="112">
        <f>'תקציב החברה לפיתוח 2025'!T18</f>
        <v>0</v>
      </c>
      <c r="U18" s="257">
        <f>'תקציב החברה לפיתוח 2025'!U18</f>
        <v>3480211</v>
      </c>
      <c r="V18" s="112">
        <f>'תקציב החברה לפיתוח 2025'!V18</f>
        <v>3480211</v>
      </c>
      <c r="W18" s="112">
        <f>'תקציב החברה לפיתוח 2025'!W18</f>
        <v>0</v>
      </c>
      <c r="X18" s="112">
        <f>'תקציב החברה לפיתוח 2025'!X18</f>
        <v>0</v>
      </c>
      <c r="Y18" s="112">
        <f>'תקציב החברה לפיתוח 2025'!Y18</f>
        <v>0</v>
      </c>
      <c r="Z18" s="112">
        <f>'תקציב החברה לפיתוח 2025'!Z18</f>
        <v>0</v>
      </c>
      <c r="AA18" s="127">
        <f>'תקציב החברה לפיתוח 2025'!AA18</f>
        <v>0</v>
      </c>
      <c r="AB18" s="202" t="str">
        <f>'תקציב החברה לפיתוח 2025'!AB18</f>
        <v>ביצוע פיתוח ותשתית במתחם "מרינה לי", כולל חניון ושצ"פ.</v>
      </c>
      <c r="AC18" s="127">
        <f>'תקציב החברה לפיתוח 2025'!AC18</f>
        <v>742000</v>
      </c>
      <c r="AD18" s="123"/>
      <c r="AE18" s="123"/>
      <c r="AF18" s="123"/>
      <c r="AG18" s="123"/>
      <c r="AH18" s="123"/>
      <c r="AI18" s="123"/>
      <c r="AJ18" s="123"/>
      <c r="AK18" s="505"/>
      <c r="AL18" s="505"/>
      <c r="AM18" s="505"/>
      <c r="AN18" s="505"/>
      <c r="AO18" s="505"/>
      <c r="AP18" s="505"/>
      <c r="AQ18" s="505"/>
      <c r="AR18" s="505"/>
      <c r="AS18" s="123"/>
      <c r="AT18" s="123"/>
      <c r="AU18" s="123"/>
      <c r="AV18" s="123"/>
      <c r="AW18" s="123"/>
      <c r="AX18" s="123"/>
      <c r="AY18" s="123"/>
      <c r="AZ18" s="128"/>
      <c r="BA18" s="128"/>
      <c r="BB18" s="128"/>
      <c r="BC18" s="128"/>
      <c r="BD18" s="128"/>
    </row>
    <row r="19" spans="1:56" s="5" customFormat="1" ht="45">
      <c r="A19" s="112">
        <f t="shared" si="0"/>
        <v>15</v>
      </c>
      <c r="B19" s="3">
        <f>'תקציב החברה לפיתוח 2025'!B19</f>
        <v>1670</v>
      </c>
      <c r="C19" s="202" t="str">
        <f>'תקציב החברה לפיתוח 2025'!C19</f>
        <v>פתוח מתחם הר' 1972 תחנה מרכזית</v>
      </c>
      <c r="D19" s="112">
        <f>'תקציב החברה לפיתוח 2025'!D19</f>
        <v>37700000</v>
      </c>
      <c r="E19" s="112">
        <f>'תקציב החברה לפיתוח 2025'!E19</f>
        <v>37700000</v>
      </c>
      <c r="F19" s="112">
        <f>'תקציב החברה לפיתוח 2025'!F19</f>
        <v>0</v>
      </c>
      <c r="G19" s="112">
        <f>'תקציב החברה לפיתוח 2025'!G19</f>
        <v>7050000</v>
      </c>
      <c r="H19" s="112">
        <f>'תקציב החברה לפיתוח 2025'!H19</f>
        <v>7034230</v>
      </c>
      <c r="I19" s="112">
        <f>'תקציב החברה לפיתוח 2025'!I19</f>
        <v>0</v>
      </c>
      <c r="J19" s="112">
        <f>'תקציב החברה לפיתוח 2025'!J19</f>
        <v>6398</v>
      </c>
      <c r="K19" s="112">
        <f>'תקציב החברה לפיתוח 2025'!K19</f>
        <v>6398</v>
      </c>
      <c r="L19" s="112">
        <f>'תקציב החברה לפיתוח 2025'!L19</f>
        <v>7040628</v>
      </c>
      <c r="M19" s="112">
        <f>'תקציב החברה לפיתוח 2025'!M19</f>
        <v>9372</v>
      </c>
      <c r="N19" s="112">
        <f>'תקציב החברה לפיתוח 2025'!N19</f>
        <v>0</v>
      </c>
      <c r="O19" s="112">
        <f>'תקציב החברה לפיתוח 2025'!O19</f>
        <v>30650000</v>
      </c>
      <c r="P19" s="112">
        <f>'תקציב החברה לפיתוח 2025'!P19</f>
        <v>9372</v>
      </c>
      <c r="Q19" s="112">
        <f>'תקציב החברה לפיתוח 2025'!Q19</f>
        <v>0</v>
      </c>
      <c r="R19" s="112">
        <f>'תקציב החברה לפיתוח 2025'!R19</f>
        <v>0</v>
      </c>
      <c r="S19" s="112">
        <f>'תקציב החברה לפיתוח 2025'!S19</f>
        <v>0</v>
      </c>
      <c r="T19" s="112">
        <f>'תקציב החברה לפיתוח 2025'!T19</f>
        <v>0</v>
      </c>
      <c r="U19" s="257">
        <f>'תקציב החברה לפיתוח 2025'!U19</f>
        <v>0</v>
      </c>
      <c r="V19" s="112">
        <f>'תקציב החברה לפיתוח 2025'!V19</f>
        <v>0</v>
      </c>
      <c r="W19" s="112">
        <f>'תקציב החברה לפיתוח 2025'!W19</f>
        <v>0</v>
      </c>
      <c r="X19" s="112">
        <f>'תקציב החברה לפיתוח 2025'!X19</f>
        <v>0</v>
      </c>
      <c r="Y19" s="112">
        <f>'תקציב החברה לפיתוח 2025'!Y19</f>
        <v>0</v>
      </c>
      <c r="Z19" s="112">
        <f>'תקציב החברה לפיתוח 2025'!Z19</f>
        <v>0</v>
      </c>
      <c r="AA19" s="127">
        <f>'תקציב החברה לפיתוח 2025'!AA19</f>
        <v>0</v>
      </c>
      <c r="AB19" s="202" t="str">
        <f>'תקציב החברה לפיתוח 2025'!AB19</f>
        <v>תכנון פיתוח מתחם "ניצבא" כולל פיתוח רחוב העצמאות מבן גוריון עד קהילת ציון.</v>
      </c>
      <c r="AC19" s="3">
        <f>'תקציב החברה לפיתוח 2025'!AC19</f>
        <v>742000</v>
      </c>
      <c r="AD19" s="123"/>
      <c r="AE19" s="123"/>
      <c r="AF19" s="123"/>
      <c r="AG19" s="123"/>
      <c r="AH19" s="123"/>
      <c r="AI19" s="123"/>
      <c r="AJ19" s="123"/>
      <c r="AK19" s="505"/>
      <c r="AL19" s="505"/>
      <c r="AM19" s="505"/>
      <c r="AN19" s="505"/>
      <c r="AO19" s="505"/>
      <c r="AP19" s="505"/>
      <c r="AQ19" s="505"/>
      <c r="AR19" s="505"/>
      <c r="AS19" s="123"/>
      <c r="AT19" s="123"/>
      <c r="AU19" s="123"/>
      <c r="AV19" s="123"/>
      <c r="AW19" s="123"/>
      <c r="AX19" s="123"/>
      <c r="AY19" s="123"/>
      <c r="AZ19" s="126"/>
      <c r="BA19" s="126"/>
      <c r="BB19" s="126"/>
      <c r="BC19" s="126"/>
      <c r="BD19" s="126"/>
    </row>
    <row r="20" spans="1:56" s="5" customFormat="1" ht="45">
      <c r="A20" s="112">
        <f t="shared" si="0"/>
        <v>16</v>
      </c>
      <c r="B20" s="3">
        <f>'תקציב החברה לפיתוח 2025'!B20</f>
        <v>1693</v>
      </c>
      <c r="C20" s="202" t="str">
        <f>'תקציב החברה לפיתוח 2025'!C20</f>
        <v xml:space="preserve">פינוי בינוי צומת כדורי </v>
      </c>
      <c r="D20" s="112">
        <f>'תקציב החברה לפיתוח 2025'!D20</f>
        <v>4500000</v>
      </c>
      <c r="E20" s="112">
        <f>'תקציב החברה לפיתוח 2025'!E20</f>
        <v>4500000</v>
      </c>
      <c r="F20" s="112">
        <f>'תקציב החברה לפיתוח 2025'!F20</f>
        <v>0</v>
      </c>
      <c r="G20" s="112">
        <f>'תקציב החברה לפיתוח 2025'!G20</f>
        <v>2416703</v>
      </c>
      <c r="H20" s="112">
        <f>'תקציב החברה לפיתוח 2025'!H20</f>
        <v>716630</v>
      </c>
      <c r="I20" s="112">
        <f>'תקציב החברה לפיתוח 2025'!I20</f>
        <v>449944</v>
      </c>
      <c r="J20" s="112">
        <f>'תקציב החברה לפיתוח 2025'!J20</f>
        <v>159045</v>
      </c>
      <c r="K20" s="112">
        <f>'תקציב החברה לפיתוח 2025'!K20</f>
        <v>608989</v>
      </c>
      <c r="L20" s="112">
        <f>'תקציב החברה לפיתוח 2025'!L20</f>
        <v>1325619</v>
      </c>
      <c r="M20" s="112">
        <f>'תקציב החברה לפיתוח 2025'!M20</f>
        <v>1084</v>
      </c>
      <c r="N20" s="112">
        <f>'תקציב החברה לפיתוח 2025'!N20</f>
        <v>1090000</v>
      </c>
      <c r="O20" s="112">
        <f>'תקציב החברה לפיתוח 2025'!O20</f>
        <v>2083297</v>
      </c>
      <c r="P20" s="112">
        <f>'תקציב החברה לפיתוח 2025'!P20</f>
        <v>1091084</v>
      </c>
      <c r="Q20" s="112">
        <f>'תקציב החברה לפיתוח 2025'!Q20</f>
        <v>0</v>
      </c>
      <c r="R20" s="112">
        <f>'תקציב החברה לפיתוח 2025'!R20</f>
        <v>0</v>
      </c>
      <c r="S20" s="112">
        <f>'תקציב החברה לפיתוח 2025'!S20</f>
        <v>0</v>
      </c>
      <c r="T20" s="112">
        <f>'תקציב החברה לפיתוח 2025'!T20</f>
        <v>1090000</v>
      </c>
      <c r="U20" s="257">
        <f>'תקציב החברה לפיתוח 2025'!U20</f>
        <v>0</v>
      </c>
      <c r="V20" s="112">
        <f>'תקציב החברה לפיתוח 2025'!V20</f>
        <v>0</v>
      </c>
      <c r="W20" s="112">
        <f>'תקציב החברה לפיתוח 2025'!W20</f>
        <v>0</v>
      </c>
      <c r="X20" s="112">
        <f>'תקציב החברה לפיתוח 2025'!X20</f>
        <v>0</v>
      </c>
      <c r="Y20" s="112">
        <f>'תקציב החברה לפיתוח 2025'!Y20</f>
        <v>0</v>
      </c>
      <c r="Z20" s="112">
        <f>'תקציב החברה לפיתוח 2025'!Z20</f>
        <v>0</v>
      </c>
      <c r="AA20" s="127">
        <f>'תקציב החברה לפיתוח 2025'!AA20</f>
        <v>0</v>
      </c>
      <c r="AB20" s="202" t="str">
        <f>'תקציב החברה לפיתוח 2025'!AB20</f>
        <v>תכנון מתחם צומת כדורי לפינוי ובינוי.בשלב הנעת התכנון לשלב סטטוטורי. מימון מ. הבינוי.</v>
      </c>
      <c r="AC20" s="3">
        <f>'תקציב החברה לפיתוח 2025'!AC20</f>
        <v>732000</v>
      </c>
      <c r="AD20" s="123"/>
      <c r="AE20" s="123"/>
      <c r="AF20" s="123"/>
      <c r="AG20" s="123"/>
      <c r="AH20" s="123"/>
      <c r="AI20" s="123"/>
      <c r="AJ20" s="123"/>
      <c r="AK20" s="505"/>
      <c r="AL20" s="505"/>
      <c r="AM20" s="505"/>
      <c r="AN20" s="505"/>
      <c r="AO20" s="505"/>
      <c r="AP20" s="505"/>
      <c r="AQ20" s="505"/>
      <c r="AR20" s="505"/>
      <c r="AS20" s="123"/>
      <c r="AT20" s="123"/>
      <c r="AU20" s="123"/>
      <c r="AV20" s="123"/>
      <c r="AW20" s="123"/>
      <c r="AX20" s="123"/>
      <c r="AY20" s="123"/>
    </row>
    <row r="21" spans="1:56" s="126" customFormat="1" ht="30" customHeight="1">
      <c r="A21" s="112">
        <f t="shared" si="0"/>
        <v>17</v>
      </c>
      <c r="B21" s="127">
        <f>'תקציב החברה לפיתוח 2025'!B21</f>
        <v>1723</v>
      </c>
      <c r="C21" s="222" t="str">
        <f>'תקציב החברה לפיתוח 2025'!C21</f>
        <v>מרכז תחבורה חדש</v>
      </c>
      <c r="D21" s="112">
        <f>'תקציב החברה לפיתוח 2025'!D21</f>
        <v>1778521</v>
      </c>
      <c r="E21" s="112">
        <f>'תקציב החברה לפיתוח 2025'!E21</f>
        <v>1978521</v>
      </c>
      <c r="F21" s="112">
        <f>'תקציב החברה לפיתוח 2025'!F21</f>
        <v>-200000</v>
      </c>
      <c r="G21" s="112">
        <f>'תקציב החברה לפיתוח 2025'!G21</f>
        <v>1778521</v>
      </c>
      <c r="H21" s="112">
        <f>'תקציב החברה לפיתוח 2025'!H21</f>
        <v>1651128</v>
      </c>
      <c r="I21" s="112">
        <f>'תקציב החברה לפיתוח 2025'!I21</f>
        <v>0</v>
      </c>
      <c r="J21" s="112">
        <f>'תקציב החברה לפיתוח 2025'!J21</f>
        <v>0</v>
      </c>
      <c r="K21" s="112">
        <f>'תקציב החברה לפיתוח 2025'!K21</f>
        <v>0</v>
      </c>
      <c r="L21" s="112">
        <f>'תקציב החברה לפיתוח 2025'!L21</f>
        <v>1651128</v>
      </c>
      <c r="M21" s="112">
        <f>'תקציב החברה לפיתוח 2025'!M21</f>
        <v>127393</v>
      </c>
      <c r="N21" s="112">
        <f>'תקציב החברה לפיתוח 2025'!N21</f>
        <v>0</v>
      </c>
      <c r="O21" s="112">
        <f>'תקציב החברה לפיתוח 2025'!O21</f>
        <v>0</v>
      </c>
      <c r="P21" s="112">
        <f>'תקציב החברה לפיתוח 2025'!P21</f>
        <v>127393</v>
      </c>
      <c r="Q21" s="112">
        <f>'תקציב החברה לפיתוח 2025'!Q21</f>
        <v>0</v>
      </c>
      <c r="R21" s="112">
        <f>'תקציב החברה לפיתוח 2025'!R21</f>
        <v>0</v>
      </c>
      <c r="S21" s="112">
        <f>'תקציב החברה לפיתוח 2025'!S21</f>
        <v>0</v>
      </c>
      <c r="T21" s="112">
        <f>'תקציב החברה לפיתוח 2025'!T21</f>
        <v>0</v>
      </c>
      <c r="U21" s="257">
        <f>'תקציב החברה לפיתוח 2025'!U21</f>
        <v>0</v>
      </c>
      <c r="V21" s="112">
        <f>'תקציב החברה לפיתוח 2025'!V21</f>
        <v>0</v>
      </c>
      <c r="W21" s="112">
        <f>'תקציב החברה לפיתוח 2025'!W21</f>
        <v>0</v>
      </c>
      <c r="X21" s="112">
        <f>'תקציב החברה לפיתוח 2025'!X21</f>
        <v>0</v>
      </c>
      <c r="Y21" s="112">
        <f>'תקציב החברה לפיתוח 2025'!Y21</f>
        <v>0</v>
      </c>
      <c r="Z21" s="112">
        <f>'תקציב החברה לפיתוח 2025'!Z21</f>
        <v>0</v>
      </c>
      <c r="AA21" s="127">
        <f>'תקציב החברה לפיתוח 2025'!AA21</f>
        <v>0</v>
      </c>
      <c r="AB21" s="222" t="str">
        <f>'תקציב החברה לפיתוח 2025'!AB21</f>
        <v>השלמת תכנון עד להיתר לחניון אוטובוסים.</v>
      </c>
      <c r="AC21" s="127">
        <f>'תקציב החברה לפיתוח 2025'!AC21</f>
        <v>732000</v>
      </c>
      <c r="AD21" s="123"/>
      <c r="AE21" s="123"/>
      <c r="AF21" s="123"/>
      <c r="AG21" s="123"/>
      <c r="AH21" s="123"/>
      <c r="AI21" s="123"/>
      <c r="AJ21" s="123"/>
      <c r="AK21" s="505"/>
      <c r="AL21" s="505"/>
      <c r="AM21" s="505"/>
      <c r="AN21" s="505"/>
      <c r="AO21" s="505"/>
      <c r="AP21" s="505"/>
      <c r="AQ21" s="505"/>
      <c r="AR21" s="505"/>
      <c r="AS21" s="123"/>
      <c r="AT21" s="123"/>
      <c r="AU21" s="123"/>
      <c r="AV21" s="123"/>
      <c r="AW21" s="123"/>
      <c r="AX21" s="123"/>
      <c r="AY21" s="123"/>
      <c r="AZ21" s="5"/>
      <c r="BA21" s="5"/>
      <c r="BB21" s="5"/>
      <c r="BC21" s="5"/>
      <c r="BD21" s="5"/>
    </row>
    <row r="22" spans="1:56" s="5" customFormat="1" ht="30" customHeight="1">
      <c r="A22" s="112">
        <f t="shared" si="0"/>
        <v>18</v>
      </c>
      <c r="B22" s="209">
        <f>'תקציב החברה לפיתוח 2025'!B22</f>
        <v>1819</v>
      </c>
      <c r="C22" s="222" t="str">
        <f>'תקציב החברה לפיתוח 2025'!C22</f>
        <v>פיתוח רח' צ.ה.ל</v>
      </c>
      <c r="D22" s="112">
        <f>'תקציב החברה לפיתוח 2025'!D22</f>
        <v>16045000</v>
      </c>
      <c r="E22" s="112">
        <f>'תקציב החברה לפיתוח 2025'!E22</f>
        <v>17545000</v>
      </c>
      <c r="F22" s="112">
        <f>'תקציב החברה לפיתוח 2025'!F22</f>
        <v>-1500000</v>
      </c>
      <c r="G22" s="112">
        <f>'תקציב החברה לפיתוח 2025'!G22</f>
        <v>16045000</v>
      </c>
      <c r="H22" s="112">
        <f>'תקציב החברה לפיתוח 2025'!H22</f>
        <v>15717150</v>
      </c>
      <c r="I22" s="112">
        <f>'תקציב החברה לפיתוח 2025'!I22</f>
        <v>0</v>
      </c>
      <c r="J22" s="112">
        <f>'תקציב החברה לפיתוח 2025'!J22</f>
        <v>0</v>
      </c>
      <c r="K22" s="112">
        <f>'תקציב החברה לפיתוח 2025'!K22</f>
        <v>0</v>
      </c>
      <c r="L22" s="112">
        <f>'תקציב החברה לפיתוח 2025'!L22</f>
        <v>15717150</v>
      </c>
      <c r="M22" s="112">
        <f>'תקציב החברה לפיתוח 2025'!M22</f>
        <v>327850</v>
      </c>
      <c r="N22" s="112">
        <f>'תקציב החברה לפיתוח 2025'!N22</f>
        <v>0</v>
      </c>
      <c r="O22" s="112">
        <f>'תקציב החברה לפיתוח 2025'!O22</f>
        <v>0</v>
      </c>
      <c r="P22" s="112">
        <f>'תקציב החברה לפיתוח 2025'!P22</f>
        <v>327850</v>
      </c>
      <c r="Q22" s="112">
        <f>'תקציב החברה לפיתוח 2025'!Q22</f>
        <v>0</v>
      </c>
      <c r="R22" s="112">
        <f>'תקציב החברה לפיתוח 2025'!R22</f>
        <v>0</v>
      </c>
      <c r="S22" s="112">
        <f>'תקציב החברה לפיתוח 2025'!S22</f>
        <v>0</v>
      </c>
      <c r="T22" s="112">
        <f>'תקציב החברה לפיתוח 2025'!T22</f>
        <v>0</v>
      </c>
      <c r="U22" s="257">
        <f>'תקציב החברה לפיתוח 2025'!U22</f>
        <v>0</v>
      </c>
      <c r="V22" s="112">
        <f>'תקציב החברה לפיתוח 2025'!V22</f>
        <v>0</v>
      </c>
      <c r="W22" s="112">
        <f>'תקציב החברה לפיתוח 2025'!W22</f>
        <v>0</v>
      </c>
      <c r="X22" s="112">
        <f>'תקציב החברה לפיתוח 2025'!X22</f>
        <v>0</v>
      </c>
      <c r="Y22" s="112">
        <f>'תקציב החברה לפיתוח 2025'!Y22</f>
        <v>0</v>
      </c>
      <c r="Z22" s="112">
        <f>'תקציב החברה לפיתוח 2025'!Z22</f>
        <v>0</v>
      </c>
      <c r="AA22" s="127">
        <f>'תקציב החברה לפיתוח 2025'!AA22</f>
        <v>0</v>
      </c>
      <c r="AB22" s="222" t="str">
        <f>'תקציב החברה לפיתוח 2025'!AB22</f>
        <v>המשך פיתוח רחוב צ.ה.ל . חן סופיים. התב"ר לסגירה.</v>
      </c>
      <c r="AC22" s="127">
        <f>'תקציב החברה לפיתוח 2025'!AC22</f>
        <v>742000</v>
      </c>
      <c r="AD22" s="123"/>
      <c r="AE22" s="123"/>
      <c r="AF22" s="123"/>
      <c r="AG22" s="123"/>
      <c r="AH22" s="123"/>
      <c r="AI22" s="123"/>
      <c r="AJ22" s="123"/>
      <c r="AK22" s="505"/>
      <c r="AL22" s="505"/>
      <c r="AM22" s="505"/>
      <c r="AN22" s="505"/>
      <c r="AO22" s="505"/>
      <c r="AP22" s="505"/>
      <c r="AQ22" s="505"/>
      <c r="AR22" s="505"/>
      <c r="AS22" s="123"/>
      <c r="AT22" s="123"/>
      <c r="AU22" s="123"/>
      <c r="AV22" s="123"/>
      <c r="AW22" s="123"/>
      <c r="AX22" s="123"/>
      <c r="AY22" s="123"/>
    </row>
    <row r="23" spans="1:56" ht="45">
      <c r="A23" s="112">
        <f t="shared" si="0"/>
        <v>19</v>
      </c>
      <c r="B23" s="209">
        <f>'תקציב החברה לפיתוח 2025'!B23</f>
        <v>1827</v>
      </c>
      <c r="C23" s="222" t="str">
        <f>'תקציב החברה לפיתוח 2025'!C23</f>
        <v xml:space="preserve">פארק גליל ים </v>
      </c>
      <c r="D23" s="112">
        <f>'תקציב החברה לפיתוח 2025'!D23</f>
        <v>100000000</v>
      </c>
      <c r="E23" s="112">
        <f>'תקציב החברה לפיתוח 2025'!E23</f>
        <v>100000000</v>
      </c>
      <c r="F23" s="112">
        <f>'תקציב החברה לפיתוח 2025'!F23</f>
        <v>0</v>
      </c>
      <c r="G23" s="112">
        <f>'תקציב החברה לפיתוח 2025'!G23</f>
        <v>100000000</v>
      </c>
      <c r="H23" s="112">
        <f>'תקציב החברה לפיתוח 2025'!H23</f>
        <v>92813340</v>
      </c>
      <c r="I23" s="112">
        <f>'תקציב החברה לפיתוח 2025'!I23</f>
        <v>0</v>
      </c>
      <c r="J23" s="112">
        <f>'תקציב החברה לפיתוח 2025'!J23</f>
        <v>98762</v>
      </c>
      <c r="K23" s="112">
        <f>'תקציב החברה לפיתוח 2025'!K23</f>
        <v>98762</v>
      </c>
      <c r="L23" s="112">
        <f>'תקציב החברה לפיתוח 2025'!L23</f>
        <v>92912102</v>
      </c>
      <c r="M23" s="112">
        <f>'תקציב החברה לפיתוח 2025'!M23</f>
        <v>7087898</v>
      </c>
      <c r="N23" s="112">
        <f>'תקציב החברה לפיתוח 2025'!N23</f>
        <v>0</v>
      </c>
      <c r="O23" s="112">
        <f>'תקציב החברה לפיתוח 2025'!O23</f>
        <v>0</v>
      </c>
      <c r="P23" s="112">
        <f>'תקציב החברה לפיתוח 2025'!P23</f>
        <v>7087898</v>
      </c>
      <c r="Q23" s="112">
        <f>'תקציב החברה לפיתוח 2025'!Q23</f>
        <v>0</v>
      </c>
      <c r="R23" s="112">
        <f>'תקציב החברה לפיתוח 2025'!R23</f>
        <v>0</v>
      </c>
      <c r="S23" s="112">
        <f>'תקציב החברה לפיתוח 2025'!S23</f>
        <v>0</v>
      </c>
      <c r="T23" s="112">
        <f>'תקציב החברה לפיתוח 2025'!T23</f>
        <v>0</v>
      </c>
      <c r="U23" s="257">
        <f>'תקציב החברה לפיתוח 2025'!U23</f>
        <v>0</v>
      </c>
      <c r="V23" s="112">
        <f>'תקציב החברה לפיתוח 2025'!V23</f>
        <v>0</v>
      </c>
      <c r="W23" s="112">
        <f>'תקציב החברה לפיתוח 2025'!W23</f>
        <v>0</v>
      </c>
      <c r="X23" s="112">
        <f>'תקציב החברה לפיתוח 2025'!X23</f>
        <v>0</v>
      </c>
      <c r="Y23" s="112">
        <f>'תקציב החברה לפיתוח 2025'!Y23</f>
        <v>0</v>
      </c>
      <c r="Z23" s="112">
        <f>'תקציב החברה לפיתוח 2025'!Z23</f>
        <v>0</v>
      </c>
      <c r="AA23" s="127">
        <f>'תקציב החברה לפיתוח 2025'!AA23</f>
        <v>0</v>
      </c>
      <c r="AB23" s="222" t="str">
        <f>'תקציב החברה לפיתוח 2025'!AB23</f>
        <v>עבודות פיתוח. מימון רמ"י במסגרת הסכם "הגג". חן סופיים. לקראת סיום.</v>
      </c>
      <c r="AC23" s="127">
        <f>'תקציב החברה לפיתוח 2025'!AC23</f>
        <v>746000</v>
      </c>
      <c r="AZ23" s="5"/>
      <c r="BA23" s="5"/>
      <c r="BB23" s="5"/>
      <c r="BC23" s="5"/>
      <c r="BD23" s="5"/>
    </row>
    <row r="24" spans="1:56" s="126" customFormat="1" ht="90">
      <c r="A24" s="112">
        <f t="shared" si="0"/>
        <v>20</v>
      </c>
      <c r="B24" s="127">
        <f>'תקציב החברה לפיתוח 2025'!B24</f>
        <v>1834</v>
      </c>
      <c r="C24" s="222" t="str">
        <f>'תקציב החברה לפיתוח 2025'!C24</f>
        <v>מתנ"ס נווה ישראל</v>
      </c>
      <c r="D24" s="112">
        <f>'תקציב החברה לפיתוח 2025'!D24</f>
        <v>65050000</v>
      </c>
      <c r="E24" s="112">
        <f>'תקציב החברה לפיתוח 2025'!E24</f>
        <v>65050000</v>
      </c>
      <c r="F24" s="112">
        <f>'תקציב החברה לפיתוח 2025'!F24</f>
        <v>0</v>
      </c>
      <c r="G24" s="112">
        <f>'תקציב החברה לפיתוח 2025'!G24</f>
        <v>64803780</v>
      </c>
      <c r="H24" s="112">
        <f>'תקציב החברה לפיתוח 2025'!H24</f>
        <v>63925209</v>
      </c>
      <c r="I24" s="112">
        <f>'תקציב החברה לפיתוח 2025'!I24</f>
        <v>0</v>
      </c>
      <c r="J24" s="112">
        <f>'תקציב החברה לפיתוח 2025'!J24</f>
        <v>367749</v>
      </c>
      <c r="K24" s="112">
        <f>'תקציב החברה לפיתוח 2025'!K24</f>
        <v>367749</v>
      </c>
      <c r="L24" s="112">
        <f>'תקציב החברה לפיתוח 2025'!L24</f>
        <v>64292958</v>
      </c>
      <c r="M24" s="112">
        <f>'תקציב החברה לפיתוח 2025'!M24</f>
        <v>757042</v>
      </c>
      <c r="N24" s="112">
        <f>'תקציב החברה לפיתוח 2025'!N24</f>
        <v>0</v>
      </c>
      <c r="O24" s="112">
        <f>'תקציב החברה לפיתוח 2025'!O24</f>
        <v>0</v>
      </c>
      <c r="P24" s="112">
        <f>'תקציב החברה לפיתוח 2025'!P24</f>
        <v>510822</v>
      </c>
      <c r="Q24" s="112">
        <f>'תקציב החברה לפיתוח 2025'!Q24</f>
        <v>246220</v>
      </c>
      <c r="R24" s="112">
        <f>'תקציב החברה לפיתוח 2025'!R24</f>
        <v>0</v>
      </c>
      <c r="S24" s="112">
        <f>'תקציב החברה לפיתוח 2025'!S24</f>
        <v>246220</v>
      </c>
      <c r="T24" s="112">
        <f>'תקציב החברה לפיתוח 2025'!T24</f>
        <v>0</v>
      </c>
      <c r="U24" s="257">
        <f>'תקציב החברה לפיתוח 2025'!U24</f>
        <v>0</v>
      </c>
      <c r="V24" s="112">
        <f>'תקציב החברה לפיתוח 2025'!V24</f>
        <v>0</v>
      </c>
      <c r="W24" s="112">
        <f>'תקציב החברה לפיתוח 2025'!W24</f>
        <v>0</v>
      </c>
      <c r="X24" s="112">
        <f>'תקציב החברה לפיתוח 2025'!X24</f>
        <v>0</v>
      </c>
      <c r="Y24" s="112">
        <f>'תקציב החברה לפיתוח 2025'!Y24</f>
        <v>0</v>
      </c>
      <c r="Z24" s="112">
        <f>'תקציב החברה לפיתוח 2025'!Z24</f>
        <v>0</v>
      </c>
      <c r="AA24" s="112">
        <f>'תקציב החברה לפיתוח 2025'!AA24</f>
        <v>0</v>
      </c>
      <c r="AB24" s="496" t="str">
        <f>'תקציב החברה לפיתוח 2025'!AB24</f>
        <v>מתנ"ס קהילתי  בשטח של כ-4000 מ"ר הכולל גלריה מקומית, ספרייה חדשה,  חדרי חוגים, מועדון גמלאים בית קפה כולל הצטיידות. חן סופיים. מימון רמ"י ( מוס"צ מכרז "הבריגדה").</v>
      </c>
      <c r="AC24" s="127">
        <f>'תקציב החברה לפיתוח 2025'!AC24</f>
        <v>824000</v>
      </c>
      <c r="AD24" s="123"/>
      <c r="AE24" s="123"/>
      <c r="AF24" s="123"/>
      <c r="AG24" s="123"/>
      <c r="AH24" s="123"/>
      <c r="AI24" s="123"/>
      <c r="AJ24" s="123"/>
      <c r="AK24" s="505"/>
      <c r="AL24" s="505"/>
      <c r="AM24" s="505"/>
      <c r="AN24" s="505"/>
      <c r="AO24" s="505"/>
      <c r="AP24" s="505"/>
      <c r="AQ24" s="505"/>
      <c r="AR24" s="505"/>
      <c r="AS24" s="123"/>
      <c r="AT24" s="123"/>
      <c r="AU24" s="123"/>
      <c r="AV24" s="123"/>
      <c r="AW24" s="123"/>
      <c r="AX24" s="123"/>
      <c r="AY24" s="123"/>
      <c r="AZ24" s="128"/>
      <c r="BA24" s="128"/>
      <c r="BB24" s="128"/>
      <c r="BC24" s="128"/>
      <c r="BD24" s="128"/>
    </row>
    <row r="25" spans="1:56" ht="75">
      <c r="A25" s="112">
        <f t="shared" si="0"/>
        <v>21</v>
      </c>
      <c r="B25" s="127">
        <f>'תקציב החברה לפיתוח 2025'!B25</f>
        <v>1835</v>
      </c>
      <c r="C25" s="222" t="str">
        <f>'תקציב החברה לפיתוח 2025'!C25</f>
        <v>פיתוח מתחם מתנ"ס נווה עמל ומגרשי טניס</v>
      </c>
      <c r="D25" s="112">
        <f>'תקציב החברה לפיתוח 2025'!D25</f>
        <v>51500000</v>
      </c>
      <c r="E25" s="112">
        <f>'תקציב החברה לפיתוח 2025'!E25</f>
        <v>51500000</v>
      </c>
      <c r="F25" s="112">
        <f>'תקציב החברה לפיתוח 2025'!F25</f>
        <v>0</v>
      </c>
      <c r="G25" s="112">
        <f>'תקציב החברה לפיתוח 2025'!G25</f>
        <v>23400000</v>
      </c>
      <c r="H25" s="112">
        <f>'תקציב החברה לפיתוח 2025'!H25</f>
        <v>21450370</v>
      </c>
      <c r="I25" s="112">
        <f>'תקציב החברה לפיתוח 2025'!I25</f>
        <v>0</v>
      </c>
      <c r="J25" s="112">
        <f>'תקציב החברה לפיתוח 2025'!J25</f>
        <v>624783</v>
      </c>
      <c r="K25" s="112">
        <f>'תקציב החברה לפיתוח 2025'!K25</f>
        <v>624783</v>
      </c>
      <c r="L25" s="112">
        <f>'תקציב החברה לפיתוח 2025'!L25</f>
        <v>22075153</v>
      </c>
      <c r="M25" s="112">
        <f>'תקציב החברה לפיתוח 2025'!M25</f>
        <v>3474847</v>
      </c>
      <c r="N25" s="112">
        <f>'תקציב החברה לפיתוח 2025'!N25</f>
        <v>1000000</v>
      </c>
      <c r="O25" s="112">
        <f>'תקציב החברה לפיתוח 2025'!O25</f>
        <v>24950000</v>
      </c>
      <c r="P25" s="112">
        <f>'תקציב החברה לפיתוח 2025'!P25</f>
        <v>1324847</v>
      </c>
      <c r="Q25" s="112">
        <f>'תקציב החברה לפיתוח 2025'!Q25</f>
        <v>2150000</v>
      </c>
      <c r="R25" s="112">
        <f>'תקציב החברה לפיתוח 2025'!R25</f>
        <v>0</v>
      </c>
      <c r="S25" s="112">
        <f>'תקציב החברה לפיתוח 2025'!S25</f>
        <v>2150000</v>
      </c>
      <c r="T25" s="112">
        <f>'תקציב החברה לפיתוח 2025'!T25</f>
        <v>0</v>
      </c>
      <c r="U25" s="257">
        <f>'תקציב החברה לפיתוח 2025'!U25</f>
        <v>1000000</v>
      </c>
      <c r="V25" s="112">
        <f>'תקציב החברה לפיתוח 2025'!V25</f>
        <v>1000000</v>
      </c>
      <c r="W25" s="112">
        <f>'תקציב החברה לפיתוח 2025'!W25</f>
        <v>0</v>
      </c>
      <c r="X25" s="112">
        <f>'תקציב החברה לפיתוח 2025'!X25</f>
        <v>0</v>
      </c>
      <c r="Y25" s="112">
        <f>'תקציב החברה לפיתוח 2025'!Y25</f>
        <v>0</v>
      </c>
      <c r="Z25" s="112">
        <f>'תקציב החברה לפיתוח 2025'!Z25</f>
        <v>0</v>
      </c>
      <c r="AA25" s="112">
        <f>'תקציב החברה לפיתוח 2025'!AA25</f>
        <v>0</v>
      </c>
      <c r="AB25" s="202" t="str">
        <f>'תקציב החברה לפיתוח 2025'!AB25</f>
        <v xml:space="preserve"> הקמת מבנה טניס חדש, שיפוץ מבני מתנ"ס קיים קירוי 2 מגרשי טניס ופיתוח סביבתי למתחם .מימון רמ"י (מוס"צ מכרז "ק. שחקים, גליל ים ג'").</v>
      </c>
      <c r="AC25" s="127">
        <f>'תקציב החברה לפיתוח 2025'!AC25</f>
        <v>824000</v>
      </c>
    </row>
    <row r="26" spans="1:56" ht="45">
      <c r="A26" s="112">
        <f t="shared" si="0"/>
        <v>22</v>
      </c>
      <c r="B26" s="209">
        <f>'תקציב החברה לפיתוח 2025'!B26</f>
        <v>1845</v>
      </c>
      <c r="C26" s="222" t="str">
        <f>'תקציב החברה לפיתוח 2025'!C26</f>
        <v xml:space="preserve">חניונים הר'1900 - חניון משכית </v>
      </c>
      <c r="D26" s="112">
        <f>'תקציב החברה לפיתוח 2025'!D26</f>
        <v>137500000</v>
      </c>
      <c r="E26" s="112">
        <f>'תקציב החברה לפיתוח 2025'!E26</f>
        <v>137500000</v>
      </c>
      <c r="F26" s="112">
        <f>'תקציב החברה לפיתוח 2025'!F26</f>
        <v>0</v>
      </c>
      <c r="G26" s="112">
        <f>'תקציב החברה לפיתוח 2025'!G26</f>
        <v>2740000</v>
      </c>
      <c r="H26" s="112">
        <f>'תקציב החברה לפיתוח 2025'!H26</f>
        <v>2721383</v>
      </c>
      <c r="I26" s="112">
        <f>'תקציב החברה לפיתוח 2025'!I26</f>
        <v>0</v>
      </c>
      <c r="J26" s="112">
        <f>'תקציב החברה לפיתוח 2025'!J26</f>
        <v>0</v>
      </c>
      <c r="K26" s="112">
        <f>'תקציב החברה לפיתוח 2025'!K26</f>
        <v>0</v>
      </c>
      <c r="L26" s="112">
        <f>'תקציב החברה לפיתוח 2025'!L26</f>
        <v>2721383</v>
      </c>
      <c r="M26" s="112">
        <f>'תקציב החברה לפיתוח 2025'!M26</f>
        <v>18617</v>
      </c>
      <c r="N26" s="112">
        <f>'תקציב החברה לפיתוח 2025'!N26</f>
        <v>0</v>
      </c>
      <c r="O26" s="112">
        <f>'תקציב החברה לפיתוח 2025'!O26</f>
        <v>134760000</v>
      </c>
      <c r="P26" s="112">
        <f>'תקציב החברה לפיתוח 2025'!P26</f>
        <v>18617</v>
      </c>
      <c r="Q26" s="112">
        <f>'תקציב החברה לפיתוח 2025'!Q26</f>
        <v>0</v>
      </c>
      <c r="R26" s="112">
        <f>'תקציב החברה לפיתוח 2025'!R26</f>
        <v>0</v>
      </c>
      <c r="S26" s="112">
        <f>'תקציב החברה לפיתוח 2025'!S26</f>
        <v>0</v>
      </c>
      <c r="T26" s="112">
        <f>'תקציב החברה לפיתוח 2025'!T26</f>
        <v>0</v>
      </c>
      <c r="U26" s="257">
        <f>'תקציב החברה לפיתוח 2025'!U26</f>
        <v>0</v>
      </c>
      <c r="V26" s="112">
        <f>'תקציב החברה לפיתוח 2025'!V26</f>
        <v>0</v>
      </c>
      <c r="W26" s="112">
        <f>'תקציב החברה לפיתוח 2025'!W26</f>
        <v>0</v>
      </c>
      <c r="X26" s="112">
        <f>'תקציב החברה לפיתוח 2025'!X26</f>
        <v>0</v>
      </c>
      <c r="Y26" s="112">
        <f>'תקציב החברה לפיתוח 2025'!Y26</f>
        <v>0</v>
      </c>
      <c r="Z26" s="112">
        <f>'תקציב החברה לפיתוח 2025'!Z26</f>
        <v>0</v>
      </c>
      <c r="AA26" s="127">
        <f>'תקציב החברה לפיתוח 2025'!AA26</f>
        <v>0</v>
      </c>
      <c r="AB26" s="222" t="str">
        <f>'תקציב החברה לפיתוח 2025'!AB26</f>
        <v xml:space="preserve">הקמת חניון תתקרקעי ברחוב משכית כולל מבנה מסחר ועבודות פיתוח. </v>
      </c>
      <c r="AC26" s="127">
        <f>'תקציב החברה לפיתוח 2025'!AC26</f>
        <v>742000</v>
      </c>
    </row>
    <row r="27" spans="1:56" ht="60">
      <c r="A27" s="112">
        <f t="shared" si="0"/>
        <v>23</v>
      </c>
      <c r="B27" s="209">
        <f>'תקציב החברה לפיתוח 2025'!B27</f>
        <v>1896</v>
      </c>
      <c r="C27" s="222" t="str">
        <f>'תקציב החברה לפיתוח 2025'!C27</f>
        <v>קירוי והצללה מגרשי ספורט עירוניים</v>
      </c>
      <c r="D27" s="112">
        <f>'תקציב החברה לפיתוח 2025'!D27</f>
        <v>10300000</v>
      </c>
      <c r="E27" s="112">
        <f>'תקציב החברה לפיתוח 2025'!E27</f>
        <v>10300000</v>
      </c>
      <c r="F27" s="112">
        <f>'תקציב החברה לפיתוח 2025'!F27</f>
        <v>0</v>
      </c>
      <c r="G27" s="112">
        <f>'תקציב החברה לפיתוח 2025'!G27</f>
        <v>10300000</v>
      </c>
      <c r="H27" s="112">
        <f>'תקציב החברה לפיתוח 2025'!H27</f>
        <v>9075740</v>
      </c>
      <c r="I27" s="112">
        <f>'תקציב החברה לפיתוח 2025'!I27</f>
        <v>0</v>
      </c>
      <c r="J27" s="112">
        <f>'תקציב החברה לפיתוח 2025'!J27</f>
        <v>105024</v>
      </c>
      <c r="K27" s="112">
        <f>'תקציב החברה לפיתוח 2025'!K27</f>
        <v>105024</v>
      </c>
      <c r="L27" s="112">
        <f>'תקציב החברה לפיתוח 2025'!L27</f>
        <v>9180764</v>
      </c>
      <c r="M27" s="112">
        <f>'תקציב החברה לפיתוח 2025'!M27</f>
        <v>119236</v>
      </c>
      <c r="N27" s="112">
        <f>'תקציב החברה לפיתוח 2025'!N27</f>
        <v>0</v>
      </c>
      <c r="O27" s="112">
        <f>'תקציב החברה לפיתוח 2025'!O27</f>
        <v>1000000</v>
      </c>
      <c r="P27" s="112">
        <f>'תקציב החברה לפיתוח 2025'!P27</f>
        <v>1119236</v>
      </c>
      <c r="Q27" s="112">
        <f>'תקציב החברה לפיתוח 2025'!Q27</f>
        <v>0</v>
      </c>
      <c r="R27" s="112">
        <f>'תקציב החברה לפיתוח 2025'!R27</f>
        <v>0</v>
      </c>
      <c r="S27" s="112">
        <f>'תקציב החברה לפיתוח 2025'!S27</f>
        <v>0</v>
      </c>
      <c r="T27" s="112">
        <f>'תקציב החברה לפיתוח 2025'!T27</f>
        <v>1000000</v>
      </c>
      <c r="U27" s="257">
        <f>'תקציב החברה לפיתוח 2025'!U27</f>
        <v>-1000000</v>
      </c>
      <c r="V27" s="112">
        <f>'תקציב החברה לפיתוח 2025'!V27</f>
        <v>-1000000</v>
      </c>
      <c r="W27" s="112">
        <f>'תקציב החברה לפיתוח 2025'!W27</f>
        <v>0</v>
      </c>
      <c r="X27" s="112">
        <f>'תקציב החברה לפיתוח 2025'!X27</f>
        <v>0</v>
      </c>
      <c r="Y27" s="112">
        <f>'תקציב החברה לפיתוח 2025'!Y27</f>
        <v>0</v>
      </c>
      <c r="Z27" s="112">
        <f>'תקציב החברה לפיתוח 2025'!Z27</f>
        <v>0</v>
      </c>
      <c r="AA27" s="127">
        <f>'תקציב החברה לפיתוח 2025'!AA27</f>
        <v>0</v>
      </c>
      <c r="AB27" s="222" t="str">
        <f>'תקציב החברה לפיתוח 2025'!AB27</f>
        <v>התקנת קירוי קשיח ופוטוואלטי במגרשי ספורט. תיכון דור ותיכון חדש. הפרויקט הסתיים. התב"ר לסגירה.</v>
      </c>
      <c r="AC27" s="127">
        <f>'תקציב החברה לפיתוח 2025'!AC27</f>
        <v>829000</v>
      </c>
      <c r="AZ27" s="212"/>
      <c r="BA27" s="212"/>
      <c r="BB27" s="212"/>
      <c r="BC27" s="212"/>
      <c r="BD27" s="212"/>
    </row>
    <row r="28" spans="1:56" s="131" customFormat="1" ht="90">
      <c r="A28" s="112">
        <f t="shared" si="0"/>
        <v>24</v>
      </c>
      <c r="B28" s="209">
        <f>'תקציב החברה לפיתוח 2025'!B28</f>
        <v>1909</v>
      </c>
      <c r="C28" s="222" t="str">
        <f>'תקציב החברה לפיתוח 2025'!C28</f>
        <v xml:space="preserve">שטח 408 גליל ים ב'-גנ"י, בי"ס, ספריה </v>
      </c>
      <c r="D28" s="112">
        <f>'תקציב החברה לפיתוח 2025'!D28</f>
        <v>184500000</v>
      </c>
      <c r="E28" s="112">
        <f>'תקציב החברה לפיתוח 2025'!E28</f>
        <v>184500000</v>
      </c>
      <c r="F28" s="112">
        <f>'תקציב החברה לפיתוח 2025'!F28</f>
        <v>0</v>
      </c>
      <c r="G28" s="112">
        <f>'תקציב החברה לפיתוח 2025'!G28</f>
        <v>180283198</v>
      </c>
      <c r="H28" s="112">
        <f>'תקציב החברה לפיתוח 2025'!H28</f>
        <v>177686049</v>
      </c>
      <c r="I28" s="112">
        <f>'תקציב החברה לפיתוח 2025'!I28</f>
        <v>0</v>
      </c>
      <c r="J28" s="112">
        <f>'תקציב החברה לפיתוח 2025'!J28</f>
        <v>2015800</v>
      </c>
      <c r="K28" s="112">
        <f>'תקציב החברה לפיתוח 2025'!K28</f>
        <v>2015800</v>
      </c>
      <c r="L28" s="112">
        <f>'תקציב החברה לפיתוח 2025'!L28</f>
        <v>179701849</v>
      </c>
      <c r="M28" s="112">
        <f>'תקציב החברה לפיתוח 2025'!M28</f>
        <v>798151</v>
      </c>
      <c r="N28" s="112">
        <f>'תקציב החברה לפיתוח 2025'!N28</f>
        <v>1000000</v>
      </c>
      <c r="O28" s="112">
        <f>'תקציב החברה לפיתוח 2025'!O28</f>
        <v>3000000</v>
      </c>
      <c r="P28" s="112">
        <f>'תקציב החברה לפיתוח 2025'!P28</f>
        <v>581349</v>
      </c>
      <c r="Q28" s="112">
        <f>'תקציב החברה לפיתוח 2025'!Q28</f>
        <v>216802</v>
      </c>
      <c r="R28" s="112">
        <f>'תקציב החברה לפיתוח 2025'!R28</f>
        <v>0</v>
      </c>
      <c r="S28" s="112">
        <f>'תקציב החברה לפיתוח 2025'!S28</f>
        <v>216802</v>
      </c>
      <c r="T28" s="112">
        <f>'תקציב החברה לפיתוח 2025'!T28</f>
        <v>0</v>
      </c>
      <c r="U28" s="257">
        <f>'תקציב החברה לפיתוח 2025'!U28</f>
        <v>1000000</v>
      </c>
      <c r="V28" s="112">
        <f>'תקציב החברה לפיתוח 2025'!V28</f>
        <v>1000000</v>
      </c>
      <c r="W28" s="112">
        <f>'תקציב החברה לפיתוח 2025'!W28</f>
        <v>0</v>
      </c>
      <c r="X28" s="112">
        <f>'תקציב החברה לפיתוח 2025'!X28</f>
        <v>0</v>
      </c>
      <c r="Y28" s="112">
        <f>'תקציב החברה לפיתוח 2025'!Y28</f>
        <v>0</v>
      </c>
      <c r="Z28" s="112">
        <f>'תקציב החברה לפיתוח 2025'!Z28</f>
        <v>0</v>
      </c>
      <c r="AA28" s="112">
        <f>'תקציב החברה לפיתוח 2025'!AA28</f>
        <v>0</v>
      </c>
      <c r="AB28" s="210" t="str">
        <f>'תקציב החברה לפיתוח 2025'!AB28</f>
        <v>בניית בי"ס יסודי 18 כיתות , 5 כיתות גן , מועדון תנועת נוער, אולם ספורט בינוני , מגרש ספורט משולב, חניון תתקרקעי 2 מפלסים.  מימון מ. החינוך בי"ס,גנ"י.</v>
      </c>
      <c r="AC28" s="299">
        <f>'תקציב החברה לפיתוח 2025'!AC28</f>
        <v>810000</v>
      </c>
      <c r="AD28" s="123"/>
      <c r="AE28" s="123"/>
      <c r="AF28" s="123"/>
      <c r="AG28" s="123"/>
      <c r="AH28" s="123"/>
      <c r="AI28" s="123"/>
      <c r="AJ28" s="123"/>
      <c r="AK28" s="505"/>
      <c r="AL28" s="505"/>
      <c r="AM28" s="505"/>
      <c r="AN28" s="505"/>
      <c r="AO28" s="505"/>
      <c r="AP28" s="505"/>
      <c r="AQ28" s="505"/>
      <c r="AR28" s="505"/>
      <c r="AS28" s="123"/>
      <c r="AT28" s="123"/>
      <c r="AU28" s="123"/>
      <c r="AV28" s="123"/>
      <c r="AW28" s="123"/>
      <c r="AX28" s="123"/>
      <c r="AY28" s="123"/>
      <c r="AZ28" s="128"/>
      <c r="BA28" s="128"/>
      <c r="BB28" s="128"/>
      <c r="BC28" s="128"/>
      <c r="BD28" s="128"/>
    </row>
    <row r="29" spans="1:56" s="131" customFormat="1" ht="30" customHeight="1">
      <c r="A29" s="112">
        <f t="shared" si="0"/>
        <v>25</v>
      </c>
      <c r="B29" s="209">
        <f>'תקציב החברה לפיתוח 2025'!B29</f>
        <v>1911</v>
      </c>
      <c r="C29" s="222" t="str">
        <f>'תקציב החברה לפיתוח 2025'!C29</f>
        <v xml:space="preserve">כיתות מעון 5 יום 5 כיתות גן-. 404 ג.ים ב' </v>
      </c>
      <c r="D29" s="112">
        <f>'תקציב החברה לפיתוח 2025'!D29</f>
        <v>26936240</v>
      </c>
      <c r="E29" s="112">
        <f>'תקציב החברה לפיתוח 2025'!E29</f>
        <v>26936240</v>
      </c>
      <c r="F29" s="112">
        <f>'תקציב החברה לפיתוח 2025'!F29</f>
        <v>0</v>
      </c>
      <c r="G29" s="112">
        <f>'תקציב החברה לפיתוח 2025'!G29</f>
        <v>26936240</v>
      </c>
      <c r="H29" s="112">
        <f>'תקציב החברה לפיתוח 2025'!H29</f>
        <v>26792407</v>
      </c>
      <c r="I29" s="112">
        <f>'תקציב החברה לפיתוח 2025'!I29</f>
        <v>0</v>
      </c>
      <c r="J29" s="112">
        <f>'תקציב החברה לפיתוח 2025'!J29</f>
        <v>41815</v>
      </c>
      <c r="K29" s="112">
        <f>'תקציב החברה לפיתוח 2025'!K29</f>
        <v>41815</v>
      </c>
      <c r="L29" s="112">
        <f>'תקציב החברה לפיתוח 2025'!L29</f>
        <v>26834222</v>
      </c>
      <c r="M29" s="112">
        <f>'תקציב החברה לפיתוח 2025'!M29</f>
        <v>102018</v>
      </c>
      <c r="N29" s="112">
        <f>'תקציב החברה לפיתוח 2025'!N29</f>
        <v>0</v>
      </c>
      <c r="O29" s="112">
        <f>'תקציב החברה לפיתוח 2025'!O29</f>
        <v>0</v>
      </c>
      <c r="P29" s="112">
        <f>'תקציב החברה לפיתוח 2025'!P29</f>
        <v>102018</v>
      </c>
      <c r="Q29" s="112">
        <f>'תקציב החברה לפיתוח 2025'!Q29</f>
        <v>0</v>
      </c>
      <c r="R29" s="112">
        <f>'תקציב החברה לפיתוח 2025'!R29</f>
        <v>0</v>
      </c>
      <c r="S29" s="112">
        <f>'תקציב החברה לפיתוח 2025'!S29</f>
        <v>0</v>
      </c>
      <c r="T29" s="112">
        <f>'תקציב החברה לפיתוח 2025'!T29</f>
        <v>0</v>
      </c>
      <c r="U29" s="257">
        <f>'תקציב החברה לפיתוח 2025'!U29</f>
        <v>0</v>
      </c>
      <c r="V29" s="112">
        <f>'תקציב החברה לפיתוח 2025'!V29</f>
        <v>0</v>
      </c>
      <c r="W29" s="112">
        <f>'תקציב החברה לפיתוח 2025'!W29</f>
        <v>0</v>
      </c>
      <c r="X29" s="112">
        <f>'תקציב החברה לפיתוח 2025'!X29</f>
        <v>0</v>
      </c>
      <c r="Y29" s="112">
        <f>'תקציב החברה לפיתוח 2025'!Y29</f>
        <v>0</v>
      </c>
      <c r="Z29" s="112">
        <f>'תקציב החברה לפיתוח 2025'!Z29</f>
        <v>0</v>
      </c>
      <c r="AA29" s="127">
        <f>'תקציב החברה לפיתוח 2025'!AA29</f>
        <v>0</v>
      </c>
      <c r="AB29" s="210" t="str">
        <f>'תקציב החברה לפיתוח 2025'!AB29</f>
        <v>בניית 10 כיתות גן .   חן סופיים. התב"ר לסגירה.</v>
      </c>
      <c r="AC29" s="127">
        <f>'תקציב החברה לפיתוח 2025'!AC29</f>
        <v>810000</v>
      </c>
      <c r="AD29" s="123"/>
      <c r="AE29" s="123"/>
      <c r="AF29" s="123"/>
      <c r="AG29" s="123"/>
      <c r="AH29" s="123"/>
      <c r="AI29" s="123"/>
      <c r="AJ29" s="123"/>
      <c r="AK29" s="505"/>
      <c r="AL29" s="505"/>
      <c r="AM29" s="505"/>
      <c r="AN29" s="505"/>
      <c r="AO29" s="505"/>
      <c r="AP29" s="505"/>
      <c r="AQ29" s="505"/>
      <c r="AR29" s="505"/>
      <c r="AS29" s="123"/>
      <c r="AT29" s="123"/>
      <c r="AU29" s="123"/>
      <c r="AV29" s="123"/>
      <c r="AW29" s="123"/>
      <c r="AX29" s="123"/>
      <c r="AY29" s="123"/>
      <c r="AZ29" s="212"/>
      <c r="BA29" s="212"/>
      <c r="BB29" s="212"/>
      <c r="BC29" s="212"/>
      <c r="BD29" s="212"/>
    </row>
    <row r="30" spans="1:56" s="5" customFormat="1" ht="63" customHeight="1">
      <c r="A30" s="112">
        <f t="shared" si="0"/>
        <v>26</v>
      </c>
      <c r="B30" s="209">
        <f>'תקציב החברה לפיתוח 2025'!B30</f>
        <v>1912</v>
      </c>
      <c r="C30" s="222" t="str">
        <f>'תקציב החברה לפיתוח 2025'!C30</f>
        <v xml:space="preserve">קיריית החינוך ( מגרש 406)-ספריה, מרכז קהילתי </v>
      </c>
      <c r="D30" s="112">
        <f>'תקציב החברה לפיתוח 2025'!D30</f>
        <v>430000000</v>
      </c>
      <c r="E30" s="112">
        <f>'תקציב החברה לפיתוח 2025'!E30</f>
        <v>430000000</v>
      </c>
      <c r="F30" s="112">
        <f>'תקציב החברה לפיתוח 2025'!F30</f>
        <v>0</v>
      </c>
      <c r="G30" s="112">
        <f>'תקציב החברה לפיתוח 2025'!G30</f>
        <v>335004251</v>
      </c>
      <c r="H30" s="112">
        <f>'תקציב החברה לפיתוח 2025'!H30</f>
        <v>329081460</v>
      </c>
      <c r="I30" s="112">
        <f>'תקציב החברה לפיתוח 2025'!I30</f>
        <v>0</v>
      </c>
      <c r="J30" s="112">
        <f>'תקציב החברה לפיתוח 2025'!J30</f>
        <v>4819165</v>
      </c>
      <c r="K30" s="112">
        <f>'תקציב החברה לפיתוח 2025'!K30</f>
        <v>4819165</v>
      </c>
      <c r="L30" s="112">
        <f>'תקציב החברה לפיתוח 2025'!L30</f>
        <v>333900625</v>
      </c>
      <c r="M30" s="112">
        <f>'תקציב החברה לפיתוח 2025'!M30</f>
        <v>18927628</v>
      </c>
      <c r="N30" s="112">
        <f>'תקציב החברה לפיתוח 2025'!N30</f>
        <v>6000000</v>
      </c>
      <c r="O30" s="112">
        <f>'תקציב החברה לפיתוח 2025'!O30</f>
        <v>71171747</v>
      </c>
      <c r="P30" s="112">
        <f>'תקציב החברה לפיתוח 2025'!P30</f>
        <v>1103626</v>
      </c>
      <c r="Q30" s="112">
        <f>'תקציב החברה לפיתוח 2025'!Q30</f>
        <v>17824002</v>
      </c>
      <c r="R30" s="112">
        <f>'תקציב החברה לפיתוח 2025'!R30</f>
        <v>0</v>
      </c>
      <c r="S30" s="112">
        <f>'תקציב החברה לפיתוח 2025'!S30</f>
        <v>17824002</v>
      </c>
      <c r="T30" s="112">
        <f>'תקציב החברה לפיתוח 2025'!T30</f>
        <v>0</v>
      </c>
      <c r="U30" s="257">
        <f>'תקציב החברה לפיתוח 2025'!U30</f>
        <v>6000000</v>
      </c>
      <c r="V30" s="112">
        <f>'תקציב החברה לפיתוח 2025'!V30</f>
        <v>4424002</v>
      </c>
      <c r="W30" s="112">
        <f>'תקציב החברה לפיתוח 2025'!W30</f>
        <v>0</v>
      </c>
      <c r="X30" s="112">
        <f>'תקציב החברה לפיתוח 2025'!X30</f>
        <v>0</v>
      </c>
      <c r="Y30" s="112">
        <f>'תקציב החברה לפיתוח 2025'!Y30</f>
        <v>0</v>
      </c>
      <c r="Z30" s="112">
        <f>'תקציב החברה לפיתוח 2025'!Z30</f>
        <v>0</v>
      </c>
      <c r="AA30" s="112">
        <f>'תקציב החברה לפיתוח 2025'!AA30</f>
        <v>1575998</v>
      </c>
      <c r="AB30" s="210" t="str">
        <f>'תקציב החברה לפיתוח 2025'!AB30</f>
        <v xml:space="preserve">בניית בי"ס יסודי (18) , 24 כיתות חט"ב ותיכון ,א.ס בינוני , מגרש ספורט , חניון תתקרקעי 2 מפלסים, שצ"פ שבט צופים מימון מ. החינוך. </v>
      </c>
      <c r="AC30" s="127">
        <f>'תקציב החברה לפיתוח 2025'!AC30</f>
        <v>810000</v>
      </c>
      <c r="AD30" s="123"/>
      <c r="AE30" s="123"/>
      <c r="AF30" s="123"/>
      <c r="AG30" s="123"/>
      <c r="AH30" s="123"/>
      <c r="AI30" s="123"/>
      <c r="AJ30" s="123"/>
      <c r="AK30" s="505"/>
      <c r="AL30" s="505"/>
      <c r="AM30" s="505"/>
      <c r="AN30" s="505"/>
      <c r="AO30" s="505"/>
      <c r="AP30" s="505"/>
      <c r="AQ30" s="505"/>
      <c r="AR30" s="505"/>
      <c r="AS30" s="123"/>
      <c r="AT30" s="123"/>
      <c r="AU30" s="123"/>
      <c r="AV30" s="123"/>
      <c r="AW30" s="123"/>
      <c r="AX30" s="123"/>
      <c r="AY30" s="123"/>
    </row>
    <row r="31" spans="1:56" s="5" customFormat="1" ht="30" customHeight="1">
      <c r="A31" s="112">
        <f t="shared" si="0"/>
        <v>27</v>
      </c>
      <c r="B31" s="209">
        <f>'תקציב החברה לפיתוח 2025'!B31</f>
        <v>1914</v>
      </c>
      <c r="C31" s="222" t="str">
        <f>'תקציב החברה לפיתוח 2025'!C31</f>
        <v>גן 3 כיתות 401 גליל ים ב'</v>
      </c>
      <c r="D31" s="112">
        <f>'תקציב החברה לפיתוח 2025'!D31</f>
        <v>8100000</v>
      </c>
      <c r="E31" s="112">
        <f>'תקציב החברה לפיתוח 2025'!E31</f>
        <v>8100000</v>
      </c>
      <c r="F31" s="112">
        <f>'תקציב החברה לפיתוח 2025'!F31</f>
        <v>0</v>
      </c>
      <c r="G31" s="112">
        <f>'תקציב החברה לפיתוח 2025'!G31</f>
        <v>8100000</v>
      </c>
      <c r="H31" s="112">
        <f>'תקציב החברה לפיתוח 2025'!H31</f>
        <v>7872636</v>
      </c>
      <c r="I31" s="112">
        <f>'תקציב החברה לפיתוח 2025'!I31</f>
        <v>0</v>
      </c>
      <c r="J31" s="112">
        <f>'תקציב החברה לפיתוח 2025'!J31</f>
        <v>0</v>
      </c>
      <c r="K31" s="112">
        <f>'תקציב החברה לפיתוח 2025'!K31</f>
        <v>0</v>
      </c>
      <c r="L31" s="112">
        <f>'תקציב החברה לפיתוח 2025'!L31</f>
        <v>7872636</v>
      </c>
      <c r="M31" s="112">
        <f>'תקציב החברה לפיתוח 2025'!M31</f>
        <v>227364</v>
      </c>
      <c r="N31" s="112">
        <f>'תקציב החברה לפיתוח 2025'!N31</f>
        <v>0</v>
      </c>
      <c r="O31" s="112">
        <f>'תקציב החברה לפיתוח 2025'!O31</f>
        <v>0</v>
      </c>
      <c r="P31" s="112">
        <f>'תקציב החברה לפיתוח 2025'!P31</f>
        <v>227364</v>
      </c>
      <c r="Q31" s="112">
        <f>'תקציב החברה לפיתוח 2025'!Q31</f>
        <v>0</v>
      </c>
      <c r="R31" s="112">
        <f>'תקציב החברה לפיתוח 2025'!R31</f>
        <v>0</v>
      </c>
      <c r="S31" s="112">
        <f>'תקציב החברה לפיתוח 2025'!S31</f>
        <v>0</v>
      </c>
      <c r="T31" s="112">
        <f>'תקציב החברה לפיתוח 2025'!T31</f>
        <v>0</v>
      </c>
      <c r="U31" s="257">
        <f>'תקציב החברה לפיתוח 2025'!U31</f>
        <v>0</v>
      </c>
      <c r="V31" s="112">
        <f>'תקציב החברה לפיתוח 2025'!V31</f>
        <v>0</v>
      </c>
      <c r="W31" s="112">
        <f>'תקציב החברה לפיתוח 2025'!W31</f>
        <v>0</v>
      </c>
      <c r="X31" s="112">
        <f>'תקציב החברה לפיתוח 2025'!X31</f>
        <v>0</v>
      </c>
      <c r="Y31" s="112">
        <f>'תקציב החברה לפיתוח 2025'!Y31</f>
        <v>0</v>
      </c>
      <c r="Z31" s="112">
        <f>'תקציב החברה לפיתוח 2025'!Z31</f>
        <v>0</v>
      </c>
      <c r="AA31" s="127">
        <f>'תקציב החברה לפיתוח 2025'!AA31</f>
        <v>0</v>
      </c>
      <c r="AB31" s="262" t="str">
        <f>'תקציב החברה לפיתוח 2025'!AB31</f>
        <v xml:space="preserve">במקביל, תבר הצטיידות בחינוך . חן סופיים התב"ר לסגירה. </v>
      </c>
      <c r="AC31" s="127">
        <f>'תקציב החברה לפיתוח 2025'!AC31</f>
        <v>810000</v>
      </c>
      <c r="AD31" s="123"/>
      <c r="AE31" s="123"/>
      <c r="AF31" s="123"/>
      <c r="AG31" s="123"/>
      <c r="AH31" s="123"/>
      <c r="AI31" s="123"/>
      <c r="AJ31" s="123"/>
      <c r="AK31" s="505"/>
      <c r="AL31" s="505"/>
      <c r="AM31" s="505"/>
      <c r="AN31" s="505"/>
      <c r="AO31" s="505"/>
      <c r="AP31" s="505"/>
      <c r="AQ31" s="505"/>
      <c r="AR31" s="505"/>
      <c r="AS31" s="123"/>
      <c r="AT31" s="123"/>
      <c r="AU31" s="123"/>
      <c r="AV31" s="123"/>
      <c r="AW31" s="123"/>
      <c r="AX31" s="123"/>
      <c r="AY31" s="123"/>
      <c r="AZ31" s="212"/>
      <c r="BA31" s="212"/>
      <c r="BB31" s="212"/>
      <c r="BC31" s="212"/>
      <c r="BD31" s="212"/>
    </row>
    <row r="32" spans="1:56" s="131" customFormat="1" ht="53.25" customHeight="1">
      <c r="A32" s="112">
        <f t="shared" si="0"/>
        <v>28</v>
      </c>
      <c r="B32" s="209">
        <f>'תקציב החברה לפיתוח 2025'!B32</f>
        <v>1919</v>
      </c>
      <c r="C32" s="222" t="str">
        <f>'תקציב החברה לפיתוח 2025'!C32</f>
        <v>פיתוח גליל ים ב'</v>
      </c>
      <c r="D32" s="112">
        <f>'תקציב החברה לפיתוח 2025'!D32</f>
        <v>135100000</v>
      </c>
      <c r="E32" s="112">
        <f>'תקציב החברה לפיתוח 2025'!E32</f>
        <v>135100000</v>
      </c>
      <c r="F32" s="112">
        <f>'תקציב החברה לפיתוח 2025'!F32</f>
        <v>0</v>
      </c>
      <c r="G32" s="112">
        <f>'תקציב החברה לפיתוח 2025'!G32</f>
        <v>80024834</v>
      </c>
      <c r="H32" s="112">
        <f>'תקציב החברה לפיתוח 2025'!H32</f>
        <v>78502835</v>
      </c>
      <c r="I32" s="112">
        <f>'תקציב החברה לפיתוח 2025'!I32</f>
        <v>0</v>
      </c>
      <c r="J32" s="112">
        <f>'תקציב החברה לפיתוח 2025'!J32</f>
        <v>1389765</v>
      </c>
      <c r="K32" s="112">
        <f>'תקציב החברה לפיתוח 2025'!K32</f>
        <v>1389765</v>
      </c>
      <c r="L32" s="112">
        <f>'תקציב החברה לפיתוח 2025'!L32</f>
        <v>79892600</v>
      </c>
      <c r="M32" s="112">
        <f>'תקציב החברה לפיתוח 2025'!M32</f>
        <v>132234</v>
      </c>
      <c r="N32" s="112">
        <f>'תקציב החברה לפיתוח 2025'!N32</f>
        <v>2000000</v>
      </c>
      <c r="O32" s="112">
        <f>'תקציב החברה לפיתוח 2025'!O32</f>
        <v>53075166</v>
      </c>
      <c r="P32" s="112">
        <f>'תקציב החברה לפיתוח 2025'!P32</f>
        <v>132234</v>
      </c>
      <c r="Q32" s="112">
        <f>'תקציב החברה לפיתוח 2025'!Q32</f>
        <v>0</v>
      </c>
      <c r="R32" s="112">
        <f>'תקציב החברה לפיתוח 2025'!R32</f>
        <v>0</v>
      </c>
      <c r="S32" s="112">
        <f>'תקציב החברה לפיתוח 2025'!S32</f>
        <v>0</v>
      </c>
      <c r="T32" s="112">
        <f>'תקציב החברה לפיתוח 2025'!T32</f>
        <v>0</v>
      </c>
      <c r="U32" s="257">
        <f>'תקציב החברה לפיתוח 2025'!U32</f>
        <v>2000000</v>
      </c>
      <c r="V32" s="112">
        <f>'תקציב החברה לפיתוח 2025'!V32</f>
        <v>2000000</v>
      </c>
      <c r="W32" s="112">
        <f>'תקציב החברה לפיתוח 2025'!W32</f>
        <v>0</v>
      </c>
      <c r="X32" s="112">
        <f>'תקציב החברה לפיתוח 2025'!X32</f>
        <v>0</v>
      </c>
      <c r="Y32" s="112">
        <f>'תקציב החברה לפיתוח 2025'!Y32</f>
        <v>0</v>
      </c>
      <c r="Z32" s="112">
        <f>'תקציב החברה לפיתוח 2025'!Z32</f>
        <v>0</v>
      </c>
      <c r="AA32" s="127">
        <f>'תקציב החברה לפיתוח 2025'!AA32</f>
        <v>0</v>
      </c>
      <c r="AB32" s="222" t="str">
        <f>'תקציב החברה לפיתוח 2025'!AB32</f>
        <v>עבודות פיתוח.עבודות השלמת ביצוע שצ"פים.מימון רמ"י במסגרת הסכם "הגג". 2025 : מימון הרשות.</v>
      </c>
      <c r="AC32" s="127">
        <f>'תקציב החברה לפיתוח 2025'!AC32</f>
        <v>742000</v>
      </c>
      <c r="AD32" s="123"/>
      <c r="AE32" s="123"/>
      <c r="AF32" s="123"/>
      <c r="AG32" s="123"/>
      <c r="AH32" s="123"/>
      <c r="AI32" s="123"/>
      <c r="AJ32" s="123"/>
      <c r="AK32" s="505"/>
      <c r="AL32" s="505"/>
      <c r="AM32" s="505"/>
      <c r="AN32" s="505"/>
      <c r="AO32" s="505"/>
      <c r="AP32" s="505"/>
      <c r="AQ32" s="505"/>
      <c r="AR32" s="505"/>
      <c r="AS32" s="123"/>
      <c r="AT32" s="123"/>
      <c r="AU32" s="123"/>
      <c r="AV32" s="123"/>
      <c r="AW32" s="123"/>
      <c r="AX32" s="123"/>
      <c r="AY32" s="123"/>
      <c r="AZ32" s="5"/>
      <c r="BA32" s="5"/>
      <c r="BB32" s="5"/>
      <c r="BC32" s="5"/>
      <c r="BD32" s="5"/>
    </row>
    <row r="33" spans="1:56" ht="45">
      <c r="A33" s="112">
        <f t="shared" si="0"/>
        <v>29</v>
      </c>
      <c r="B33" s="209">
        <f>'תקציב החברה לפיתוח 2025'!B33</f>
        <v>1921</v>
      </c>
      <c r="C33" s="222" t="str">
        <f>'תקציב החברה לפיתוח 2025'!C33</f>
        <v>עבודות הרחבה התאמה איצטדיון</v>
      </c>
      <c r="D33" s="112">
        <f>'תקציב החברה לפיתוח 2025'!D33</f>
        <v>45000000</v>
      </c>
      <c r="E33" s="112">
        <f>'תקציב החברה לפיתוח 2025'!E33</f>
        <v>45000000</v>
      </c>
      <c r="F33" s="112">
        <f>'תקציב החברה לפיתוח 2025'!F33</f>
        <v>0</v>
      </c>
      <c r="G33" s="112">
        <f>'תקציב החברה לפיתוח 2025'!G33</f>
        <v>13716000</v>
      </c>
      <c r="H33" s="112">
        <f>'תקציב החברה לפיתוח 2025'!H33</f>
        <v>11771771</v>
      </c>
      <c r="I33" s="112">
        <f>'תקציב החברה לפיתוח 2025'!I33</f>
        <v>0</v>
      </c>
      <c r="J33" s="112">
        <f>'תקציב החברה לפיתוח 2025'!J33</f>
        <v>116394</v>
      </c>
      <c r="K33" s="112">
        <f>'תקציב החברה לפיתוח 2025'!K33</f>
        <v>116394</v>
      </c>
      <c r="L33" s="112">
        <f>'תקציב החברה לפיתוח 2025'!L33</f>
        <v>11888165</v>
      </c>
      <c r="M33" s="112">
        <f>'תקציב החברה לפיתוח 2025'!M33</f>
        <v>1827835</v>
      </c>
      <c r="N33" s="112">
        <f>'תקציב החברה לפיתוח 2025'!N33</f>
        <v>0</v>
      </c>
      <c r="O33" s="112">
        <f>'תקציב החברה לפיתוח 2025'!O33</f>
        <v>31284000</v>
      </c>
      <c r="P33" s="112">
        <f>'תקציב החברה לפיתוח 2025'!P33</f>
        <v>1827835</v>
      </c>
      <c r="Q33" s="112">
        <f>'תקציב החברה לפיתוח 2025'!Q33</f>
        <v>0</v>
      </c>
      <c r="R33" s="112">
        <f>'תקציב החברה לפיתוח 2025'!R33</f>
        <v>0</v>
      </c>
      <c r="S33" s="112">
        <f>'תקציב החברה לפיתוח 2025'!S33</f>
        <v>0</v>
      </c>
      <c r="T33" s="112">
        <f>'תקציב החברה לפיתוח 2025'!T33</f>
        <v>0</v>
      </c>
      <c r="U33" s="257">
        <f>'תקציב החברה לפיתוח 2025'!U33</f>
        <v>0</v>
      </c>
      <c r="V33" s="112">
        <f>'תקציב החברה לפיתוח 2025'!V33</f>
        <v>0</v>
      </c>
      <c r="W33" s="112">
        <f>'תקציב החברה לפיתוח 2025'!W33</f>
        <v>0</v>
      </c>
      <c r="X33" s="112">
        <f>'תקציב החברה לפיתוח 2025'!X33</f>
        <v>0</v>
      </c>
      <c r="Y33" s="112">
        <f>'תקציב החברה לפיתוח 2025'!Y33</f>
        <v>0</v>
      </c>
      <c r="Z33" s="112">
        <f>'תקציב החברה לפיתוח 2025'!Z33</f>
        <v>0</v>
      </c>
      <c r="AA33" s="127">
        <f>'תקציב החברה לפיתוח 2025'!AA33</f>
        <v>0</v>
      </c>
      <c r="AB33" s="207" t="str">
        <f>'תקציב החברה לפיתוח 2025'!AB33</f>
        <v>מבנה קבוצות הנוער  הריסת טריבונות , בניית מלתחות  בניית טריבונה וגג קל. יציע מזרחי.</v>
      </c>
      <c r="AC33" s="127">
        <f>'תקציב החברה לפיתוח 2025'!AC33</f>
        <v>829000</v>
      </c>
      <c r="AZ33" s="5"/>
      <c r="BA33" s="5"/>
      <c r="BB33" s="5"/>
      <c r="BC33" s="5"/>
      <c r="BD33" s="5"/>
    </row>
    <row r="34" spans="1:56" ht="45">
      <c r="A34" s="112">
        <f t="shared" si="0"/>
        <v>30</v>
      </c>
      <c r="B34" s="209">
        <f>'תקציב החברה לפיתוח 2025'!B34</f>
        <v>1957</v>
      </c>
      <c r="C34" s="222" t="str">
        <f>'תקציב החברה לפיתוח 2025'!C34</f>
        <v xml:space="preserve">מתחם קמפוס המדעים הרצליה </v>
      </c>
      <c r="D34" s="112">
        <f>'תקציב החברה לפיתוח 2025'!D34</f>
        <v>75000000</v>
      </c>
      <c r="E34" s="112">
        <f>'תקציב החברה לפיתוח 2025'!E34</f>
        <v>75000000</v>
      </c>
      <c r="F34" s="112">
        <f>'תקציב החברה לפיתוח 2025'!F34</f>
        <v>0</v>
      </c>
      <c r="G34" s="112">
        <f>'תקציב החברה לפיתוח 2025'!G34</f>
        <v>52999826</v>
      </c>
      <c r="H34" s="112">
        <f>'תקציב החברה לפיתוח 2025'!H34</f>
        <v>51152735</v>
      </c>
      <c r="I34" s="112">
        <f>'תקציב החברה לפיתוח 2025'!I34</f>
        <v>0</v>
      </c>
      <c r="J34" s="112">
        <f>'תקציב החברה לפיתוח 2025'!J34</f>
        <v>1400100</v>
      </c>
      <c r="K34" s="112">
        <f>'תקציב החברה לפיתוח 2025'!K34</f>
        <v>1400100</v>
      </c>
      <c r="L34" s="112">
        <f>'תקציב החברה לפיתוח 2025'!L34</f>
        <v>52552835</v>
      </c>
      <c r="M34" s="112">
        <f>'תקציב החברה לפיתוח 2025'!M34</f>
        <v>18075384</v>
      </c>
      <c r="N34" s="112">
        <f>'תקציב החברה לפיתוח 2025'!N34</f>
        <v>4371781</v>
      </c>
      <c r="O34" s="112">
        <f>'תקציב החברה לפיתוח 2025'!O34</f>
        <v>0</v>
      </c>
      <c r="P34" s="112">
        <f>'תקציב החברה לפיתוח 2025'!P34</f>
        <v>446991</v>
      </c>
      <c r="Q34" s="112">
        <f>'תקציב החברה לפיתוח 2025'!Q34</f>
        <v>9628393</v>
      </c>
      <c r="R34" s="112">
        <f>'תקציב החברה לפיתוח 2025'!R34</f>
        <v>8000000</v>
      </c>
      <c r="S34" s="112">
        <f>'תקציב החברה לפיתוח 2025'!S34</f>
        <v>17628393</v>
      </c>
      <c r="T34" s="112">
        <f>'תקציב החברה לפיתוח 2025'!T34</f>
        <v>0</v>
      </c>
      <c r="U34" s="257">
        <f>'תקציב החברה לפיתוח 2025'!U34</f>
        <v>4371781</v>
      </c>
      <c r="V34" s="112">
        <f>'תקציב החברה לפיתוח 2025'!V34</f>
        <v>3300000</v>
      </c>
      <c r="W34" s="112">
        <f>'תקציב החברה לפיתוח 2025'!W34</f>
        <v>0</v>
      </c>
      <c r="X34" s="112">
        <f>'תקציב החברה לפיתוח 2025'!X34</f>
        <v>0</v>
      </c>
      <c r="Y34" s="112">
        <f>'תקציב החברה לפיתוח 2025'!Y34</f>
        <v>0</v>
      </c>
      <c r="Z34" s="112">
        <f>'תקציב החברה לפיתוח 2025'!Z34</f>
        <v>0</v>
      </c>
      <c r="AA34" s="112">
        <f>'תקציב החברה לפיתוח 2025'!AA34</f>
        <v>1071781</v>
      </c>
      <c r="AB34" s="222" t="str">
        <f>'תקציב החברה לפיתוח 2025'!AB34</f>
        <v>הקמת קמפוס מדעים:בי"ס להנדסאים ותיכון חדש. כולל הצטיידות. מימון מ. החינוך.</v>
      </c>
      <c r="AC34" s="127">
        <f>'תקציב החברה לפיתוח 2025'!AC34</f>
        <v>810000</v>
      </c>
      <c r="AZ34" s="126"/>
      <c r="BA34" s="126"/>
      <c r="BB34" s="126"/>
      <c r="BC34" s="126"/>
      <c r="BD34" s="126"/>
    </row>
    <row r="35" spans="1:56" s="126" customFormat="1" ht="30">
      <c r="A35" s="112">
        <f t="shared" si="0"/>
        <v>31</v>
      </c>
      <c r="B35" s="209">
        <f>'תקציב החברה לפיתוח 2025'!B35</f>
        <v>1960</v>
      </c>
      <c r="C35" s="222" t="str">
        <f>'תקציב החברה לפיתוח 2025'!C35</f>
        <v>גן 3 כיתות 402 גליל ים ב'(כולל חניון)</v>
      </c>
      <c r="D35" s="112">
        <f>'תקציב החברה לפיתוח 2025'!D35</f>
        <v>21480000</v>
      </c>
      <c r="E35" s="112">
        <f>'תקציב החברה לפיתוח 2025'!E35</f>
        <v>21480000</v>
      </c>
      <c r="F35" s="112">
        <f>'תקציב החברה לפיתוח 2025'!F35</f>
        <v>0</v>
      </c>
      <c r="G35" s="112">
        <f>'תקציב החברה לפיתוח 2025'!G35</f>
        <v>21480000</v>
      </c>
      <c r="H35" s="112">
        <f>'תקציב החברה לפיתוח 2025'!H35</f>
        <v>21157676</v>
      </c>
      <c r="I35" s="112">
        <f>'תקציב החברה לפיתוח 2025'!I35</f>
        <v>0</v>
      </c>
      <c r="J35" s="112">
        <f>'תקציב החברה לפיתוח 2025'!J35</f>
        <v>61233</v>
      </c>
      <c r="K35" s="112">
        <f>'תקציב החברה לפיתוח 2025'!K35</f>
        <v>61233</v>
      </c>
      <c r="L35" s="112">
        <f>'תקציב החברה לפיתוח 2025'!L35</f>
        <v>21218909</v>
      </c>
      <c r="M35" s="112">
        <f>'תקציב החברה לפיתוח 2025'!M35</f>
        <v>261091</v>
      </c>
      <c r="N35" s="112">
        <f>'תקציב החברה לפיתוח 2025'!N35</f>
        <v>0</v>
      </c>
      <c r="O35" s="112">
        <f>'תקציב החברה לפיתוח 2025'!O35</f>
        <v>0</v>
      </c>
      <c r="P35" s="112">
        <f>'תקציב החברה לפיתוח 2025'!P35</f>
        <v>261091</v>
      </c>
      <c r="Q35" s="112">
        <f>'תקציב החברה לפיתוח 2025'!Q35</f>
        <v>0</v>
      </c>
      <c r="R35" s="112">
        <f>'תקציב החברה לפיתוח 2025'!R35</f>
        <v>0</v>
      </c>
      <c r="S35" s="112">
        <f>'תקציב החברה לפיתוח 2025'!S35</f>
        <v>0</v>
      </c>
      <c r="T35" s="112">
        <f>'תקציב החברה לפיתוח 2025'!T35</f>
        <v>0</v>
      </c>
      <c r="U35" s="257">
        <f>'תקציב החברה לפיתוח 2025'!U35</f>
        <v>0</v>
      </c>
      <c r="V35" s="112">
        <f>'תקציב החברה לפיתוח 2025'!V35</f>
        <v>0</v>
      </c>
      <c r="W35" s="112">
        <f>'תקציב החברה לפיתוח 2025'!W35</f>
        <v>0</v>
      </c>
      <c r="X35" s="112">
        <f>'תקציב החברה לפיתוח 2025'!X35</f>
        <v>0</v>
      </c>
      <c r="Y35" s="112">
        <f>'תקציב החברה לפיתוח 2025'!Y35</f>
        <v>0</v>
      </c>
      <c r="Z35" s="112">
        <f>'תקציב החברה לפיתוח 2025'!Z35</f>
        <v>0</v>
      </c>
      <c r="AA35" s="112">
        <f>'תקציב החברה לפיתוח 2025'!AA35</f>
        <v>0</v>
      </c>
      <c r="AB35" s="210" t="str">
        <f>'תקציב החברה לפיתוח 2025'!AB35</f>
        <v xml:space="preserve">בניית 3 כיתות גן , בניית החניון במימון  חברת אפריקה ישראל. </v>
      </c>
      <c r="AC35" s="127">
        <f>'תקציב החברה לפיתוח 2025'!AC35</f>
        <v>810000</v>
      </c>
      <c r="AD35" s="123"/>
      <c r="AE35" s="123"/>
      <c r="AF35" s="123"/>
      <c r="AG35" s="123"/>
      <c r="AH35" s="123"/>
      <c r="AI35" s="123"/>
      <c r="AJ35" s="123"/>
      <c r="AK35" s="505"/>
      <c r="AL35" s="505"/>
      <c r="AM35" s="505"/>
      <c r="AN35" s="505"/>
      <c r="AO35" s="505"/>
      <c r="AP35" s="505"/>
      <c r="AQ35" s="505"/>
      <c r="AR35" s="505"/>
      <c r="AS35" s="123"/>
      <c r="AT35" s="123"/>
      <c r="AU35" s="123"/>
      <c r="AV35" s="123"/>
      <c r="AW35" s="123"/>
      <c r="AX35" s="123"/>
      <c r="AY35" s="123"/>
    </row>
    <row r="36" spans="1:56" s="126" customFormat="1" ht="45">
      <c r="A36" s="112">
        <f t="shared" si="0"/>
        <v>32</v>
      </c>
      <c r="B36" s="209">
        <f>'תקציב החברה לפיתוח 2025'!B36</f>
        <v>1962</v>
      </c>
      <c r="C36" s="222" t="str">
        <f>'תקציב החברה לפיתוח 2025'!C36</f>
        <v>גשר הולכי רגל מעל שבעת הכוכבים</v>
      </c>
      <c r="D36" s="112">
        <f>'תקציב החברה לפיתוח 2025'!D36</f>
        <v>20000000</v>
      </c>
      <c r="E36" s="112">
        <f>'תקציב החברה לפיתוח 2025'!E36</f>
        <v>20000000</v>
      </c>
      <c r="F36" s="112">
        <f>'תקציב החברה לפיתוח 2025'!F36</f>
        <v>0</v>
      </c>
      <c r="G36" s="112">
        <f>'תקציב החברה לפיתוח 2025'!G36</f>
        <v>100000</v>
      </c>
      <c r="H36" s="112">
        <f>'תקציב החברה לפיתוח 2025'!H36</f>
        <v>0</v>
      </c>
      <c r="I36" s="112">
        <f>'תקציב החברה לפיתוח 2025'!I36</f>
        <v>0</v>
      </c>
      <c r="J36" s="112">
        <f>'תקציב החברה לפיתוח 2025'!J36</f>
        <v>0</v>
      </c>
      <c r="K36" s="112">
        <f>'תקציב החברה לפיתוח 2025'!K36</f>
        <v>0</v>
      </c>
      <c r="L36" s="112">
        <f>'תקציב החברה לפיתוח 2025'!L36</f>
        <v>0</v>
      </c>
      <c r="M36" s="112">
        <f>'תקציב החברה לפיתוח 2025'!M36</f>
        <v>100000</v>
      </c>
      <c r="N36" s="112">
        <f>'תקציב החברה לפיתוח 2025'!N36</f>
        <v>0</v>
      </c>
      <c r="O36" s="112">
        <f>'תקציב החברה לפיתוח 2025'!O36</f>
        <v>19900000</v>
      </c>
      <c r="P36" s="112">
        <f>'תקציב החברה לפיתוח 2025'!P36</f>
        <v>100000</v>
      </c>
      <c r="Q36" s="112">
        <f>'תקציב החברה לפיתוח 2025'!Q36</f>
        <v>0</v>
      </c>
      <c r="R36" s="112">
        <f>'תקציב החברה לפיתוח 2025'!R36</f>
        <v>0</v>
      </c>
      <c r="S36" s="112">
        <f>'תקציב החברה לפיתוח 2025'!S36</f>
        <v>0</v>
      </c>
      <c r="T36" s="112">
        <f>'תקציב החברה לפיתוח 2025'!T36</f>
        <v>0</v>
      </c>
      <c r="U36" s="257">
        <f>'תקציב החברה לפיתוח 2025'!U36</f>
        <v>0</v>
      </c>
      <c r="V36" s="112">
        <f>'תקציב החברה לפיתוח 2025'!V36</f>
        <v>0</v>
      </c>
      <c r="W36" s="112">
        <f>'תקציב החברה לפיתוח 2025'!W36</f>
        <v>0</v>
      </c>
      <c r="X36" s="112">
        <f>'תקציב החברה לפיתוח 2025'!X36</f>
        <v>0</v>
      </c>
      <c r="Y36" s="112">
        <f>'תקציב החברה לפיתוח 2025'!Y36</f>
        <v>0</v>
      </c>
      <c r="Z36" s="112">
        <f>'תקציב החברה לפיתוח 2025'!Z36</f>
        <v>0</v>
      </c>
      <c r="AA36" s="127">
        <f>'תקציב החברה לפיתוח 2025'!AA36</f>
        <v>0</v>
      </c>
      <c r="AB36" s="210" t="str">
        <f>'תקציב החברה לפיתוח 2025'!AB36</f>
        <v>גשר מחבר בין הפארק לבין שבעת הכוכבים. (במסגרת פרויקט קרית השחקים).</v>
      </c>
      <c r="AC36" s="127">
        <f>'תקציב החברה לפיתוח 2025'!AC36</f>
        <v>742000</v>
      </c>
      <c r="AD36" s="123"/>
      <c r="AE36" s="123"/>
      <c r="AF36" s="123"/>
      <c r="AG36" s="123"/>
      <c r="AH36" s="123"/>
      <c r="AI36" s="123"/>
      <c r="AJ36" s="123"/>
      <c r="AK36" s="505"/>
      <c r="AL36" s="505"/>
      <c r="AM36" s="505"/>
      <c r="AN36" s="505"/>
      <c r="AO36" s="505"/>
      <c r="AP36" s="505"/>
      <c r="AQ36" s="505"/>
      <c r="AR36" s="505"/>
      <c r="AS36" s="123"/>
      <c r="AT36" s="123"/>
      <c r="AU36" s="123"/>
      <c r="AV36" s="123"/>
      <c r="AW36" s="123"/>
      <c r="AX36" s="123"/>
      <c r="AY36" s="123"/>
      <c r="AZ36" s="5"/>
      <c r="BA36" s="5"/>
      <c r="BB36" s="5"/>
      <c r="BC36" s="5"/>
      <c r="BD36" s="5"/>
    </row>
    <row r="37" spans="1:56" s="126" customFormat="1" ht="45">
      <c r="A37" s="112">
        <f t="shared" si="0"/>
        <v>33</v>
      </c>
      <c r="B37" s="209">
        <f>'תקציב החברה לפיתוח 2025'!B37</f>
        <v>1965</v>
      </c>
      <c r="C37" s="222" t="str">
        <f>'תקציב החברה לפיתוח 2025'!C37</f>
        <v>בית ספר יסודי 18 כיתות מגרש 304 גלילי ים א'</v>
      </c>
      <c r="D37" s="112">
        <f>'תקציב החברה לפיתוח 2025'!D37</f>
        <v>87000000</v>
      </c>
      <c r="E37" s="112">
        <f>'תקציב החברה לפיתוח 2025'!E37</f>
        <v>87000000</v>
      </c>
      <c r="F37" s="112">
        <f>'תקציב החברה לפיתוח 2025'!F37</f>
        <v>0</v>
      </c>
      <c r="G37" s="112">
        <f>'תקציב החברה לפיתוח 2025'!G37</f>
        <v>4650000</v>
      </c>
      <c r="H37" s="112">
        <f>'תקציב החברה לפיתוח 2025'!H37</f>
        <v>3395704</v>
      </c>
      <c r="I37" s="112">
        <f>'תקציב החברה לפיתוח 2025'!I37</f>
        <v>0</v>
      </c>
      <c r="J37" s="112">
        <f>'תקציב החברה לפיתוח 2025'!J37</f>
        <v>1251722</v>
      </c>
      <c r="K37" s="112">
        <f>'תקציב החברה לפיתוח 2025'!K37</f>
        <v>1251722</v>
      </c>
      <c r="L37" s="112">
        <f>'תקציב החברה לפיתוח 2025'!L37</f>
        <v>4647426</v>
      </c>
      <c r="M37" s="112">
        <f>'תקציב החברה לפיתוח 2025'!M37</f>
        <v>11401070</v>
      </c>
      <c r="N37" s="112">
        <f>'תקציב החברה לפיתוח 2025'!N37</f>
        <v>13000000</v>
      </c>
      <c r="O37" s="112">
        <f>'תקציב החברה לפיתוח 2025'!O37</f>
        <v>57951504</v>
      </c>
      <c r="P37" s="112">
        <f>'תקציב החברה לפיתוח 2025'!P37</f>
        <v>2574</v>
      </c>
      <c r="Q37" s="112">
        <f>'תקציב החברה לפיתוח 2025'!Q37</f>
        <v>11398496</v>
      </c>
      <c r="R37" s="112">
        <f>'תקציב החברה לפיתוח 2025'!R37</f>
        <v>0</v>
      </c>
      <c r="S37" s="112">
        <f>'תקציב החברה לפיתוח 2025'!S37</f>
        <v>11398496</v>
      </c>
      <c r="T37" s="112">
        <f>'תקציב החברה לפיתוח 2025'!T37</f>
        <v>0</v>
      </c>
      <c r="U37" s="257">
        <f>'תקציב החברה לפיתוח 2025'!U37</f>
        <v>13000000</v>
      </c>
      <c r="V37" s="112">
        <f>'תקציב החברה לפיתוח 2025'!V37</f>
        <v>11448496</v>
      </c>
      <c r="W37" s="112">
        <f>'תקציב החברה לפיתוח 2025'!W37</f>
        <v>0</v>
      </c>
      <c r="X37" s="112">
        <f>'תקציב החברה לפיתוח 2025'!X37</f>
        <v>0</v>
      </c>
      <c r="Y37" s="112">
        <f>'תקציב החברה לפיתוח 2025'!Y37</f>
        <v>0</v>
      </c>
      <c r="Z37" s="112">
        <f>'תקציב החברה לפיתוח 2025'!Z37</f>
        <v>0</v>
      </c>
      <c r="AA37" s="112">
        <f>'תקציב החברה לפיתוח 2025'!AA37</f>
        <v>1551504</v>
      </c>
      <c r="AB37" s="210" t="str">
        <f>'תקציב החברה לפיתוח 2025'!AB37</f>
        <v>בי"ס יסודי בשטח 304.תכנון וביצוע.  מימון מ. החינוך.</v>
      </c>
      <c r="AC37" s="127">
        <f>'תקציב החברה לפיתוח 2025'!AC37</f>
        <v>810000</v>
      </c>
      <c r="AD37" s="123"/>
      <c r="AE37" s="123"/>
      <c r="AF37" s="123"/>
      <c r="AG37" s="123"/>
      <c r="AH37" s="123"/>
      <c r="AI37" s="123"/>
      <c r="AJ37" s="123"/>
      <c r="AK37" s="505"/>
      <c r="AL37" s="505"/>
      <c r="AM37" s="505"/>
      <c r="AN37" s="505"/>
      <c r="AO37" s="505"/>
      <c r="AP37" s="505"/>
      <c r="AQ37" s="505"/>
      <c r="AR37" s="505"/>
      <c r="AS37" s="123"/>
      <c r="AT37" s="123"/>
      <c r="AU37" s="123"/>
      <c r="AV37" s="123"/>
      <c r="AW37" s="123"/>
      <c r="AX37" s="123"/>
      <c r="AY37" s="123"/>
    </row>
    <row r="38" spans="1:56" ht="30" customHeight="1">
      <c r="A38" s="112">
        <f t="shared" si="0"/>
        <v>34</v>
      </c>
      <c r="B38" s="3">
        <f>'תקציב החברה לפיתוח 2025'!B38</f>
        <v>2001</v>
      </c>
      <c r="C38" s="202" t="str">
        <f>'תקציב החברה לפיתוח 2025'!C38</f>
        <v>בניית בי"ס ברחוב משה (ירוק)</v>
      </c>
      <c r="D38" s="112">
        <f>'תקציב החברה לפיתוח 2025'!D38</f>
        <v>33600000</v>
      </c>
      <c r="E38" s="112">
        <f>'תקציב החברה לפיתוח 2025'!E38</f>
        <v>32700000</v>
      </c>
      <c r="F38" s="112">
        <f>'תקציב החברה לפיתוח 2025'!F38</f>
        <v>900000</v>
      </c>
      <c r="G38" s="112">
        <f>'תקציב החברה לפיתוח 2025'!G38</f>
        <v>26398700</v>
      </c>
      <c r="H38" s="112">
        <f>'תקציב החברה לפיתוח 2025'!H38</f>
        <v>20473758</v>
      </c>
      <c r="I38" s="112">
        <f>'תקציב החברה לפיתוח 2025'!I38</f>
        <v>0</v>
      </c>
      <c r="J38" s="112">
        <f>'תקציב החברה לפיתוח 2025'!J38</f>
        <v>4426023</v>
      </c>
      <c r="K38" s="112">
        <f>'תקציב החברה לפיתוח 2025'!K38</f>
        <v>4426023</v>
      </c>
      <c r="L38" s="112">
        <f>'תקציב החברה לפיתוח 2025'!L38</f>
        <v>24899781</v>
      </c>
      <c r="M38" s="112">
        <f>'תקציב החברה לפיתוח 2025'!M38</f>
        <v>7800219</v>
      </c>
      <c r="N38" s="112">
        <f>'תקציב החברה לפיתוח 2025'!N38</f>
        <v>900000</v>
      </c>
      <c r="O38" s="112">
        <f>'תקציב החברה לפיתוח 2025'!O38</f>
        <v>0</v>
      </c>
      <c r="P38" s="112">
        <f>'תקציב החברה לפיתוח 2025'!P38</f>
        <v>1498919</v>
      </c>
      <c r="Q38" s="112">
        <f>'תקציב החברה לפיתוח 2025'!Q38</f>
        <v>1601300</v>
      </c>
      <c r="R38" s="112">
        <f>'תקציב החברה לפיתוח 2025'!R38</f>
        <v>4700000</v>
      </c>
      <c r="S38" s="112">
        <f>'תקציב החברה לפיתוח 2025'!S38</f>
        <v>6301300</v>
      </c>
      <c r="T38" s="112">
        <f>'תקציב החברה לפיתוח 2025'!T38</f>
        <v>0</v>
      </c>
      <c r="U38" s="257">
        <f>'תקציב החברה לפיתוח 2025'!U38</f>
        <v>900000</v>
      </c>
      <c r="V38" s="112">
        <f>'תקציב החברה לפיתוח 2025'!V38</f>
        <v>900000</v>
      </c>
      <c r="W38" s="112">
        <f>'תקציב החברה לפיתוח 2025'!W38</f>
        <v>0</v>
      </c>
      <c r="X38" s="112">
        <f>'תקציב החברה לפיתוח 2025'!X38</f>
        <v>0</v>
      </c>
      <c r="Y38" s="112">
        <f>'תקציב החברה לפיתוח 2025'!Y38</f>
        <v>0</v>
      </c>
      <c r="Z38" s="112">
        <f>'תקציב החברה לפיתוח 2025'!Z38</f>
        <v>0</v>
      </c>
      <c r="AA38" s="127">
        <f>'תקציב החברה לפיתוח 2025'!AA38</f>
        <v>0</v>
      </c>
      <c r="AB38" s="202" t="str">
        <f>'תקציב החברה לפיתוח 2025'!AB38</f>
        <v>בניית בית ספר ברח' משה-12 כתות. כולל הצטיידות.</v>
      </c>
      <c r="AC38" s="3">
        <f>'תקציב החברה לפיתוח 2025'!AC38</f>
        <v>810000</v>
      </c>
      <c r="AZ38" s="126"/>
      <c r="BA38" s="126"/>
      <c r="BB38" s="126"/>
      <c r="BC38" s="126"/>
      <c r="BD38" s="126"/>
    </row>
    <row r="39" spans="1:56" ht="45">
      <c r="A39" s="112">
        <f t="shared" si="0"/>
        <v>35</v>
      </c>
      <c r="B39" s="127">
        <f>'תקציב החברה לפיתוח 2025'!B39</f>
        <v>2002</v>
      </c>
      <c r="C39" s="222" t="str">
        <f>'תקציב החברה לפיתוח 2025'!C39</f>
        <v>הכשרת חניון העוגן</v>
      </c>
      <c r="D39" s="112">
        <f>'תקציב החברה לפיתוח 2025'!D39</f>
        <v>2300000</v>
      </c>
      <c r="E39" s="112">
        <f>'תקציב החברה לפיתוח 2025'!E39</f>
        <v>2300000</v>
      </c>
      <c r="F39" s="112">
        <f>'תקציב החברה לפיתוח 2025'!F39</f>
        <v>0</v>
      </c>
      <c r="G39" s="112">
        <f>'תקציב החברה לפיתוח 2025'!G39</f>
        <v>1500000</v>
      </c>
      <c r="H39" s="112">
        <f>'תקציב החברה לפיתוח 2025'!H39</f>
        <v>1495997</v>
      </c>
      <c r="I39" s="112">
        <f>'תקציב החברה לפיתוח 2025'!I39</f>
        <v>0</v>
      </c>
      <c r="J39" s="112">
        <f>'תקציב החברה לפיתוח 2025'!J39</f>
        <v>0</v>
      </c>
      <c r="K39" s="112">
        <f>'תקציב החברה לפיתוח 2025'!K39</f>
        <v>0</v>
      </c>
      <c r="L39" s="112">
        <f>'תקציב החברה לפיתוח 2025'!L39</f>
        <v>1495997</v>
      </c>
      <c r="M39" s="112">
        <f>'תקציב החברה לפיתוח 2025'!M39</f>
        <v>104003</v>
      </c>
      <c r="N39" s="112">
        <f>'תקציב החברה לפיתוח 2025'!N39</f>
        <v>0</v>
      </c>
      <c r="O39" s="112">
        <f>'תקציב החברה לפיתוח 2025'!O39</f>
        <v>700000</v>
      </c>
      <c r="P39" s="112">
        <f>'תקציב החברה לפיתוח 2025'!P39</f>
        <v>4003</v>
      </c>
      <c r="Q39" s="112">
        <f>'תקציב החברה לפיתוח 2025'!Q39</f>
        <v>100000</v>
      </c>
      <c r="R39" s="112">
        <f>'תקציב החברה לפיתוח 2025'!R39</f>
        <v>0</v>
      </c>
      <c r="S39" s="112">
        <f>'תקציב החברה לפיתוח 2025'!S39</f>
        <v>100000</v>
      </c>
      <c r="T39" s="112">
        <f>'תקציב החברה לפיתוח 2025'!T39</f>
        <v>0</v>
      </c>
      <c r="U39" s="257">
        <f>'תקציב החברה לפיתוח 2025'!U39</f>
        <v>0</v>
      </c>
      <c r="V39" s="112">
        <f>'תקציב החברה לפיתוח 2025'!V39</f>
        <v>0</v>
      </c>
      <c r="W39" s="112">
        <f>'תקציב החברה לפיתוח 2025'!W39</f>
        <v>0</v>
      </c>
      <c r="X39" s="112">
        <f>'תקציב החברה לפיתוח 2025'!X39</f>
        <v>0</v>
      </c>
      <c r="Y39" s="112">
        <f>'תקציב החברה לפיתוח 2025'!Y39</f>
        <v>0</v>
      </c>
      <c r="Z39" s="112">
        <f>'תקציב החברה לפיתוח 2025'!Z39</f>
        <v>0</v>
      </c>
      <c r="AA39" s="127">
        <f>'תקציב החברה לפיתוח 2025'!AA39</f>
        <v>0</v>
      </c>
      <c r="AB39" s="222" t="str">
        <f>'תקציב החברה לפיתוח 2025'!AB39</f>
        <v>הכשרת חניון העוגן במרינה לחניון בתשלום. השלמת מע. תקשורת ומצלמות.</v>
      </c>
      <c r="AC39" s="127">
        <f>'תקציב החברה לפיתוח 2025'!AC39</f>
        <v>742000</v>
      </c>
      <c r="AZ39" s="5"/>
      <c r="BA39" s="5"/>
      <c r="BB39" s="5"/>
      <c r="BC39" s="5"/>
      <c r="BD39" s="5"/>
    </row>
    <row r="40" spans="1:56" s="5" customFormat="1" ht="45">
      <c r="A40" s="112">
        <f t="shared" si="0"/>
        <v>36</v>
      </c>
      <c r="B40" s="127">
        <f>'תקציב החברה לפיתוח 2025'!B40</f>
        <v>2008</v>
      </c>
      <c r="C40" s="222" t="str">
        <f>'תקציב החברה לפיתוח 2025'!C40</f>
        <v>שדרות ה - 93 הבאר</v>
      </c>
      <c r="D40" s="112">
        <f>'תקציב החברה לפיתוח 2025'!D40</f>
        <v>2500000</v>
      </c>
      <c r="E40" s="112">
        <f>'תקציב החברה לפיתוח 2025'!E40</f>
        <v>2500000</v>
      </c>
      <c r="F40" s="112">
        <f>'תקציב החברה לפיתוח 2025'!F40</f>
        <v>0</v>
      </c>
      <c r="G40" s="112">
        <f>'תקציב החברה לפיתוח 2025'!G40</f>
        <v>750000</v>
      </c>
      <c r="H40" s="112">
        <f>'תקציב החברה לפיתוח 2025'!H40</f>
        <v>66896</v>
      </c>
      <c r="I40" s="112">
        <f>'תקציב החברה לפיתוח 2025'!I40</f>
        <v>0</v>
      </c>
      <c r="J40" s="112">
        <f>'תקציב החברה לפיתוח 2025'!J40</f>
        <v>98333</v>
      </c>
      <c r="K40" s="112">
        <f>'תקציב החברה לפיתוח 2025'!K40</f>
        <v>98333</v>
      </c>
      <c r="L40" s="112">
        <f>'תקציב החברה לפיתוח 2025'!L40</f>
        <v>165229</v>
      </c>
      <c r="M40" s="112">
        <f>'תקציב החברה לפיתוח 2025'!M40</f>
        <v>584771</v>
      </c>
      <c r="N40" s="112">
        <f>'תקציב החברה לפיתוח 2025'!N40</f>
        <v>0</v>
      </c>
      <c r="O40" s="112">
        <f>'תקציב החברה לפיתוח 2025'!O40</f>
        <v>1750000</v>
      </c>
      <c r="P40" s="112">
        <f>'תקציב החברה לפיתוח 2025'!P40</f>
        <v>584771</v>
      </c>
      <c r="Q40" s="112">
        <f>'תקציב החברה לפיתוח 2025'!Q40</f>
        <v>0</v>
      </c>
      <c r="R40" s="112">
        <f>'תקציב החברה לפיתוח 2025'!R40</f>
        <v>0</v>
      </c>
      <c r="S40" s="112">
        <f>'תקציב החברה לפיתוח 2025'!S40</f>
        <v>0</v>
      </c>
      <c r="T40" s="112">
        <f>'תקציב החברה לפיתוח 2025'!T40</f>
        <v>0</v>
      </c>
      <c r="U40" s="257">
        <f>'תקציב החברה לפיתוח 2025'!U40</f>
        <v>0</v>
      </c>
      <c r="V40" s="112">
        <f>'תקציב החברה לפיתוח 2025'!V40</f>
        <v>0</v>
      </c>
      <c r="W40" s="112">
        <f>'תקציב החברה לפיתוח 2025'!W40</f>
        <v>0</v>
      </c>
      <c r="X40" s="112">
        <f>'תקציב החברה לפיתוח 2025'!X40</f>
        <v>0</v>
      </c>
      <c r="Y40" s="112">
        <f>'תקציב החברה לפיתוח 2025'!Y40</f>
        <v>0</v>
      </c>
      <c r="Z40" s="112">
        <f>'תקציב החברה לפיתוח 2025'!Z40</f>
        <v>0</v>
      </c>
      <c r="AA40" s="127">
        <f>'תקציב החברה לפיתוח 2025'!AA40</f>
        <v>0</v>
      </c>
      <c r="AB40" s="273" t="str">
        <f>'תקציב החברה לפיתוח 2025'!AB40</f>
        <v>הסדרת הסמטה  המקשרת בין רח' אליעזר קפלן במזרח לרח' וינגייט  במערב.</v>
      </c>
      <c r="AC40" s="127">
        <f>'תקציב החברה לפיתוח 2025'!AC40</f>
        <v>742000</v>
      </c>
      <c r="AD40" s="123"/>
      <c r="AE40" s="123"/>
      <c r="AF40" s="123"/>
      <c r="AG40" s="123"/>
      <c r="AH40" s="123"/>
      <c r="AI40" s="123"/>
      <c r="AJ40" s="123"/>
      <c r="AK40" s="505"/>
      <c r="AL40" s="505"/>
      <c r="AM40" s="505"/>
      <c r="AN40" s="505"/>
      <c r="AO40" s="505"/>
      <c r="AP40" s="505"/>
      <c r="AQ40" s="505"/>
      <c r="AR40" s="505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</row>
    <row r="41" spans="1:56" ht="105">
      <c r="A41" s="112">
        <f t="shared" si="0"/>
        <v>37</v>
      </c>
      <c r="B41" s="3">
        <f>'תקציב החברה לפיתוח 2025'!B41</f>
        <v>2009</v>
      </c>
      <c r="C41" s="202" t="str">
        <f>'תקציב החברה לפיתוח 2025'!C41</f>
        <v>סמטת ניסנוב</v>
      </c>
      <c r="D41" s="112">
        <f>'תקציב החברה לפיתוח 2025'!D41</f>
        <v>13700000</v>
      </c>
      <c r="E41" s="112">
        <f>'תקציב החברה לפיתוח 2025'!E41</f>
        <v>13700000</v>
      </c>
      <c r="F41" s="112">
        <f>'תקציב החברה לפיתוח 2025'!F41</f>
        <v>0</v>
      </c>
      <c r="G41" s="112">
        <f>'תקציב החברה לפיתוח 2025'!G41</f>
        <v>9200000</v>
      </c>
      <c r="H41" s="112">
        <f>'תקציב החברה לפיתוח 2025'!H41</f>
        <v>6962424</v>
      </c>
      <c r="I41" s="112">
        <f>'תקציב החברה לפיתוח 2025'!I41</f>
        <v>0</v>
      </c>
      <c r="J41" s="112">
        <f>'תקציב החברה לפיתוח 2025'!J41</f>
        <v>884218</v>
      </c>
      <c r="K41" s="112">
        <f>'תקציב החברה לפיתוח 2025'!K41</f>
        <v>884218</v>
      </c>
      <c r="L41" s="112">
        <f>'תקציב החברה לפיתוח 2025'!L41</f>
        <v>7846642</v>
      </c>
      <c r="M41" s="112">
        <f>'תקציב החברה לפיתוח 2025'!M41</f>
        <v>1353358</v>
      </c>
      <c r="N41" s="112">
        <f>'תקציב החברה לפיתוח 2025'!N41</f>
        <v>3750000</v>
      </c>
      <c r="O41" s="112">
        <f>'תקציב החברה לפיתוח 2025'!O41</f>
        <v>750000</v>
      </c>
      <c r="P41" s="112">
        <f>'תקציב החברה לפיתוח 2025'!P41</f>
        <v>1353358</v>
      </c>
      <c r="Q41" s="112">
        <f>'תקציב החברה לפיתוח 2025'!Q41</f>
        <v>0</v>
      </c>
      <c r="R41" s="112">
        <f>'תקציב החברה לפיתוח 2025'!R41</f>
        <v>0</v>
      </c>
      <c r="S41" s="112">
        <f>'תקציב החברה לפיתוח 2025'!S41</f>
        <v>0</v>
      </c>
      <c r="T41" s="112">
        <f>'תקציב החברה לפיתוח 2025'!T41</f>
        <v>0</v>
      </c>
      <c r="U41" s="257">
        <f>'תקציב החברה לפיתוח 2025'!U41</f>
        <v>3750000</v>
      </c>
      <c r="V41" s="112">
        <f>'תקציב החברה לפיתוח 2025'!V41</f>
        <v>3453749</v>
      </c>
      <c r="W41" s="112">
        <f>'תקציב החברה לפיתוח 2025'!W41</f>
        <v>0</v>
      </c>
      <c r="X41" s="112">
        <f>'תקציב החברה לפיתוח 2025'!X41</f>
        <v>0</v>
      </c>
      <c r="Y41" s="112">
        <f>'תקציב החברה לפיתוח 2025'!Y41</f>
        <v>0</v>
      </c>
      <c r="Z41" s="112">
        <f>'תקציב החברה לפיתוח 2025'!Z41</f>
        <v>0</v>
      </c>
      <c r="AA41" s="112">
        <f>'תקציב החברה לפיתוח 2025'!AA41</f>
        <v>296251</v>
      </c>
      <c r="AB41" s="202" t="str">
        <f>'תקציב החברה לפיתוח 2025'!AB41</f>
        <v>פיתוח סימטה שהפכה לדרך במסגרת תב"ע 2029 בנווה עמל. העבודות כוללות החלפת תשתיות תת קרקעיות,הריסת מבנה והתחברות לרח' כצלנסון. מימון רמ"י ( ישן מול חדש מכרז רמ"י "בית קורקס").</v>
      </c>
      <c r="AC41" s="3">
        <f>'תקציב החברה לפיתוח 2025'!AC41</f>
        <v>742000</v>
      </c>
      <c r="AZ41" s="126"/>
      <c r="BA41" s="126"/>
      <c r="BB41" s="126"/>
      <c r="BC41" s="126"/>
      <c r="BD41" s="126"/>
    </row>
    <row r="42" spans="1:56" ht="30" customHeight="1">
      <c r="A42" s="112">
        <f t="shared" si="0"/>
        <v>38</v>
      </c>
      <c r="B42" s="3">
        <f>'תקציב החברה לפיתוח 2025'!B42</f>
        <v>2011</v>
      </c>
      <c r="C42" s="496" t="str">
        <f>'תקציב החברה לפיתוח 2025'!C42</f>
        <v xml:space="preserve">הקמת חניון מרינה לי </v>
      </c>
      <c r="D42" s="112">
        <f>'תקציב החברה לפיתוח 2025'!D42</f>
        <v>80000000</v>
      </c>
      <c r="E42" s="112">
        <f>'תקציב החברה לפיתוח 2025'!E42</f>
        <v>80000000</v>
      </c>
      <c r="F42" s="112">
        <f>'תקציב החברה לפיתוח 2025'!F42</f>
        <v>0</v>
      </c>
      <c r="G42" s="112">
        <f>'תקציב החברה לפיתוח 2025'!G42</f>
        <v>67562673</v>
      </c>
      <c r="H42" s="112">
        <f>'תקציב החברה לפיתוח 2025'!H42</f>
        <v>66114546</v>
      </c>
      <c r="I42" s="112">
        <f>'תקציב החברה לפיתוח 2025'!I42</f>
        <v>0</v>
      </c>
      <c r="J42" s="112">
        <f>'תקציב החברה לפיתוח 2025'!J42</f>
        <v>642201</v>
      </c>
      <c r="K42" s="112">
        <f>'תקציב החברה לפיתוח 2025'!K42</f>
        <v>642201</v>
      </c>
      <c r="L42" s="112">
        <f>'תקציב החברה לפיתוח 2025'!L42</f>
        <v>66756747</v>
      </c>
      <c r="M42" s="112">
        <f>'תקציב החברה לפיתוח 2025'!M42</f>
        <v>6643253</v>
      </c>
      <c r="N42" s="112">
        <f>'תקציב החברה לפיתוח 2025'!N42</f>
        <v>6600000</v>
      </c>
      <c r="O42" s="112">
        <f>'תקציב החברה לפיתוח 2025'!O42</f>
        <v>0</v>
      </c>
      <c r="P42" s="112">
        <f>'תקציב החברה לפיתוח 2025'!P42</f>
        <v>805926</v>
      </c>
      <c r="Q42" s="112">
        <f>'תקציב החברה לפיתוח 2025'!Q42</f>
        <v>5837327</v>
      </c>
      <c r="R42" s="112">
        <f>'תקציב החברה לפיתוח 2025'!R42</f>
        <v>0</v>
      </c>
      <c r="S42" s="112">
        <f>'תקציב החברה לפיתוח 2025'!S42</f>
        <v>5837327</v>
      </c>
      <c r="T42" s="112">
        <f>'תקציב החברה לפיתוח 2025'!T42</f>
        <v>0</v>
      </c>
      <c r="U42" s="257">
        <f>'תקציב החברה לפיתוח 2025'!U42</f>
        <v>6600000</v>
      </c>
      <c r="V42" s="112">
        <f>'תקציב החברה לפיתוח 2025'!V42</f>
        <v>6600000</v>
      </c>
      <c r="W42" s="112">
        <f>'תקציב החברה לפיתוח 2025'!W42</f>
        <v>0</v>
      </c>
      <c r="X42" s="112">
        <f>'תקציב החברה לפיתוח 2025'!X42</f>
        <v>0</v>
      </c>
      <c r="Y42" s="112">
        <f>'תקציב החברה לפיתוח 2025'!Y42</f>
        <v>0</v>
      </c>
      <c r="Z42" s="112">
        <f>'תקציב החברה לפיתוח 2025'!Z42</f>
        <v>0</v>
      </c>
      <c r="AA42" s="127">
        <f>'תקציב החברה לפיתוח 2025'!AA42</f>
        <v>0</v>
      </c>
      <c r="AB42" s="202" t="str">
        <f>'תקציב החברה לפיתוח 2025'!AB42</f>
        <v xml:space="preserve">הקמת החניון מתחת לשצ"פ במתחם המרינה לי. </v>
      </c>
      <c r="AC42" s="3">
        <f>'תקציב החברה לפיתוח 2025'!AC42</f>
        <v>742000</v>
      </c>
      <c r="AZ42" s="5"/>
      <c r="BA42" s="5"/>
      <c r="BB42" s="5"/>
      <c r="BC42" s="5"/>
      <c r="BD42" s="5"/>
    </row>
    <row r="43" spans="1:56" ht="45">
      <c r="A43" s="112">
        <f t="shared" si="0"/>
        <v>39</v>
      </c>
      <c r="B43" s="127">
        <f>'תקציב החברה לפיתוח 2025'!B43</f>
        <v>2015</v>
      </c>
      <c r="C43" s="222" t="str">
        <f>'תקציב החברה לפיתוח 2025'!C43</f>
        <v xml:space="preserve"> מרכז מדעים וקהילה </v>
      </c>
      <c r="D43" s="112">
        <f>'תקציב החברה לפיתוח 2025'!D43</f>
        <v>54000000</v>
      </c>
      <c r="E43" s="112">
        <f>'תקציב החברה לפיתוח 2025'!E43</f>
        <v>54000000</v>
      </c>
      <c r="F43" s="112">
        <f>'תקציב החברה לפיתוח 2025'!F43</f>
        <v>0</v>
      </c>
      <c r="G43" s="112">
        <f>'תקציב החברה לפיתוח 2025'!G43</f>
        <v>54000000</v>
      </c>
      <c r="H43" s="112">
        <f>'תקציב החברה לפיתוח 2025'!H43</f>
        <v>52574788</v>
      </c>
      <c r="I43" s="112">
        <f>'תקציב החברה לפיתוח 2025'!I43</f>
        <v>0</v>
      </c>
      <c r="J43" s="112">
        <f>'תקציב החברה לפיתוח 2025'!J43</f>
        <v>101802</v>
      </c>
      <c r="K43" s="112">
        <f>'תקציב החברה לפיתוח 2025'!K43</f>
        <v>101802</v>
      </c>
      <c r="L43" s="112">
        <f>'תקציב החברה לפיתוח 2025'!L43</f>
        <v>52676590</v>
      </c>
      <c r="M43" s="112">
        <f>'תקציב החברה לפיתוח 2025'!M43</f>
        <v>1323410</v>
      </c>
      <c r="N43" s="112">
        <f>'תקציב החברה לפיתוח 2025'!N43</f>
        <v>0</v>
      </c>
      <c r="O43" s="112">
        <f>'תקציב החברה לפיתוח 2025'!O43</f>
        <v>0</v>
      </c>
      <c r="P43" s="112">
        <f>'תקציב החברה לפיתוח 2025'!P43</f>
        <v>1323410</v>
      </c>
      <c r="Q43" s="112">
        <f>'תקציב החברה לפיתוח 2025'!Q43</f>
        <v>0</v>
      </c>
      <c r="R43" s="112">
        <f>'תקציב החברה לפיתוח 2025'!R43</f>
        <v>0</v>
      </c>
      <c r="S43" s="112">
        <f>'תקציב החברה לפיתוח 2025'!S43</f>
        <v>0</v>
      </c>
      <c r="T43" s="112">
        <f>'תקציב החברה לפיתוח 2025'!T43</f>
        <v>0</v>
      </c>
      <c r="U43" s="257">
        <f>'תקציב החברה לפיתוח 2025'!U43</f>
        <v>0</v>
      </c>
      <c r="V43" s="112">
        <f>'תקציב החברה לפיתוח 2025'!V43</f>
        <v>0</v>
      </c>
      <c r="W43" s="112">
        <f>'תקציב החברה לפיתוח 2025'!W43</f>
        <v>0</v>
      </c>
      <c r="X43" s="112">
        <f>'תקציב החברה לפיתוח 2025'!X43</f>
        <v>0</v>
      </c>
      <c r="Y43" s="112">
        <f>'תקציב החברה לפיתוח 2025'!Y43</f>
        <v>0</v>
      </c>
      <c r="Z43" s="112">
        <f>'תקציב החברה לפיתוח 2025'!Z43</f>
        <v>0</v>
      </c>
      <c r="AA43" s="127">
        <f>'תקציב החברה לפיתוח 2025'!AA43</f>
        <v>0</v>
      </c>
      <c r="AB43" s="222" t="str">
        <f>'תקציב החברה לפיתוח 2025'!AB43</f>
        <v>עבודות בניה ופיתוח מרכז מדעיים וקהילה באלתרמן. מבנה 5 קומות ופיתוח. חן סופיים. לקראת סיום.</v>
      </c>
      <c r="AC43" s="127">
        <f>'תקציב החברה לפיתוח 2025'!AC43</f>
        <v>810000</v>
      </c>
    </row>
    <row r="44" spans="1:56" ht="45">
      <c r="A44" s="112">
        <f t="shared" si="0"/>
        <v>40</v>
      </c>
      <c r="B44" s="127">
        <f>'תקציב החברה לפיתוח 2025'!B44</f>
        <v>2017</v>
      </c>
      <c r="C44" s="207" t="str">
        <f>'תקציב החברה לפיתוח 2025'!C44</f>
        <v xml:space="preserve">הקמת  בית קהילה רחוב המסילה  </v>
      </c>
      <c r="D44" s="112">
        <f>'תקציב החברה לפיתוח 2025'!D44</f>
        <v>37100000</v>
      </c>
      <c r="E44" s="112">
        <f>'תקציב החברה לפיתוח 2025'!E44</f>
        <v>37100000</v>
      </c>
      <c r="F44" s="112">
        <f>'תקציב החברה לפיתוח 2025'!F44</f>
        <v>0</v>
      </c>
      <c r="G44" s="112">
        <f>'תקציב החברה לפיתוח 2025'!G44</f>
        <v>31100000</v>
      </c>
      <c r="H44" s="112">
        <f>'תקציב החברה לפיתוח 2025'!H44</f>
        <v>29864639</v>
      </c>
      <c r="I44" s="112">
        <f>'תקציב החברה לפיתוח 2025'!I44</f>
        <v>0</v>
      </c>
      <c r="J44" s="112">
        <f>'תקציב החברה לפיתוח 2025'!J44</f>
        <v>720031</v>
      </c>
      <c r="K44" s="112">
        <f>'תקציב החברה לפיתוח 2025'!K44</f>
        <v>720031</v>
      </c>
      <c r="L44" s="112">
        <f>'תקציב החברה לפיתוח 2025'!L44</f>
        <v>30584670</v>
      </c>
      <c r="M44" s="112">
        <f>'תקציב החברה לפיתוח 2025'!M44</f>
        <v>1515330</v>
      </c>
      <c r="N44" s="112">
        <f>'תקציב החברה לפיתוח 2025'!N44</f>
        <v>5000000</v>
      </c>
      <c r="O44" s="112">
        <f>'תקציב החברה לפיתוח 2025'!O44</f>
        <v>0</v>
      </c>
      <c r="P44" s="112">
        <f>'תקציב החברה לפיתוח 2025'!P44</f>
        <v>515330</v>
      </c>
      <c r="Q44" s="112">
        <f>'תקציב החברה לפיתוח 2025'!Q44</f>
        <v>1000000</v>
      </c>
      <c r="R44" s="112">
        <f>'תקציב החברה לפיתוח 2025'!R44</f>
        <v>0</v>
      </c>
      <c r="S44" s="112">
        <f>'תקציב החברה לפיתוח 2025'!S44</f>
        <v>1000000</v>
      </c>
      <c r="T44" s="112">
        <f>'תקציב החברה לפיתוח 2025'!T44</f>
        <v>0</v>
      </c>
      <c r="U44" s="257">
        <f>'תקציב החברה לפיתוח 2025'!U44</f>
        <v>5000000</v>
      </c>
      <c r="V44" s="112">
        <f>'תקציב החברה לפיתוח 2025'!V44</f>
        <v>4253354</v>
      </c>
      <c r="W44" s="112">
        <f>'תקציב החברה לפיתוח 2025'!W44</f>
        <v>0</v>
      </c>
      <c r="X44" s="112">
        <f>'תקציב החברה לפיתוח 2025'!X44</f>
        <v>0</v>
      </c>
      <c r="Y44" s="112">
        <f>'תקציב החברה לפיתוח 2025'!Y44</f>
        <v>0</v>
      </c>
      <c r="Z44" s="112">
        <f>'תקציב החברה לפיתוח 2025'!Z44</f>
        <v>0</v>
      </c>
      <c r="AA44" s="112">
        <f>'תקציב החברה לפיתוח 2025'!AA44</f>
        <v>746646</v>
      </c>
      <c r="AB44" s="222" t="str">
        <f>'תקציב החברה לפיתוח 2025'!AB44</f>
        <v>הקמת מתנ"ס ברחוב המסילה כולל הצטיידות. מימון רמ"י ( מוס"צ מכרז אולפני קסם).</v>
      </c>
      <c r="AC44" s="127">
        <f>'תקציב החברה לפיתוח 2025'!AC44</f>
        <v>824000</v>
      </c>
      <c r="AZ44" s="5"/>
      <c r="BA44" s="5"/>
      <c r="BB44" s="5"/>
      <c r="BC44" s="5"/>
      <c r="BD44" s="5"/>
    </row>
    <row r="45" spans="1:56" s="6" customFormat="1" ht="45">
      <c r="A45" s="112">
        <f t="shared" si="0"/>
        <v>41</v>
      </c>
      <c r="B45" s="127">
        <f>'תקציב החברה לפיתוח 2025'!B45</f>
        <v>2018</v>
      </c>
      <c r="C45" s="222" t="str">
        <f>'תקציב החברה לפיתוח 2025'!C45</f>
        <v>החלפת עמודי תאורה באיזור תעשיה</v>
      </c>
      <c r="D45" s="112">
        <f>'תקציב החברה לפיתוח 2025'!D45</f>
        <v>3350000</v>
      </c>
      <c r="E45" s="112">
        <f>'תקציב החברה לפיתוח 2025'!E45</f>
        <v>3350000</v>
      </c>
      <c r="F45" s="112">
        <f>'תקציב החברה לפיתוח 2025'!F45</f>
        <v>0</v>
      </c>
      <c r="G45" s="112">
        <f>'תקציב החברה לפיתוח 2025'!G45</f>
        <v>3350000</v>
      </c>
      <c r="H45" s="112">
        <f>'תקציב החברה לפיתוח 2025'!H45</f>
        <v>3064540</v>
      </c>
      <c r="I45" s="112">
        <f>'תקציב החברה לפיתוח 2025'!I45</f>
        <v>0</v>
      </c>
      <c r="J45" s="112">
        <f>'תקציב החברה לפיתוח 2025'!J45</f>
        <v>95485</v>
      </c>
      <c r="K45" s="112">
        <f>'תקציב החברה לפיתוח 2025'!K45</f>
        <v>95485</v>
      </c>
      <c r="L45" s="112">
        <f>'תקציב החברה לפיתוח 2025'!L45</f>
        <v>3160025</v>
      </c>
      <c r="M45" s="112">
        <f>'תקציב החברה לפיתוח 2025'!M45</f>
        <v>189975</v>
      </c>
      <c r="N45" s="112">
        <f>'תקציב החברה לפיתוח 2025'!N45</f>
        <v>0</v>
      </c>
      <c r="O45" s="112">
        <f>'תקציב החברה לפיתוח 2025'!O45</f>
        <v>0</v>
      </c>
      <c r="P45" s="112">
        <f>'תקציב החברה לפיתוח 2025'!P45</f>
        <v>189975</v>
      </c>
      <c r="Q45" s="112">
        <f>'תקציב החברה לפיתוח 2025'!Q45</f>
        <v>0</v>
      </c>
      <c r="R45" s="112">
        <f>'תקציב החברה לפיתוח 2025'!R45</f>
        <v>0</v>
      </c>
      <c r="S45" s="112">
        <f>'תקציב החברה לפיתוח 2025'!S45</f>
        <v>0</v>
      </c>
      <c r="T45" s="112">
        <f>'תקציב החברה לפיתוח 2025'!T45</f>
        <v>0</v>
      </c>
      <c r="U45" s="257">
        <f>'תקציב החברה לפיתוח 2025'!U45</f>
        <v>0</v>
      </c>
      <c r="V45" s="112">
        <f>'תקציב החברה לפיתוח 2025'!V45</f>
        <v>0</v>
      </c>
      <c r="W45" s="112">
        <f>'תקציב החברה לפיתוח 2025'!W45</f>
        <v>0</v>
      </c>
      <c r="X45" s="112">
        <f>'תקציב החברה לפיתוח 2025'!X45</f>
        <v>0</v>
      </c>
      <c r="Y45" s="112">
        <f>'תקציב החברה לפיתוח 2025'!Y45</f>
        <v>0</v>
      </c>
      <c r="Z45" s="112">
        <f>'תקציב החברה לפיתוח 2025'!Z45</f>
        <v>0</v>
      </c>
      <c r="AA45" s="127">
        <f>'תקציב החברה לפיתוח 2025'!AA45</f>
        <v>0</v>
      </c>
      <c r="AB45" s="207" t="str">
        <f>'תקציב החברה לפיתוח 2025'!AB45</f>
        <v>מסגרת עבודות של החלפת עמודי תאורה באיזור התעשיה. חן סופיים. התב"ר לסגירה.</v>
      </c>
      <c r="AC45" s="127">
        <f>'תקציב החברה לפיתוח 2025'!AC45</f>
        <v>742000</v>
      </c>
      <c r="AD45" s="123"/>
      <c r="AE45" s="123"/>
      <c r="AF45" s="123"/>
      <c r="AG45" s="123"/>
      <c r="AH45" s="123"/>
      <c r="AI45" s="123"/>
      <c r="AJ45" s="123"/>
      <c r="AK45" s="505"/>
      <c r="AL45" s="505"/>
      <c r="AM45" s="505"/>
      <c r="AN45" s="505"/>
      <c r="AO45" s="505"/>
      <c r="AP45" s="505"/>
      <c r="AQ45" s="505"/>
      <c r="AR45" s="505"/>
      <c r="AS45" s="123"/>
      <c r="AT45" s="123"/>
      <c r="AU45" s="123"/>
      <c r="AV45" s="123"/>
      <c r="AW45" s="123"/>
      <c r="AX45" s="123"/>
      <c r="AY45" s="123"/>
      <c r="AZ45" s="126"/>
      <c r="BA45" s="126"/>
      <c r="BB45" s="126"/>
      <c r="BC45" s="126"/>
      <c r="BD45" s="126"/>
    </row>
    <row r="46" spans="1:56" s="5" customFormat="1" ht="30" customHeight="1">
      <c r="A46" s="112">
        <f t="shared" si="0"/>
        <v>42</v>
      </c>
      <c r="B46" s="127">
        <f>'תקציב החברה לפיתוח 2025'!B46</f>
        <v>2024</v>
      </c>
      <c r="C46" s="222" t="str">
        <f>'תקציב החברה לפיתוח 2025'!C46</f>
        <v>גנ"י מרכז ויצמן תמר תאנה</v>
      </c>
      <c r="D46" s="112">
        <f>'תקציב החברה לפיתוח 2025'!D46</f>
        <v>18400000</v>
      </c>
      <c r="E46" s="112">
        <f>'תקציב החברה לפיתוח 2025'!E46</f>
        <v>18400000</v>
      </c>
      <c r="F46" s="112">
        <f>'תקציב החברה לפיתוח 2025'!F46</f>
        <v>0</v>
      </c>
      <c r="G46" s="112">
        <f>'תקציב החברה לפיתוח 2025'!G46</f>
        <v>18032749</v>
      </c>
      <c r="H46" s="112">
        <f>'תקציב החברה לפיתוח 2025'!H46</f>
        <v>17018970</v>
      </c>
      <c r="I46" s="112">
        <f>'תקציב החברה לפיתוח 2025'!I46</f>
        <v>0</v>
      </c>
      <c r="J46" s="112">
        <f>'תקציב החברה לפיתוח 2025'!J46</f>
        <v>443912</v>
      </c>
      <c r="K46" s="112">
        <f>'תקציב החברה לפיתוח 2025'!K46</f>
        <v>443912</v>
      </c>
      <c r="L46" s="112">
        <f>'תקציב החברה לפיתוח 2025'!L46</f>
        <v>17462882</v>
      </c>
      <c r="M46" s="112">
        <f>'תקציב החברה לפיתוח 2025'!M46</f>
        <v>569867</v>
      </c>
      <c r="N46" s="112">
        <f>'תקציב החברה לפיתוח 2025'!N46</f>
        <v>367251</v>
      </c>
      <c r="O46" s="112">
        <f>'תקציב החברה לפיתוח 2025'!O46</f>
        <v>0</v>
      </c>
      <c r="P46" s="112">
        <f>'תקציב החברה לפיתוח 2025'!P46</f>
        <v>569867</v>
      </c>
      <c r="Q46" s="112">
        <f>'תקציב החברה לפיתוח 2025'!Q46</f>
        <v>0</v>
      </c>
      <c r="R46" s="112">
        <f>'תקציב החברה לפיתוח 2025'!R46</f>
        <v>0</v>
      </c>
      <c r="S46" s="112">
        <f>'תקציב החברה לפיתוח 2025'!S46</f>
        <v>0</v>
      </c>
      <c r="T46" s="112">
        <f>'תקציב החברה לפיתוח 2025'!T46</f>
        <v>0</v>
      </c>
      <c r="U46" s="257">
        <f>'תקציב החברה לפיתוח 2025'!U46</f>
        <v>367251</v>
      </c>
      <c r="V46" s="112">
        <f>'תקציב החברה לפיתוח 2025'!V46</f>
        <v>0</v>
      </c>
      <c r="W46" s="112">
        <f>'תקציב החברה לפיתוח 2025'!W46</f>
        <v>0</v>
      </c>
      <c r="X46" s="112">
        <f>'תקציב החברה לפיתוח 2025'!X46</f>
        <v>0</v>
      </c>
      <c r="Y46" s="112">
        <f>'תקציב החברה לפיתוח 2025'!Y46</f>
        <v>0</v>
      </c>
      <c r="Z46" s="112">
        <f>'תקציב החברה לפיתוח 2025'!Z46</f>
        <v>0</v>
      </c>
      <c r="AA46" s="112">
        <f>'תקציב החברה לפיתוח 2025'!AA46</f>
        <v>367251</v>
      </c>
      <c r="AB46" s="222" t="str">
        <f>'תקציב החברה לפיתוח 2025'!AB46</f>
        <v>בניית 6 כיתות גנ"י במתחם ויצמן. מימון מ. החינוך עדכון.</v>
      </c>
      <c r="AC46" s="127">
        <f>'תקציב החברה לפיתוח 2025'!AC46</f>
        <v>810000</v>
      </c>
      <c r="AD46" s="123"/>
      <c r="AE46" s="123"/>
      <c r="AF46" s="123"/>
      <c r="AG46" s="123"/>
      <c r="AH46" s="123"/>
      <c r="AI46" s="123"/>
      <c r="AJ46" s="123"/>
      <c r="AK46" s="505"/>
      <c r="AL46" s="505"/>
      <c r="AM46" s="505"/>
      <c r="AN46" s="505"/>
      <c r="AO46" s="505"/>
      <c r="AP46" s="505"/>
      <c r="AQ46" s="505"/>
      <c r="AR46" s="505"/>
      <c r="AS46" s="123"/>
      <c r="AT46" s="123"/>
      <c r="AU46" s="123"/>
      <c r="AV46" s="123"/>
      <c r="AW46" s="123"/>
      <c r="AX46" s="123"/>
      <c r="AY46" s="123"/>
      <c r="AZ46" s="126"/>
      <c r="BA46" s="126"/>
      <c r="BB46" s="126"/>
      <c r="BC46" s="126"/>
      <c r="BD46" s="126"/>
    </row>
    <row r="47" spans="1:56" s="6" customFormat="1" ht="45">
      <c r="A47" s="112">
        <f t="shared" si="0"/>
        <v>43</v>
      </c>
      <c r="B47" s="209">
        <f>'תקציב החברה לפיתוח 2025'!B47</f>
        <v>2073</v>
      </c>
      <c r="C47" s="207" t="str">
        <f>'תקציב החברה לפיתוח 2025'!C47</f>
        <v xml:space="preserve">בי"ס ואולם ספורט ויצמן  </v>
      </c>
      <c r="D47" s="112">
        <f>'תקציב החברה לפיתוח 2025'!D47</f>
        <v>75000000</v>
      </c>
      <c r="E47" s="112">
        <f>'תקציב החברה לפיתוח 2025'!E47</f>
        <v>11350000</v>
      </c>
      <c r="F47" s="112">
        <f>'תקציב החברה לפיתוח 2025'!F47</f>
        <v>63650000</v>
      </c>
      <c r="G47" s="112">
        <f>'תקציב החברה לפיתוח 2025'!G47</f>
        <v>1300000</v>
      </c>
      <c r="H47" s="112">
        <f>'תקציב החברה לפיתוח 2025'!H47</f>
        <v>906620</v>
      </c>
      <c r="I47" s="112">
        <f>'תקציב החברה לפיתוח 2025'!I47</f>
        <v>0</v>
      </c>
      <c r="J47" s="112">
        <f>'תקציב החברה לפיתוח 2025'!J47</f>
        <v>343904</v>
      </c>
      <c r="K47" s="112">
        <f>'תקציב החברה לפיתוח 2025'!K47</f>
        <v>343904</v>
      </c>
      <c r="L47" s="112">
        <f>'תקציב החברה לפיתוח 2025'!L47</f>
        <v>1250524</v>
      </c>
      <c r="M47" s="112">
        <f>'תקציב החברה לפיתוח 2025'!M47</f>
        <v>49476</v>
      </c>
      <c r="N47" s="112">
        <f>'תקציב החברה לפיתוח 2025'!N47</f>
        <v>1000000</v>
      </c>
      <c r="O47" s="112">
        <f>'תקציב החברה לפיתוח 2025'!O47</f>
        <v>72700000</v>
      </c>
      <c r="P47" s="112">
        <f>'תקציב החברה לפיתוח 2025'!P47</f>
        <v>49476</v>
      </c>
      <c r="Q47" s="112">
        <f>'תקציב החברה לפיתוח 2025'!Q47</f>
        <v>0</v>
      </c>
      <c r="R47" s="112">
        <f>'תקציב החברה לפיתוח 2025'!R47</f>
        <v>0</v>
      </c>
      <c r="S47" s="112">
        <f>'תקציב החברה לפיתוח 2025'!S47</f>
        <v>0</v>
      </c>
      <c r="T47" s="112">
        <f>'תקציב החברה לפיתוח 2025'!T47</f>
        <v>0</v>
      </c>
      <c r="U47" s="257">
        <f>'תקציב החברה לפיתוח 2025'!U47</f>
        <v>1000000</v>
      </c>
      <c r="V47" s="112">
        <f>'תקציב החברה לפיתוח 2025'!V47</f>
        <v>1000000</v>
      </c>
      <c r="W47" s="112">
        <f>'תקציב החברה לפיתוח 2025'!W47</f>
        <v>0</v>
      </c>
      <c r="X47" s="112">
        <f>'תקציב החברה לפיתוח 2025'!X47</f>
        <v>0</v>
      </c>
      <c r="Y47" s="112">
        <f>'תקציב החברה לפיתוח 2025'!Y47</f>
        <v>0</v>
      </c>
      <c r="Z47" s="112">
        <f>'תקציב החברה לפיתוח 2025'!Z47</f>
        <v>0</v>
      </c>
      <c r="AA47" s="127">
        <f>'תקציב החברה לפיתוח 2025'!AA47</f>
        <v>0</v>
      </c>
      <c r="AB47" s="222" t="str">
        <f>'תקציב החברה לפיתוח 2025'!AB47</f>
        <v>תוספת מבנה של 6 כיתות    ואולם ספורט חדש בבי"ס ויצמן. קדם מימון מ. החינוך.</v>
      </c>
      <c r="AC47" s="127">
        <f>'תקציב החברה לפיתוח 2025'!AC47</f>
        <v>829000</v>
      </c>
      <c r="AD47" s="123"/>
      <c r="AE47" s="123"/>
      <c r="AF47" s="123"/>
      <c r="AG47" s="123"/>
      <c r="AH47" s="123"/>
      <c r="AI47" s="123"/>
      <c r="AJ47" s="123"/>
      <c r="AK47" s="505"/>
      <c r="AL47" s="505"/>
      <c r="AM47" s="505"/>
      <c r="AN47" s="505"/>
      <c r="AO47" s="505"/>
      <c r="AP47" s="505"/>
      <c r="AQ47" s="505"/>
      <c r="AR47" s="505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</row>
    <row r="48" spans="1:56" s="5" customFormat="1" ht="30" customHeight="1">
      <c r="A48" s="112">
        <f t="shared" si="0"/>
        <v>44</v>
      </c>
      <c r="B48" s="209">
        <f>'תקציב החברה לפיתוח 2025'!B48</f>
        <v>2076</v>
      </c>
      <c r="C48" s="222" t="str">
        <f>'תקציב החברה לפיתוח 2025'!C48</f>
        <v>עבודות פיתוח בכנ"ס אברהם אבינו</v>
      </c>
      <c r="D48" s="112">
        <f>'תקציב החברה לפיתוח 2025'!D48</f>
        <v>2350000</v>
      </c>
      <c r="E48" s="112">
        <f>'תקציב החברה לפיתוח 2025'!E48</f>
        <v>2350000</v>
      </c>
      <c r="F48" s="112">
        <f>'תקציב החברה לפיתוח 2025'!F48</f>
        <v>0</v>
      </c>
      <c r="G48" s="112">
        <f>'תקציב החברה לפיתוח 2025'!G48</f>
        <v>1950000</v>
      </c>
      <c r="H48" s="112">
        <f>'תקציב החברה לפיתוח 2025'!H48</f>
        <v>1714465</v>
      </c>
      <c r="I48" s="112">
        <f>'תקציב החברה לפיתוח 2025'!I48</f>
        <v>0</v>
      </c>
      <c r="J48" s="112">
        <f>'תקציב החברה לפיתוח 2025'!J48</f>
        <v>178810</v>
      </c>
      <c r="K48" s="112">
        <f>'תקציב החברה לפיתוח 2025'!K48</f>
        <v>178810</v>
      </c>
      <c r="L48" s="112">
        <f>'תקציב החברה לפיתוח 2025'!L48</f>
        <v>1893275</v>
      </c>
      <c r="M48" s="112">
        <f>'תקציב החברה לפיתוח 2025'!M48</f>
        <v>456725</v>
      </c>
      <c r="N48" s="112">
        <f>'תקציב החברה לפיתוח 2025'!N48</f>
        <v>0</v>
      </c>
      <c r="O48" s="112">
        <f>'תקציב החברה לפיתוח 2025'!O48</f>
        <v>0</v>
      </c>
      <c r="P48" s="112">
        <f>'תקציב החברה לפיתוח 2025'!P48</f>
        <v>56725</v>
      </c>
      <c r="Q48" s="112">
        <f>'תקציב החברה לפיתוח 2025'!Q48</f>
        <v>0</v>
      </c>
      <c r="R48" s="112">
        <f>'תקציב החברה לפיתוח 2025'!R48</f>
        <v>400000</v>
      </c>
      <c r="S48" s="112">
        <f>'תקציב החברה לפיתוח 2025'!S48</f>
        <v>400000</v>
      </c>
      <c r="T48" s="112">
        <f>'תקציב החברה לפיתוח 2025'!T48</f>
        <v>0</v>
      </c>
      <c r="U48" s="257">
        <f>'תקציב החברה לפיתוח 2025'!U48</f>
        <v>0</v>
      </c>
      <c r="V48" s="112">
        <f>'תקציב החברה לפיתוח 2025'!V48</f>
        <v>0</v>
      </c>
      <c r="W48" s="112">
        <f>'תקציב החברה לפיתוח 2025'!W48</f>
        <v>0</v>
      </c>
      <c r="X48" s="112">
        <f>'תקציב החברה לפיתוח 2025'!X48</f>
        <v>0</v>
      </c>
      <c r="Y48" s="112">
        <f>'תקציב החברה לפיתוח 2025'!Y48</f>
        <v>0</v>
      </c>
      <c r="Z48" s="112">
        <f>'תקציב החברה לפיתוח 2025'!Z48</f>
        <v>0</v>
      </c>
      <c r="AA48" s="127">
        <f>'תקציב החברה לפיתוח 2025'!AA48</f>
        <v>0</v>
      </c>
      <c r="AB48" s="222" t="str">
        <f>'תקציב החברה לפיתוח 2025'!AB48</f>
        <v>עבודות פיתוח ביכנ"ס "אברהם אבינו" בשכונת יד התשעה.</v>
      </c>
      <c r="AC48" s="127">
        <f>'תקציב החברה לפיתוח 2025'!AC48</f>
        <v>850000</v>
      </c>
      <c r="AD48" s="123"/>
      <c r="AE48" s="123"/>
      <c r="AF48" s="123"/>
      <c r="AG48" s="123"/>
      <c r="AH48" s="123"/>
      <c r="AI48" s="123"/>
      <c r="AJ48" s="123"/>
      <c r="AK48" s="505"/>
      <c r="AL48" s="505"/>
      <c r="AM48" s="505"/>
      <c r="AN48" s="505"/>
      <c r="AO48" s="505"/>
      <c r="AP48" s="505"/>
      <c r="AQ48" s="505"/>
      <c r="AR48" s="505"/>
      <c r="AS48" s="123"/>
      <c r="AT48" s="123"/>
      <c r="AU48" s="123"/>
      <c r="AV48" s="123"/>
      <c r="AW48" s="123"/>
      <c r="AX48" s="123"/>
      <c r="AY48" s="123"/>
      <c r="AZ48" s="126"/>
      <c r="BA48" s="126"/>
      <c r="BB48" s="126"/>
      <c r="BC48" s="126"/>
      <c r="BD48" s="126"/>
    </row>
    <row r="49" spans="1:56" s="5" customFormat="1" ht="30" customHeight="1">
      <c r="A49" s="112">
        <f t="shared" si="0"/>
        <v>45</v>
      </c>
      <c r="B49" s="3">
        <f>'תקציב החברה לפיתוח 2025'!B49</f>
        <v>2078</v>
      </c>
      <c r="C49" s="202" t="str">
        <f>'תקציב החברה לפיתוח 2025'!C49</f>
        <v>נילי - עבודות פיתוח והסדרת תנועה</v>
      </c>
      <c r="D49" s="112">
        <f>'תקציב החברה לפיתוח 2025'!D49</f>
        <v>2360000</v>
      </c>
      <c r="E49" s="112">
        <f>'תקציב החברה לפיתוח 2025'!E49</f>
        <v>2460000</v>
      </c>
      <c r="F49" s="112">
        <f>'תקציב החברה לפיתוח 2025'!F49</f>
        <v>-100000</v>
      </c>
      <c r="G49" s="112">
        <f>'תקציב החברה לפיתוח 2025'!G49</f>
        <v>2360000</v>
      </c>
      <c r="H49" s="112">
        <f>'תקציב החברה לפיתוח 2025'!H49</f>
        <v>339729</v>
      </c>
      <c r="I49" s="112">
        <f>'תקציב החברה לפיתוח 2025'!I49</f>
        <v>0</v>
      </c>
      <c r="J49" s="112">
        <f>'תקציב החברה לפיתוח 2025'!J49</f>
        <v>147416</v>
      </c>
      <c r="K49" s="112">
        <f>'תקציב החברה לפיתוח 2025'!K49</f>
        <v>147416</v>
      </c>
      <c r="L49" s="112">
        <f>'תקציב החברה לפיתוח 2025'!L49</f>
        <v>487145</v>
      </c>
      <c r="M49" s="112">
        <f>'תקציב החברה לפיתוח 2025'!M49</f>
        <v>1872855</v>
      </c>
      <c r="N49" s="112">
        <f>'תקציב החברה לפיתוח 2025'!N49</f>
        <v>0</v>
      </c>
      <c r="O49" s="112">
        <f>'תקציב החברה לפיתוח 2025'!O49</f>
        <v>0</v>
      </c>
      <c r="P49" s="112">
        <f>'תקציב החברה לפיתוח 2025'!P49</f>
        <v>1872855</v>
      </c>
      <c r="Q49" s="112">
        <f>'תקציב החברה לפיתוח 2025'!Q49</f>
        <v>0</v>
      </c>
      <c r="R49" s="112">
        <f>'תקציב החברה לפיתוח 2025'!R49</f>
        <v>0</v>
      </c>
      <c r="S49" s="112">
        <f>'תקציב החברה לפיתוח 2025'!S49</f>
        <v>0</v>
      </c>
      <c r="T49" s="112">
        <f>'תקציב החברה לפיתוח 2025'!T49</f>
        <v>0</v>
      </c>
      <c r="U49" s="257">
        <f>'תקציב החברה לפיתוח 2025'!U49</f>
        <v>0</v>
      </c>
      <c r="V49" s="112">
        <f>'תקציב החברה לפיתוח 2025'!V49</f>
        <v>0</v>
      </c>
      <c r="W49" s="112">
        <f>'תקציב החברה לפיתוח 2025'!W49</f>
        <v>0</v>
      </c>
      <c r="X49" s="112">
        <f>'תקציב החברה לפיתוח 2025'!X49</f>
        <v>0</v>
      </c>
      <c r="Y49" s="112">
        <f>'תקציב החברה לפיתוח 2025'!Y49</f>
        <v>0</v>
      </c>
      <c r="Z49" s="112">
        <f>'תקציב החברה לפיתוח 2025'!Z49</f>
        <v>0</v>
      </c>
      <c r="AA49" s="127">
        <f>'תקציב החברה לפיתוח 2025'!AA49</f>
        <v>0</v>
      </c>
      <c r="AB49" s="202" t="str">
        <f>'תקציב החברה לפיתוח 2025'!AB49</f>
        <v>לאור החלטת בימ"ש שהעיריה תבצע שינויים גיאומטרים וקיר.</v>
      </c>
      <c r="AC49" s="3">
        <f>'תקציב החברה לפיתוח 2025'!AC49</f>
        <v>742000</v>
      </c>
      <c r="AD49" s="123"/>
      <c r="AE49" s="123"/>
      <c r="AF49" s="123"/>
      <c r="AG49" s="123"/>
      <c r="AH49" s="123"/>
      <c r="AI49" s="123"/>
      <c r="AJ49" s="123"/>
      <c r="AK49" s="505"/>
      <c r="AL49" s="505"/>
      <c r="AM49" s="505"/>
      <c r="AN49" s="505"/>
      <c r="AO49" s="505"/>
      <c r="AP49" s="505"/>
      <c r="AQ49" s="505"/>
      <c r="AR49" s="505"/>
      <c r="AS49" s="123"/>
      <c r="AT49" s="123"/>
      <c r="AU49" s="123"/>
      <c r="AV49" s="123"/>
      <c r="AW49" s="123"/>
      <c r="AX49" s="123"/>
      <c r="AY49" s="123"/>
    </row>
    <row r="50" spans="1:56" s="6" customFormat="1" ht="60">
      <c r="A50" s="112">
        <f t="shared" si="0"/>
        <v>46</v>
      </c>
      <c r="B50" s="19">
        <f>'תקציב החברה לפיתוח 2025'!B50</f>
        <v>2097</v>
      </c>
      <c r="C50" s="222" t="str">
        <f>'תקציב החברה לפיתוח 2025'!C50</f>
        <v>בית ספר בן גוריון</v>
      </c>
      <c r="D50" s="112">
        <f>'תקציב החברה לפיתוח 2025'!D50</f>
        <v>79000000</v>
      </c>
      <c r="E50" s="112">
        <f>'תקציב החברה לפיתוח 2025'!E50</f>
        <v>79000000</v>
      </c>
      <c r="F50" s="112">
        <f>'תקציב החברה לפיתוח 2025'!F50</f>
        <v>0</v>
      </c>
      <c r="G50" s="112">
        <f>'תקציב החברה לפיתוח 2025'!G50</f>
        <v>55912875</v>
      </c>
      <c r="H50" s="112">
        <f>'תקציב החברה לפיתוח 2025'!H50</f>
        <v>44784730</v>
      </c>
      <c r="I50" s="112">
        <f>'תקציב החברה לפיתוח 2025'!I50</f>
        <v>0</v>
      </c>
      <c r="J50" s="112">
        <f>'תקציב החברה לפיתוח 2025'!J50</f>
        <v>9449929</v>
      </c>
      <c r="K50" s="112">
        <f>'תקציב החברה לפיתוח 2025'!K50</f>
        <v>9449929</v>
      </c>
      <c r="L50" s="112">
        <f>'תקציב החברה לפיתוח 2025'!L50</f>
        <v>54234659</v>
      </c>
      <c r="M50" s="112">
        <f>'תקציב החברה לפיתוח 2025'!M50</f>
        <v>9178216</v>
      </c>
      <c r="N50" s="112">
        <f>'תקציב החברה לפיתוח 2025'!N50</f>
        <v>13087125</v>
      </c>
      <c r="O50" s="112">
        <f>'תקציב החברה לפיתוח 2025'!O50</f>
        <v>2500000</v>
      </c>
      <c r="P50" s="112">
        <f>'תקציב החברה לפיתוח 2025'!P50</f>
        <v>1678216</v>
      </c>
      <c r="Q50" s="112">
        <f>'תקציב החברה לפיתוח 2025'!Q50</f>
        <v>0</v>
      </c>
      <c r="R50" s="112">
        <f>'תקציב החברה לפיתוח 2025'!R50</f>
        <v>7500000</v>
      </c>
      <c r="S50" s="112">
        <f>'תקציב החברה לפיתוח 2025'!S50</f>
        <v>7500000</v>
      </c>
      <c r="T50" s="112">
        <f>'תקציב החברה לפיתוח 2025'!T50</f>
        <v>0</v>
      </c>
      <c r="U50" s="257">
        <f>'תקציב החברה לפיתוח 2025'!U50</f>
        <v>13087125</v>
      </c>
      <c r="V50" s="112">
        <f>'תקציב החברה לפיתוח 2025'!V50</f>
        <v>9978386</v>
      </c>
      <c r="W50" s="112">
        <f>'תקציב החברה לפיתוח 2025'!W50</f>
        <v>0</v>
      </c>
      <c r="X50" s="112">
        <f>'תקציב החברה לפיתוח 2025'!X50</f>
        <v>0</v>
      </c>
      <c r="Y50" s="112">
        <f>'תקציב החברה לפיתוח 2025'!Y50</f>
        <v>0</v>
      </c>
      <c r="Z50" s="112">
        <f>'תקציב החברה לפיתוח 2025'!Z50</f>
        <v>0</v>
      </c>
      <c r="AA50" s="112">
        <f>'תקציב החברה לפיתוח 2025'!AA50</f>
        <v>3108739</v>
      </c>
      <c r="AB50" s="207" t="str">
        <f>'תקציב החברה לפיתוח 2025'!AB50</f>
        <v>תכנון שיפוץ/הריסה ובניה מחדש של בי"ס. הריסה של 18 כיתות, ובניה של 24 כיתות,6 כיתות  ח"מ. מימון מ. החינוך תוספת הרשאה.</v>
      </c>
      <c r="AC50" s="127">
        <f>'תקציב החברה לפיתוח 2025'!AC50</f>
        <v>810000</v>
      </c>
      <c r="AD50" s="123"/>
      <c r="AE50" s="123"/>
      <c r="AF50" s="123"/>
      <c r="AG50" s="123"/>
      <c r="AH50" s="123"/>
      <c r="AI50" s="123"/>
      <c r="AJ50" s="123"/>
      <c r="AK50" s="505"/>
      <c r="AL50" s="505"/>
      <c r="AM50" s="505"/>
      <c r="AN50" s="505"/>
      <c r="AO50" s="505"/>
      <c r="AP50" s="505"/>
      <c r="AQ50" s="505"/>
      <c r="AR50" s="505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</row>
    <row r="51" spans="1:56" s="6" customFormat="1" ht="30" customHeight="1">
      <c r="A51" s="112">
        <f t="shared" si="0"/>
        <v>47</v>
      </c>
      <c r="B51" s="19">
        <f>'תקציב החברה לפיתוח 2025'!B51</f>
        <v>2099</v>
      </c>
      <c r="C51" s="222" t="str">
        <f>'תקציב החברה לפיתוח 2025'!C51</f>
        <v>סינמטק בבנין עיריה חדש</v>
      </c>
      <c r="D51" s="112">
        <f>'תקציב החברה לפיתוח 2025'!D51</f>
        <v>20860000</v>
      </c>
      <c r="E51" s="112">
        <f>'תקציב החברה לפיתוח 2025'!E51</f>
        <v>20860000</v>
      </c>
      <c r="F51" s="112">
        <f>'תקציב החברה לפיתוח 2025'!F51</f>
        <v>0</v>
      </c>
      <c r="G51" s="112">
        <f>'תקציב החברה לפיתוח 2025'!G51</f>
        <v>20860000</v>
      </c>
      <c r="H51" s="112">
        <f>'תקציב החברה לפיתוח 2025'!H51</f>
        <v>19209264</v>
      </c>
      <c r="I51" s="112">
        <f>'תקציב החברה לפיתוח 2025'!I51</f>
        <v>0</v>
      </c>
      <c r="J51" s="112">
        <f>'תקציב החברה לפיתוח 2025'!J51</f>
        <v>650483</v>
      </c>
      <c r="K51" s="112">
        <f>'תקציב החברה לפיתוח 2025'!K51</f>
        <v>650483</v>
      </c>
      <c r="L51" s="112">
        <f>'תקציב החברה לפיתוח 2025'!L51</f>
        <v>19859747</v>
      </c>
      <c r="M51" s="112">
        <f>'תקציב החברה לפיתוח 2025'!M51</f>
        <v>1000253</v>
      </c>
      <c r="N51" s="112">
        <f>'תקציב החברה לפיתוח 2025'!N51</f>
        <v>0</v>
      </c>
      <c r="O51" s="112">
        <f>'תקציב החברה לפיתוח 2025'!O51</f>
        <v>0</v>
      </c>
      <c r="P51" s="112">
        <f>'תקציב החברה לפיתוח 2025'!P51</f>
        <v>1000253</v>
      </c>
      <c r="Q51" s="112">
        <f>'תקציב החברה לפיתוח 2025'!Q51</f>
        <v>0</v>
      </c>
      <c r="R51" s="112">
        <f>'תקציב החברה לפיתוח 2025'!R51</f>
        <v>0</v>
      </c>
      <c r="S51" s="112">
        <f>'תקציב החברה לפיתוח 2025'!S51</f>
        <v>0</v>
      </c>
      <c r="T51" s="112">
        <f>'תקציב החברה לפיתוח 2025'!T51</f>
        <v>0</v>
      </c>
      <c r="U51" s="257">
        <f>'תקציב החברה לפיתוח 2025'!U51</f>
        <v>0</v>
      </c>
      <c r="V51" s="112">
        <f>'תקציב החברה לפיתוח 2025'!V51</f>
        <v>0</v>
      </c>
      <c r="W51" s="112">
        <f>'תקציב החברה לפיתוח 2025'!W51</f>
        <v>0</v>
      </c>
      <c r="X51" s="112">
        <f>'תקציב החברה לפיתוח 2025'!X51</f>
        <v>0</v>
      </c>
      <c r="Y51" s="112">
        <f>'תקציב החברה לפיתוח 2025'!Y51</f>
        <v>0</v>
      </c>
      <c r="Z51" s="112">
        <f>'תקציב החברה לפיתוח 2025'!Z51</f>
        <v>0</v>
      </c>
      <c r="AA51" s="127">
        <f>'תקציב החברה לפיתוח 2025'!AA51</f>
        <v>0</v>
      </c>
      <c r="AB51" s="222" t="str">
        <f>'תקציב החברה לפיתוח 2025'!AB51</f>
        <v>הכשרת סינמטק בבניין העיריה החדש. מימון מ. הפיס.</v>
      </c>
      <c r="AC51" s="127">
        <f>'תקציב החברה לפיתוח 2025'!AC51</f>
        <v>826000</v>
      </c>
      <c r="AD51" s="123"/>
      <c r="AE51" s="123"/>
      <c r="AF51" s="123"/>
      <c r="AG51" s="123"/>
      <c r="AH51" s="123"/>
      <c r="AI51" s="123"/>
      <c r="AJ51" s="123"/>
      <c r="AK51" s="505"/>
      <c r="AL51" s="505"/>
      <c r="AM51" s="505"/>
      <c r="AN51" s="505"/>
      <c r="AO51" s="505"/>
      <c r="AP51" s="505"/>
      <c r="AQ51" s="505"/>
      <c r="AR51" s="505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</row>
    <row r="52" spans="1:56" s="5" customFormat="1" ht="60">
      <c r="A52" s="112">
        <f t="shared" si="0"/>
        <v>48</v>
      </c>
      <c r="B52" s="19">
        <f>'תקציב החברה לפיתוח 2025'!B52</f>
        <v>2101</v>
      </c>
      <c r="C52" s="222" t="str">
        <f>'תקציב החברה לפיתוח 2025'!C52</f>
        <v xml:space="preserve">מעון לאנשים עם מוגבלויות - ביד התשעה </v>
      </c>
      <c r="D52" s="112">
        <f>'תקציב החברה לפיתוח 2025'!D52</f>
        <v>24200000</v>
      </c>
      <c r="E52" s="112">
        <f>'תקציב החברה לפיתוח 2025'!E52</f>
        <v>24200000</v>
      </c>
      <c r="F52" s="112">
        <f>'תקציב החברה לפיתוח 2025'!F52</f>
        <v>0</v>
      </c>
      <c r="G52" s="112">
        <f>'תקציב החברה לפיתוח 2025'!G52</f>
        <v>9000000</v>
      </c>
      <c r="H52" s="112">
        <f>'תקציב החברה לפיתוח 2025'!H52</f>
        <v>8486183</v>
      </c>
      <c r="I52" s="112">
        <f>'תקציב החברה לפיתוח 2025'!I52</f>
        <v>0</v>
      </c>
      <c r="J52" s="112">
        <f>'תקציב החברה לפיתוח 2025'!J52</f>
        <v>387993</v>
      </c>
      <c r="K52" s="112">
        <f>'תקציב החברה לפיתוח 2025'!K52</f>
        <v>387993</v>
      </c>
      <c r="L52" s="112">
        <f>'תקציב החברה לפיתוח 2025'!L52</f>
        <v>8874176</v>
      </c>
      <c r="M52" s="112">
        <f>'תקציב החברה לפיתוח 2025'!M52</f>
        <v>6325824</v>
      </c>
      <c r="N52" s="112">
        <f>'תקציב החברה לפיתוח 2025'!N52</f>
        <v>6500000</v>
      </c>
      <c r="O52" s="112">
        <f>'תקציב החברה לפיתוח 2025'!O52</f>
        <v>2500000</v>
      </c>
      <c r="P52" s="112">
        <f>'תקציב החברה לפיתוח 2025'!P52</f>
        <v>125824</v>
      </c>
      <c r="Q52" s="112">
        <f>'תקציב החברה לפיתוח 2025'!Q52</f>
        <v>6200000</v>
      </c>
      <c r="R52" s="112">
        <f>'תקציב החברה לפיתוח 2025'!R52</f>
        <v>0</v>
      </c>
      <c r="S52" s="112">
        <f>'תקציב החברה לפיתוח 2025'!S52</f>
        <v>6200000</v>
      </c>
      <c r="T52" s="112">
        <f>'תקציב החברה לפיתוח 2025'!T52</f>
        <v>0</v>
      </c>
      <c r="U52" s="257">
        <f>'תקציב החברה לפיתוח 2025'!U52</f>
        <v>6500000</v>
      </c>
      <c r="V52" s="112">
        <f>'תקציב החברה לפיתוח 2025'!V52</f>
        <v>6500000</v>
      </c>
      <c r="W52" s="112">
        <f>'תקציב החברה לפיתוח 2025'!W52</f>
        <v>0</v>
      </c>
      <c r="X52" s="112">
        <f>'תקציב החברה לפיתוח 2025'!X52</f>
        <v>0</v>
      </c>
      <c r="Y52" s="112">
        <f>'תקציב החברה לפיתוח 2025'!Y52</f>
        <v>0</v>
      </c>
      <c r="Z52" s="112">
        <f>'תקציב החברה לפיתוח 2025'!Z52</f>
        <v>0</v>
      </c>
      <c r="AA52" s="112">
        <f>'תקציב החברה לפיתוח 2025'!AA52</f>
        <v>0</v>
      </c>
      <c r="AB52" s="222" t="str">
        <f>'תקציב החברה לפיתוח 2025'!AB52</f>
        <v>הקמת מעון לאנשים עם מוגבלויות ברחוב הר סיני שכונת יד התשעה. כולל הצטיידות . מימון קרן שלם והמוסד לביטוח לאומי.</v>
      </c>
      <c r="AC52" s="127">
        <f>'תקציב החברה לפיתוח 2025'!AC52</f>
        <v>840000</v>
      </c>
      <c r="AD52" s="123"/>
      <c r="AE52" s="123"/>
      <c r="AF52" s="123"/>
      <c r="AG52" s="123"/>
      <c r="AH52" s="123"/>
      <c r="AI52" s="123"/>
      <c r="AJ52" s="123"/>
      <c r="AK52" s="505"/>
      <c r="AL52" s="505"/>
      <c r="AM52" s="505"/>
      <c r="AN52" s="505"/>
      <c r="AO52" s="505"/>
      <c r="AP52" s="505"/>
      <c r="AQ52" s="505"/>
      <c r="AR52" s="505"/>
      <c r="AS52" s="123"/>
      <c r="AT52" s="123"/>
      <c r="AU52" s="123"/>
      <c r="AV52" s="123"/>
      <c r="AW52" s="123"/>
      <c r="AX52" s="123"/>
      <c r="AY52" s="123"/>
      <c r="AZ52" s="126"/>
      <c r="BA52" s="126"/>
      <c r="BB52" s="126"/>
      <c r="BC52" s="126"/>
      <c r="BD52" s="126"/>
    </row>
    <row r="53" spans="1:56" s="5" customFormat="1" ht="30" customHeight="1">
      <c r="A53" s="112">
        <f t="shared" si="0"/>
        <v>49</v>
      </c>
      <c r="B53" s="19">
        <f>'תקציב החברה לפיתוח 2025'!B53</f>
        <v>2106</v>
      </c>
      <c r="C53" s="202" t="str">
        <f>'תקציב החברה לפיתוח 2025'!C53</f>
        <v>אוצר הצמחים ,הראשונים ואבן אודם</v>
      </c>
      <c r="D53" s="112">
        <f>'תקציב החברה לפיתוח 2025'!D53</f>
        <v>15000000</v>
      </c>
      <c r="E53" s="112">
        <f>'תקציב החברה לפיתוח 2025'!E53</f>
        <v>15000000</v>
      </c>
      <c r="F53" s="112">
        <f>'תקציב החברה לפיתוח 2025'!F53</f>
        <v>0</v>
      </c>
      <c r="G53" s="112">
        <f>'תקציב החברה לפיתוח 2025'!G53</f>
        <v>4500000</v>
      </c>
      <c r="H53" s="112">
        <f>'תקציב החברה לפיתוח 2025'!H53</f>
        <v>2372361</v>
      </c>
      <c r="I53" s="112">
        <f>'תקציב החברה לפיתוח 2025'!I53</f>
        <v>0</v>
      </c>
      <c r="J53" s="112">
        <f>'תקציב החברה לפיתוח 2025'!J53</f>
        <v>1394548</v>
      </c>
      <c r="K53" s="112">
        <f>'תקציב החברה לפיתוח 2025'!K53</f>
        <v>1394548</v>
      </c>
      <c r="L53" s="112">
        <f>'תקציב החברה לפיתוח 2025'!L53</f>
        <v>3766909</v>
      </c>
      <c r="M53" s="112">
        <f>'תקציב החברה לפיתוח 2025'!M53</f>
        <v>733091</v>
      </c>
      <c r="N53" s="112">
        <f>'תקציב החברה לפיתוח 2025'!N53</f>
        <v>0</v>
      </c>
      <c r="O53" s="112">
        <f>'תקציב החברה לפיתוח 2025'!O53</f>
        <v>10500000</v>
      </c>
      <c r="P53" s="112">
        <f>'תקציב החברה לפיתוח 2025'!P53</f>
        <v>733091</v>
      </c>
      <c r="Q53" s="112">
        <f>'תקציב החברה לפיתוח 2025'!Q53</f>
        <v>0</v>
      </c>
      <c r="R53" s="112">
        <f>'תקציב החברה לפיתוח 2025'!R53</f>
        <v>0</v>
      </c>
      <c r="S53" s="112">
        <f>'תקציב החברה לפיתוח 2025'!S53</f>
        <v>0</v>
      </c>
      <c r="T53" s="112">
        <f>'תקציב החברה לפיתוח 2025'!T53</f>
        <v>0</v>
      </c>
      <c r="U53" s="257">
        <f>'תקציב החברה לפיתוח 2025'!U53</f>
        <v>0</v>
      </c>
      <c r="V53" s="112">
        <f>'תקציב החברה לפיתוח 2025'!V53</f>
        <v>0</v>
      </c>
      <c r="W53" s="112">
        <f>'תקציב החברה לפיתוח 2025'!W53</f>
        <v>0</v>
      </c>
      <c r="X53" s="112">
        <f>'תקציב החברה לפיתוח 2025'!X53</f>
        <v>0</v>
      </c>
      <c r="Y53" s="112">
        <f>'תקציב החברה לפיתוח 2025'!Y53</f>
        <v>0</v>
      </c>
      <c r="Z53" s="112">
        <f>'תקציב החברה לפיתוח 2025'!Z53</f>
        <v>0</v>
      </c>
      <c r="AA53" s="127">
        <f>'תקציב החברה לפיתוח 2025'!AA53</f>
        <v>0</v>
      </c>
      <c r="AB53" s="207" t="str">
        <f>'תקציב החברה לפיתוח 2025'!AB53</f>
        <v>פיתוח מתחם הרחובות אוצר הצמחים, אבן אודם, הראשונים.</v>
      </c>
      <c r="AC53" s="3">
        <f>'תקציב החברה לפיתוח 2025'!AC53</f>
        <v>742000</v>
      </c>
      <c r="AD53" s="123"/>
      <c r="AE53" s="123"/>
      <c r="AF53" s="123"/>
      <c r="AG53" s="123"/>
      <c r="AH53" s="123"/>
      <c r="AI53" s="123"/>
      <c r="AJ53" s="123"/>
      <c r="AK53" s="505"/>
      <c r="AL53" s="505"/>
      <c r="AM53" s="505"/>
      <c r="AN53" s="505"/>
      <c r="AO53" s="505"/>
      <c r="AP53" s="505"/>
      <c r="AQ53" s="505"/>
      <c r="AR53" s="505"/>
      <c r="AS53" s="123"/>
      <c r="AT53" s="123"/>
      <c r="AU53" s="123"/>
      <c r="AV53" s="123"/>
      <c r="AW53" s="123"/>
      <c r="AX53" s="123"/>
      <c r="AY53" s="123"/>
    </row>
    <row r="54" spans="1:56" s="5" customFormat="1" ht="36" customHeight="1">
      <c r="A54" s="112">
        <f t="shared" si="0"/>
        <v>50</v>
      </c>
      <c r="B54" s="19">
        <f>'תקציב החברה לפיתוח 2025'!B54</f>
        <v>2109</v>
      </c>
      <c r="C54" s="202" t="str">
        <f>'תקציב החברה לפיתוח 2025'!C54</f>
        <v>רחוב הפרטיזנים</v>
      </c>
      <c r="D54" s="112">
        <f>'תקציב החברה לפיתוח 2025'!D54</f>
        <v>7500000</v>
      </c>
      <c r="E54" s="112">
        <f>'תקציב החברה לפיתוח 2025'!E54</f>
        <v>7500000</v>
      </c>
      <c r="F54" s="112">
        <f>'תקציב החברה לפיתוח 2025'!F54</f>
        <v>0</v>
      </c>
      <c r="G54" s="112">
        <f>'תקציב החברה לפיתוח 2025'!G54</f>
        <v>850000</v>
      </c>
      <c r="H54" s="112">
        <f>'תקציב החברה לפיתוח 2025'!H54</f>
        <v>165227</v>
      </c>
      <c r="I54" s="112">
        <f>'תקציב החברה לפיתוח 2025'!I54</f>
        <v>0</v>
      </c>
      <c r="J54" s="112">
        <f>'תקציב החברה לפיתוח 2025'!J54</f>
        <v>55973</v>
      </c>
      <c r="K54" s="112">
        <f>'תקציב החברה לפיתוח 2025'!K54</f>
        <v>55973</v>
      </c>
      <c r="L54" s="112">
        <f>'תקציב החברה לפיתוח 2025'!L54</f>
        <v>221200</v>
      </c>
      <c r="M54" s="112">
        <f>'תקציב החברה לפיתוח 2025'!M54</f>
        <v>628800</v>
      </c>
      <c r="N54" s="112">
        <f>'תקציב החברה לפיתוח 2025'!N54</f>
        <v>0</v>
      </c>
      <c r="O54" s="112">
        <f>'תקציב החברה לפיתוח 2025'!O54</f>
        <v>6650000</v>
      </c>
      <c r="P54" s="112">
        <f>'תקציב החברה לפיתוח 2025'!P54</f>
        <v>628800</v>
      </c>
      <c r="Q54" s="112">
        <f>'תקציב החברה לפיתוח 2025'!Q54</f>
        <v>0</v>
      </c>
      <c r="R54" s="112">
        <f>'תקציב החברה לפיתוח 2025'!R54</f>
        <v>0</v>
      </c>
      <c r="S54" s="112">
        <f>'תקציב החברה לפיתוח 2025'!S54</f>
        <v>0</v>
      </c>
      <c r="T54" s="112">
        <f>'תקציב החברה לפיתוח 2025'!T54</f>
        <v>0</v>
      </c>
      <c r="U54" s="257">
        <f>'תקציב החברה לפיתוח 2025'!U54</f>
        <v>0</v>
      </c>
      <c r="V54" s="112">
        <f>'תקציב החברה לפיתוח 2025'!V54</f>
        <v>0</v>
      </c>
      <c r="W54" s="112">
        <f>'תקציב החברה לפיתוח 2025'!W54</f>
        <v>0</v>
      </c>
      <c r="X54" s="112">
        <f>'תקציב החברה לפיתוח 2025'!X54</f>
        <v>0</v>
      </c>
      <c r="Y54" s="112">
        <f>'תקציב החברה לפיתוח 2025'!Y54</f>
        <v>0</v>
      </c>
      <c r="Z54" s="112">
        <f>'תקציב החברה לפיתוח 2025'!Z54</f>
        <v>0</v>
      </c>
      <c r="AA54" s="127">
        <f>'תקציב החברה לפיתוח 2025'!AA54</f>
        <v>0</v>
      </c>
      <c r="AB54" s="202" t="str">
        <f>'תקציב החברה לפיתוח 2025'!AB54</f>
        <v xml:space="preserve">תכנון פיתוח רחוב הפרטיזנים. מדרכה מזרחית/דרומית, עבו' ניקוז. </v>
      </c>
      <c r="AC54" s="3">
        <f>'תקציב החברה לפיתוח 2025'!AC54</f>
        <v>742000</v>
      </c>
      <c r="AD54" s="123"/>
      <c r="AE54" s="123"/>
      <c r="AF54" s="123"/>
      <c r="AG54" s="123"/>
      <c r="AH54" s="123"/>
      <c r="AI54" s="123"/>
      <c r="AJ54" s="123"/>
      <c r="AK54" s="505"/>
      <c r="AL54" s="505"/>
      <c r="AM54" s="505"/>
      <c r="AN54" s="505"/>
      <c r="AO54" s="505"/>
      <c r="AP54" s="505"/>
      <c r="AQ54" s="505"/>
      <c r="AR54" s="505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</row>
    <row r="55" spans="1:56" s="148" customFormat="1" ht="45">
      <c r="A55" s="112">
        <f t="shared" si="0"/>
        <v>51</v>
      </c>
      <c r="B55" s="19">
        <f>'תקציב החברה לפיתוח 2025'!B55</f>
        <v>2111</v>
      </c>
      <c r="C55" s="202" t="str">
        <f>'תקציב החברה לפיתוח 2025'!C55</f>
        <v>הר מירון בר כוכבא הר' 2266</v>
      </c>
      <c r="D55" s="112">
        <f>'תקציב החברה לפיתוח 2025'!D55</f>
        <v>15200000</v>
      </c>
      <c r="E55" s="112">
        <f>'תקציב החברה לפיתוח 2025'!E55</f>
        <v>15200000</v>
      </c>
      <c r="F55" s="112">
        <f>'תקציב החברה לפיתוח 2025'!F55</f>
        <v>0</v>
      </c>
      <c r="G55" s="112">
        <f>'תקציב החברה לפיתוח 2025'!G55</f>
        <v>0</v>
      </c>
      <c r="H55" s="112">
        <f>'תקציב החברה לפיתוח 2025'!H55</f>
        <v>0</v>
      </c>
      <c r="I55" s="112">
        <f>'תקציב החברה לפיתוח 2025'!I55</f>
        <v>0</v>
      </c>
      <c r="J55" s="112">
        <f>'תקציב החברה לפיתוח 2025'!J55</f>
        <v>0</v>
      </c>
      <c r="K55" s="112">
        <f>'תקציב החברה לפיתוח 2025'!K55</f>
        <v>0</v>
      </c>
      <c r="L55" s="112">
        <f>'תקציב החברה לפיתוח 2025'!L55</f>
        <v>0</v>
      </c>
      <c r="M55" s="112">
        <f>'תקציב החברה לפיתוח 2025'!M55</f>
        <v>0</v>
      </c>
      <c r="N55" s="112">
        <f>'תקציב החברה לפיתוח 2025'!N55</f>
        <v>1500000</v>
      </c>
      <c r="O55" s="112">
        <f>'תקציב החברה לפיתוח 2025'!O55</f>
        <v>13700000</v>
      </c>
      <c r="P55" s="112">
        <f>'תקציב החברה לפיתוח 2025'!P55</f>
        <v>0</v>
      </c>
      <c r="Q55" s="112">
        <f>'תקציב החברה לפיתוח 2025'!Q55</f>
        <v>0</v>
      </c>
      <c r="R55" s="112">
        <f>'תקציב החברה לפיתוח 2025'!R55</f>
        <v>0</v>
      </c>
      <c r="S55" s="112">
        <f>'תקציב החברה לפיתוח 2025'!S55</f>
        <v>0</v>
      </c>
      <c r="T55" s="112">
        <f>'תקציב החברה לפיתוח 2025'!T55</f>
        <v>0</v>
      </c>
      <c r="U55" s="257">
        <f>'תקציב החברה לפיתוח 2025'!U55</f>
        <v>1500000</v>
      </c>
      <c r="V55" s="112">
        <f>'תקציב החברה לפיתוח 2025'!V55</f>
        <v>1500000</v>
      </c>
      <c r="W55" s="112">
        <f>'תקציב החברה לפיתוח 2025'!W55</f>
        <v>0</v>
      </c>
      <c r="X55" s="112">
        <f>'תקציב החברה לפיתוח 2025'!X55</f>
        <v>0</v>
      </c>
      <c r="Y55" s="112">
        <f>'תקציב החברה לפיתוח 2025'!Y55</f>
        <v>0</v>
      </c>
      <c r="Z55" s="112">
        <f>'תקציב החברה לפיתוח 2025'!Z55</f>
        <v>0</v>
      </c>
      <c r="AA55" s="127">
        <f>'תקציב החברה לפיתוח 2025'!AA55</f>
        <v>0</v>
      </c>
      <c r="AB55" s="202" t="str">
        <f>'תקציב החברה לפיתוח 2025'!AB55</f>
        <v xml:space="preserve">תכנון פיתוח הרחובות הר מירון בר כוכבא ("הגפן") בעקבות אישור תוכנית התחדשות עירונית. </v>
      </c>
      <c r="AC55" s="3">
        <f>'תקציב החברה לפיתוח 2025'!AC55</f>
        <v>742000</v>
      </c>
      <c r="AD55" s="123"/>
      <c r="AE55" s="123"/>
      <c r="AF55" s="123"/>
      <c r="AG55" s="123"/>
      <c r="AH55" s="123"/>
      <c r="AI55" s="123"/>
      <c r="AJ55" s="123"/>
      <c r="AK55" s="505"/>
      <c r="AL55" s="505"/>
      <c r="AM55" s="505"/>
      <c r="AN55" s="505"/>
      <c r="AO55" s="505"/>
      <c r="AP55" s="505"/>
      <c r="AQ55" s="505"/>
      <c r="AR55" s="505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</row>
    <row r="56" spans="1:56" s="5" customFormat="1" ht="75">
      <c r="A56" s="112">
        <f t="shared" si="0"/>
        <v>52</v>
      </c>
      <c r="B56" s="19">
        <f>'תקציב החברה לפיתוח 2025'!B56</f>
        <v>2115</v>
      </c>
      <c r="C56" s="202" t="str">
        <f>'תקציב החברה לפיתוח 2025'!C56</f>
        <v>תוכנית מתאר איזור התעסוקה הר/2440</v>
      </c>
      <c r="D56" s="112">
        <f>'תקציב החברה לפיתוח 2025'!D56</f>
        <v>4700000</v>
      </c>
      <c r="E56" s="112">
        <f>'תקציב החברה לפיתוח 2025'!E56</f>
        <v>3700000</v>
      </c>
      <c r="F56" s="112">
        <f>'תקציב החברה לפיתוח 2025'!F56</f>
        <v>1000000</v>
      </c>
      <c r="G56" s="112">
        <f>'תקציב החברה לפיתוח 2025'!G56</f>
        <v>2600000</v>
      </c>
      <c r="H56" s="112">
        <f>'תקציב החברה לפיתוח 2025'!H56</f>
        <v>2581220</v>
      </c>
      <c r="I56" s="112">
        <f>'תקציב החברה לפיתוח 2025'!I56</f>
        <v>0</v>
      </c>
      <c r="J56" s="112">
        <f>'תקציב החברה לפיתוח 2025'!J56</f>
        <v>13880</v>
      </c>
      <c r="K56" s="112">
        <f>'תקציב החברה לפיתוח 2025'!K56</f>
        <v>13880</v>
      </c>
      <c r="L56" s="112">
        <f>'תקציב החברה לפיתוח 2025'!L56</f>
        <v>2595100</v>
      </c>
      <c r="M56" s="112">
        <f>'תקציב החברה לפיתוח 2025'!M56</f>
        <v>804900</v>
      </c>
      <c r="N56" s="112">
        <f>'תקציב החברה לפיתוח 2025'!N56</f>
        <v>300000</v>
      </c>
      <c r="O56" s="112">
        <f>'תקציב החברה לפיתוח 2025'!O56</f>
        <v>1000000</v>
      </c>
      <c r="P56" s="112">
        <f>'תקציב החברה לפיתוח 2025'!P56</f>
        <v>4900</v>
      </c>
      <c r="Q56" s="112">
        <f>'תקציב החברה לפיתוח 2025'!Q56</f>
        <v>800000</v>
      </c>
      <c r="R56" s="112">
        <f>'תקציב החברה לפיתוח 2025'!R56</f>
        <v>0</v>
      </c>
      <c r="S56" s="112">
        <f>'תקציב החברה לפיתוח 2025'!S56</f>
        <v>800000</v>
      </c>
      <c r="T56" s="112">
        <f>'תקציב החברה לפיתוח 2025'!T56</f>
        <v>0</v>
      </c>
      <c r="U56" s="257">
        <f>'תקציב החברה לפיתוח 2025'!U56</f>
        <v>300000</v>
      </c>
      <c r="V56" s="112">
        <f>'תקציב החברה לפיתוח 2025'!V56</f>
        <v>300000</v>
      </c>
      <c r="W56" s="112">
        <f>'תקציב החברה לפיתוח 2025'!W56</f>
        <v>0</v>
      </c>
      <c r="X56" s="112">
        <f>'תקציב החברה לפיתוח 2025'!X56</f>
        <v>0</v>
      </c>
      <c r="Y56" s="112">
        <f>'תקציב החברה לפיתוח 2025'!Y56</f>
        <v>0</v>
      </c>
      <c r="Z56" s="112">
        <f>'תקציב החברה לפיתוח 2025'!Z56</f>
        <v>0</v>
      </c>
      <c r="AA56" s="127">
        <f>'תקציב החברה לפיתוח 2025'!AA56</f>
        <v>0</v>
      </c>
      <c r="AB56" s="202" t="str">
        <f>'תקציב החברה לפיתוח 2025'!AB56</f>
        <v>הפיכת תוכ. אסטרטגית  לתוכ.  סטטוטורית, לתוכ. מתאר בועדה המחוזית בהתאם ליו"ר הועדה המחוזית וליווי מימושה של התוכ. שקיבלה תוקף.</v>
      </c>
      <c r="AC56" s="3">
        <f>'תקציב החברה לפיתוח 2025'!AC56</f>
        <v>732000</v>
      </c>
      <c r="AD56" s="123"/>
      <c r="AE56" s="123"/>
      <c r="AF56" s="123"/>
      <c r="AG56" s="123"/>
      <c r="AH56" s="123"/>
      <c r="AI56" s="123"/>
      <c r="AJ56" s="123"/>
      <c r="AK56" s="505"/>
      <c r="AL56" s="505"/>
      <c r="AM56" s="505"/>
      <c r="AN56" s="505"/>
      <c r="AO56" s="505"/>
      <c r="AP56" s="505"/>
      <c r="AQ56" s="505"/>
      <c r="AR56" s="505"/>
      <c r="AS56" s="123"/>
      <c r="AT56" s="123"/>
      <c r="AU56" s="123"/>
      <c r="AV56" s="123"/>
      <c r="AW56" s="123"/>
      <c r="AX56" s="123"/>
      <c r="AY56" s="123"/>
    </row>
    <row r="57" spans="1:56" s="5" customFormat="1" ht="45">
      <c r="A57" s="112">
        <f t="shared" si="0"/>
        <v>53</v>
      </c>
      <c r="B57" s="19">
        <f>'תקציב החברה לפיתוח 2025'!B57</f>
        <v>2118</v>
      </c>
      <c r="C57" s="202" t="str">
        <f>'תקציב החברה לפיתוח 2025'!C57</f>
        <v>שצ"פ דליה רביקוביץ בשכונת אלתרמן (הר/1920)</v>
      </c>
      <c r="D57" s="112">
        <f>'תקציב החברה לפיתוח 2025'!D57</f>
        <v>2600000</v>
      </c>
      <c r="E57" s="112">
        <f>'תקציב החברה לפיתוח 2025'!E57</f>
        <v>2600000</v>
      </c>
      <c r="F57" s="112">
        <f>'תקציב החברה לפיתוח 2025'!F57</f>
        <v>0</v>
      </c>
      <c r="G57" s="112">
        <f>'תקציב החברה לפיתוח 2025'!G57</f>
        <v>2600000</v>
      </c>
      <c r="H57" s="112">
        <f>'תקציב החברה לפיתוח 2025'!H57</f>
        <v>2230961</v>
      </c>
      <c r="I57" s="112">
        <f>'תקציב החברה לפיתוח 2025'!I57</f>
        <v>0</v>
      </c>
      <c r="J57" s="112">
        <f>'תקציב החברה לפיתוח 2025'!J57</f>
        <v>64143</v>
      </c>
      <c r="K57" s="112">
        <f>'תקציב החברה לפיתוח 2025'!K57</f>
        <v>64143</v>
      </c>
      <c r="L57" s="112">
        <f>'תקציב החברה לפיתוח 2025'!L57</f>
        <v>2295104</v>
      </c>
      <c r="M57" s="112">
        <f>'תקציב החברה לפיתוח 2025'!M57</f>
        <v>304896</v>
      </c>
      <c r="N57" s="112">
        <f>'תקציב החברה לפיתוח 2025'!N57</f>
        <v>0</v>
      </c>
      <c r="O57" s="112">
        <f>'תקציב החברה לפיתוח 2025'!O57</f>
        <v>0</v>
      </c>
      <c r="P57" s="112">
        <f>'תקציב החברה לפיתוח 2025'!P57</f>
        <v>304896</v>
      </c>
      <c r="Q57" s="112">
        <f>'תקציב החברה לפיתוח 2025'!Q57</f>
        <v>0</v>
      </c>
      <c r="R57" s="112">
        <f>'תקציב החברה לפיתוח 2025'!R57</f>
        <v>0</v>
      </c>
      <c r="S57" s="112">
        <f>'תקציב החברה לפיתוח 2025'!S57</f>
        <v>0</v>
      </c>
      <c r="T57" s="112">
        <f>'תקציב החברה לפיתוח 2025'!T57</f>
        <v>0</v>
      </c>
      <c r="U57" s="257">
        <f>'תקציב החברה לפיתוח 2025'!U57</f>
        <v>0</v>
      </c>
      <c r="V57" s="112">
        <f>'תקציב החברה לפיתוח 2025'!V57</f>
        <v>0</v>
      </c>
      <c r="W57" s="112">
        <f>'תקציב החברה לפיתוח 2025'!W57</f>
        <v>0</v>
      </c>
      <c r="X57" s="112">
        <f>'תקציב החברה לפיתוח 2025'!X57</f>
        <v>0</v>
      </c>
      <c r="Y57" s="112">
        <f>'תקציב החברה לפיתוח 2025'!Y57</f>
        <v>0</v>
      </c>
      <c r="Z57" s="112">
        <f>'תקציב החברה לפיתוח 2025'!Z57</f>
        <v>0</v>
      </c>
      <c r="AA57" s="127">
        <f>'תקציב החברה לפיתוח 2025'!AA57</f>
        <v>0</v>
      </c>
      <c r="AB57" s="203" t="str">
        <f>'תקציב החברה לפיתוח 2025'!AB57</f>
        <v xml:space="preserve">ביצוע השלמת שצ"פ בקטע רח' דליה רביקוביץ פינת אסתר רהב. </v>
      </c>
      <c r="AC57" s="3">
        <f>'תקציב החברה לפיתוח 2025'!AC57</f>
        <v>746000</v>
      </c>
      <c r="AD57" s="123"/>
      <c r="AE57" s="123"/>
      <c r="AF57" s="123"/>
      <c r="AG57" s="123"/>
      <c r="AH57" s="123"/>
      <c r="AI57" s="123"/>
      <c r="AJ57" s="123"/>
      <c r="AK57" s="505"/>
      <c r="AL57" s="505"/>
      <c r="AM57" s="505"/>
      <c r="AN57" s="505"/>
      <c r="AO57" s="505"/>
      <c r="AP57" s="505"/>
      <c r="AQ57" s="505"/>
      <c r="AR57" s="505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</row>
    <row r="58" spans="1:56" s="5" customFormat="1" ht="45">
      <c r="A58" s="112">
        <f t="shared" si="0"/>
        <v>54</v>
      </c>
      <c r="B58" s="19">
        <f>'תקציב החברה לפיתוח 2025'!B58</f>
        <v>2119</v>
      </c>
      <c r="C58" s="202" t="str">
        <f>'תקציב החברה לפיתוח 2025'!C58</f>
        <v>שביל מתחם העצמאות הרב גורן הבנים</v>
      </c>
      <c r="D58" s="112">
        <f>'תקציב החברה לפיתוח 2025'!D58</f>
        <v>8000000</v>
      </c>
      <c r="E58" s="112">
        <f>'תקציב החברה לפיתוח 2025'!E58</f>
        <v>6000000</v>
      </c>
      <c r="F58" s="112">
        <f>'תקציב החברה לפיתוח 2025'!F58</f>
        <v>2000000</v>
      </c>
      <c r="G58" s="112">
        <f>'תקציב החברה לפיתוח 2025'!G58</f>
        <v>6000000</v>
      </c>
      <c r="H58" s="112">
        <f>'תקציב החברה לפיתוח 2025'!H58</f>
        <v>3709565</v>
      </c>
      <c r="I58" s="112">
        <f>'תקציב החברה לפיתוח 2025'!I58</f>
        <v>0</v>
      </c>
      <c r="J58" s="112">
        <f>'תקציב החברה לפיתוח 2025'!J58</f>
        <v>240449</v>
      </c>
      <c r="K58" s="112">
        <f>'תקציב החברה לפיתוח 2025'!K58</f>
        <v>240449</v>
      </c>
      <c r="L58" s="112">
        <f>'תקציב החברה לפיתוח 2025'!L58</f>
        <v>3950014</v>
      </c>
      <c r="M58" s="112">
        <f>'תקציב החברה לפיתוח 2025'!M58</f>
        <v>2049986</v>
      </c>
      <c r="N58" s="112">
        <f>'תקציב החברה לפיתוח 2025'!N58</f>
        <v>2000000</v>
      </c>
      <c r="O58" s="112">
        <f>'תקציב החברה לפיתוח 2025'!O58</f>
        <v>0</v>
      </c>
      <c r="P58" s="112">
        <f>'תקציב החברה לפיתוח 2025'!P58</f>
        <v>2049986</v>
      </c>
      <c r="Q58" s="112">
        <f>'תקציב החברה לפיתוח 2025'!Q58</f>
        <v>0</v>
      </c>
      <c r="R58" s="112">
        <f>'תקציב החברה לפיתוח 2025'!R58</f>
        <v>0</v>
      </c>
      <c r="S58" s="112">
        <f>'תקציב החברה לפיתוח 2025'!S58</f>
        <v>0</v>
      </c>
      <c r="T58" s="112">
        <f>'תקציב החברה לפיתוח 2025'!T58</f>
        <v>0</v>
      </c>
      <c r="U58" s="257">
        <f>'תקציב החברה לפיתוח 2025'!U58</f>
        <v>2000000</v>
      </c>
      <c r="V58" s="112">
        <f>'תקציב החברה לפיתוח 2025'!V58</f>
        <v>2000000</v>
      </c>
      <c r="W58" s="112">
        <f>'תקציב החברה לפיתוח 2025'!W58</f>
        <v>0</v>
      </c>
      <c r="X58" s="112">
        <f>'תקציב החברה לפיתוח 2025'!X58</f>
        <v>0</v>
      </c>
      <c r="Y58" s="112">
        <f>'תקציב החברה לפיתוח 2025'!Y58</f>
        <v>0</v>
      </c>
      <c r="Z58" s="112">
        <f>'תקציב החברה לפיתוח 2025'!Z58</f>
        <v>0</v>
      </c>
      <c r="AA58" s="127">
        <f>'תקציב החברה לפיתוח 2025'!AA58</f>
        <v>0</v>
      </c>
      <c r="AB58" s="202" t="str">
        <f>'תקציב החברה לפיתוח 2025'!AB58</f>
        <v>עבודות פיתוח מערך שבילים בין הרחובות העצמאות הרב גורן ורחוב הבנים.</v>
      </c>
      <c r="AC58" s="3">
        <f>'תקציב החברה לפיתוח 2025'!AC58</f>
        <v>742000</v>
      </c>
      <c r="AD58" s="123"/>
      <c r="AE58" s="123"/>
      <c r="AF58" s="123"/>
      <c r="AG58" s="123"/>
      <c r="AH58" s="123"/>
      <c r="AI58" s="123"/>
      <c r="AJ58" s="123"/>
      <c r="AK58" s="505"/>
      <c r="AL58" s="505"/>
      <c r="AM58" s="505"/>
      <c r="AN58" s="505"/>
      <c r="AO58" s="505"/>
      <c r="AP58" s="505"/>
      <c r="AQ58" s="505"/>
      <c r="AR58" s="505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</row>
    <row r="59" spans="1:56" s="5" customFormat="1" ht="45">
      <c r="A59" s="112">
        <f t="shared" si="0"/>
        <v>55</v>
      </c>
      <c r="B59" s="19">
        <f>'תקציב החברה לפיתוח 2025'!B59</f>
        <v>2127</v>
      </c>
      <c r="C59" s="202" t="str">
        <f>'תקציב החברה לפיתוח 2025'!C59</f>
        <v>הגנה על מצוקי הים</v>
      </c>
      <c r="D59" s="112">
        <f>'תקציב החברה לפיתוח 2025'!D59</f>
        <v>2259000</v>
      </c>
      <c r="E59" s="112">
        <f>'תקציב החברה לפיתוח 2025'!E59</f>
        <v>2259000</v>
      </c>
      <c r="F59" s="112">
        <f>'תקציב החברה לפיתוח 2025'!F59</f>
        <v>0</v>
      </c>
      <c r="G59" s="112">
        <f>'תקציב החברה לפיתוח 2025'!G59</f>
        <v>1659000</v>
      </c>
      <c r="H59" s="112">
        <f>'תקציב החברה לפיתוח 2025'!H59</f>
        <v>762628</v>
      </c>
      <c r="I59" s="112">
        <f>'תקציב החברה לפיתוח 2025'!I59</f>
        <v>0</v>
      </c>
      <c r="J59" s="112">
        <f>'תקציב החברה לפיתוח 2025'!J59</f>
        <v>530575</v>
      </c>
      <c r="K59" s="112">
        <f>'תקציב החברה לפיתוח 2025'!K59</f>
        <v>530575</v>
      </c>
      <c r="L59" s="112">
        <f>'תקציב החברה לפיתוח 2025'!L59</f>
        <v>1293203</v>
      </c>
      <c r="M59" s="112">
        <f>'תקציב החברה לפיתוח 2025'!M59</f>
        <v>365797</v>
      </c>
      <c r="N59" s="112">
        <f>'תקציב החברה לפיתוח 2025'!N59</f>
        <v>300000</v>
      </c>
      <c r="O59" s="112">
        <f>'תקציב החברה לפיתוח 2025'!O59</f>
        <v>300000</v>
      </c>
      <c r="P59" s="112">
        <f>'תקציב החברה לפיתוח 2025'!P59</f>
        <v>365797</v>
      </c>
      <c r="Q59" s="112">
        <f>'תקציב החברה לפיתוח 2025'!Q59</f>
        <v>0</v>
      </c>
      <c r="R59" s="112">
        <f>'תקציב החברה לפיתוח 2025'!R59</f>
        <v>0</v>
      </c>
      <c r="S59" s="112">
        <f>'תקציב החברה לפיתוח 2025'!S59</f>
        <v>0</v>
      </c>
      <c r="T59" s="112">
        <f>'תקציב החברה לפיתוח 2025'!T59</f>
        <v>0</v>
      </c>
      <c r="U59" s="257">
        <f>'תקציב החברה לפיתוח 2025'!U59</f>
        <v>300000</v>
      </c>
      <c r="V59" s="112">
        <f>'תקציב החברה לפיתוח 2025'!V59</f>
        <v>300000</v>
      </c>
      <c r="W59" s="112">
        <f>'תקציב החברה לפיתוח 2025'!W59</f>
        <v>0</v>
      </c>
      <c r="X59" s="112">
        <f>'תקציב החברה לפיתוח 2025'!X59</f>
        <v>0</v>
      </c>
      <c r="Y59" s="112">
        <f>'תקציב החברה לפיתוח 2025'!Y59</f>
        <v>0</v>
      </c>
      <c r="Z59" s="112">
        <f>'תקציב החברה לפיתוח 2025'!Z59</f>
        <v>0</v>
      </c>
      <c r="AA59" s="127">
        <f>'תקציב החברה לפיתוח 2025'!AA59</f>
        <v>0</v>
      </c>
      <c r="AB59" s="202" t="str">
        <f>'תקציב החברה לפיתוח 2025'!AB59</f>
        <v xml:space="preserve">גיבוש תוכנית פעולות לעבודות הגנה על מצוקי חופי הים . המשך תכנון. מימון מ. הפנים. </v>
      </c>
      <c r="AC59" s="3">
        <f>'תקציב החברה לפיתוח 2025'!AC59</f>
        <v>747000</v>
      </c>
      <c r="AD59" s="123"/>
      <c r="AE59" s="123"/>
      <c r="AF59" s="123"/>
      <c r="AG59" s="123"/>
      <c r="AH59" s="123"/>
      <c r="AI59" s="123"/>
      <c r="AJ59" s="123"/>
      <c r="AK59" s="505"/>
      <c r="AL59" s="505"/>
      <c r="AM59" s="505"/>
      <c r="AN59" s="505"/>
      <c r="AO59" s="505"/>
      <c r="AP59" s="505"/>
      <c r="AQ59" s="505"/>
      <c r="AR59" s="505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</row>
    <row r="60" spans="1:56" s="5" customFormat="1" ht="75">
      <c r="A60" s="112">
        <f t="shared" si="0"/>
        <v>56</v>
      </c>
      <c r="B60" s="19">
        <f>'תקציב החברה לפיתוח 2025'!B60</f>
        <v>2149</v>
      </c>
      <c r="C60" s="19" t="s">
        <v>829</v>
      </c>
      <c r="D60" s="112">
        <f>'תקציב החברה לפיתוח 2025'!D60</f>
        <v>2500000</v>
      </c>
      <c r="E60" s="112">
        <f>'תקציב החברה לפיתוח 2025'!E60</f>
        <v>2500000</v>
      </c>
      <c r="F60" s="112">
        <f>'תקציב החברה לפיתוח 2025'!F60</f>
        <v>0</v>
      </c>
      <c r="G60" s="112">
        <f>'תקציב החברה לפיתוח 2025'!G60</f>
        <v>1700000</v>
      </c>
      <c r="H60" s="112">
        <f>'תקציב החברה לפיתוח 2025'!H60</f>
        <v>1392356</v>
      </c>
      <c r="I60" s="112">
        <f>'תקציב החברה לפיתוח 2025'!I60</f>
        <v>0</v>
      </c>
      <c r="J60" s="112">
        <f>'תקציב החברה לפיתוח 2025'!J60</f>
        <v>88157</v>
      </c>
      <c r="K60" s="112">
        <f>'תקציב החברה לפיתוח 2025'!K60</f>
        <v>88157</v>
      </c>
      <c r="L60" s="112">
        <f>'תקציב החברה לפיתוח 2025'!L60</f>
        <v>1480513</v>
      </c>
      <c r="M60" s="112">
        <f>'תקציב החברה לפיתוח 2025'!M60</f>
        <v>819487</v>
      </c>
      <c r="N60" s="112">
        <f>'תקציב החברה לפיתוח 2025'!N60</f>
        <v>200000</v>
      </c>
      <c r="O60" s="112">
        <f>'תקציב החברה לפיתוח 2025'!O60</f>
        <v>0</v>
      </c>
      <c r="P60" s="112">
        <f>'תקציב החברה לפיתוח 2025'!P60</f>
        <v>219487</v>
      </c>
      <c r="Q60" s="112">
        <f>'תקציב החברה לפיתוח 2025'!Q60</f>
        <v>600000</v>
      </c>
      <c r="R60" s="112">
        <f>'תקציב החברה לפיתוח 2025'!R60</f>
        <v>0</v>
      </c>
      <c r="S60" s="112">
        <f>'תקציב החברה לפיתוח 2025'!S60</f>
        <v>600000</v>
      </c>
      <c r="T60" s="112">
        <f>'תקציב החברה לפיתוח 2025'!T60</f>
        <v>0</v>
      </c>
      <c r="U60" s="257">
        <f>'תקציב החברה לפיתוח 2025'!U60</f>
        <v>200000</v>
      </c>
      <c r="V60" s="112">
        <f>'תקציב החברה לפיתוח 2025'!V60</f>
        <v>200000</v>
      </c>
      <c r="W60" s="112">
        <f>'תקציב החברה לפיתוח 2025'!W60</f>
        <v>0</v>
      </c>
      <c r="X60" s="112">
        <f>'תקציב החברה לפיתוח 2025'!X60</f>
        <v>0</v>
      </c>
      <c r="Y60" s="112">
        <f>'תקציב החברה לפיתוח 2025'!Y60</f>
        <v>0</v>
      </c>
      <c r="Z60" s="112">
        <f>'תקציב החברה לפיתוח 2025'!Z60</f>
        <v>0</v>
      </c>
      <c r="AA60" s="127">
        <f>'תקציב החברה לפיתוח 2025'!AA60</f>
        <v>0</v>
      </c>
      <c r="AB60" s="202" t="str">
        <f>'תקציב החברה לפיתוח 2025'!AB60</f>
        <v>בדיקת התכנות לבניית מוס"ח במתחמים שונים ברחבי העיר בהתאם לצרכים העירוניים מעת לעת. 2025: כולל בדיקת היתכנות במגרשים בגליל ים ג'. עדכון שם.</v>
      </c>
      <c r="AC60" s="3">
        <f>'תקציב החברה לפיתוח 2025'!AC60</f>
        <v>810000</v>
      </c>
      <c r="AD60" s="123"/>
      <c r="AE60" s="123"/>
      <c r="AF60" s="123"/>
      <c r="AG60" s="123"/>
      <c r="AH60" s="123"/>
      <c r="AI60" s="123"/>
      <c r="AJ60" s="123"/>
      <c r="AK60" s="505"/>
      <c r="AL60" s="505"/>
      <c r="AM60" s="505"/>
      <c r="AN60" s="505"/>
      <c r="AO60" s="505"/>
      <c r="AP60" s="505"/>
      <c r="AQ60" s="505"/>
      <c r="AR60" s="505"/>
      <c r="AS60" s="123"/>
      <c r="AT60" s="123"/>
      <c r="AU60" s="123"/>
      <c r="AV60" s="123"/>
      <c r="AW60" s="123"/>
      <c r="AX60" s="123"/>
      <c r="AY60" s="123"/>
      <c r="AZ60" s="148"/>
      <c r="BA60" s="148"/>
      <c r="BB60" s="148"/>
      <c r="BC60" s="148"/>
      <c r="BD60" s="148"/>
    </row>
    <row r="61" spans="1:56" s="5" customFormat="1" ht="45">
      <c r="A61" s="112">
        <f t="shared" si="0"/>
        <v>57</v>
      </c>
      <c r="B61" s="19">
        <f>'תקציב החברה לפיתוח 2025'!B61</f>
        <v>2150</v>
      </c>
      <c r="C61" s="496" t="str">
        <f>'תקציב החברה לפיתוח 2025'!C61</f>
        <v xml:space="preserve">שצ"פים במתחם הר 1960 </v>
      </c>
      <c r="D61" s="112">
        <f>'תקציב החברה לפיתוח 2025'!D61</f>
        <v>23500000</v>
      </c>
      <c r="E61" s="112">
        <f>'תקציב החברה לפיתוח 2025'!E61</f>
        <v>23500000</v>
      </c>
      <c r="F61" s="112">
        <f>'תקציב החברה לפיתוח 2025'!F61</f>
        <v>0</v>
      </c>
      <c r="G61" s="112">
        <f>'תקציב החברה לפיתוח 2025'!G61</f>
        <v>13950000</v>
      </c>
      <c r="H61" s="112">
        <f>'תקציב החברה לפיתוח 2025'!H61</f>
        <v>11935396</v>
      </c>
      <c r="I61" s="112">
        <f>'תקציב החברה לפיתוח 2025'!I61</f>
        <v>0</v>
      </c>
      <c r="J61" s="112">
        <f>'תקציב החברה לפיתוח 2025'!J61</f>
        <v>0</v>
      </c>
      <c r="K61" s="112">
        <f>'תקציב החברה לפיתוח 2025'!K61</f>
        <v>0</v>
      </c>
      <c r="L61" s="112">
        <f>'תקציב החברה לפיתוח 2025'!L61</f>
        <v>11935396</v>
      </c>
      <c r="M61" s="112">
        <f>'תקציב החברה לפיתוח 2025'!M61</f>
        <v>2014604</v>
      </c>
      <c r="N61" s="112">
        <f>'תקציב החברה לפיתוח 2025'!N61</f>
        <v>0</v>
      </c>
      <c r="O61" s="112">
        <f>'תקציב החברה לפיתוח 2025'!O61</f>
        <v>9550000</v>
      </c>
      <c r="P61" s="112">
        <f>'תקציב החברה לפיתוח 2025'!P61</f>
        <v>2014604</v>
      </c>
      <c r="Q61" s="112">
        <f>'תקציב החברה לפיתוח 2025'!Q61</f>
        <v>0</v>
      </c>
      <c r="R61" s="112">
        <f>'תקציב החברה לפיתוח 2025'!R61</f>
        <v>0</v>
      </c>
      <c r="S61" s="112">
        <f>'תקציב החברה לפיתוח 2025'!S61</f>
        <v>0</v>
      </c>
      <c r="T61" s="112">
        <f>'תקציב החברה לפיתוח 2025'!T61</f>
        <v>0</v>
      </c>
      <c r="U61" s="257">
        <f>'תקציב החברה לפיתוח 2025'!U61</f>
        <v>0</v>
      </c>
      <c r="V61" s="112">
        <f>'תקציב החברה לפיתוח 2025'!V61</f>
        <v>0</v>
      </c>
      <c r="W61" s="112">
        <f>'תקציב החברה לפיתוח 2025'!W61</f>
        <v>0</v>
      </c>
      <c r="X61" s="112">
        <f>'תקציב החברה לפיתוח 2025'!X61</f>
        <v>0</v>
      </c>
      <c r="Y61" s="112">
        <f>'תקציב החברה לפיתוח 2025'!Y61</f>
        <v>0</v>
      </c>
      <c r="Z61" s="112">
        <f>'תקציב החברה לפיתוח 2025'!Z61</f>
        <v>0</v>
      </c>
      <c r="AA61" s="127">
        <f>'תקציב החברה לפיתוח 2025'!AA61</f>
        <v>0</v>
      </c>
      <c r="AB61" s="496" t="str">
        <f>'תקציב החברה לפיתוח 2025'!AB61</f>
        <v>ביצוע שצ"פים במתחם : מלכי יהודה (האקליפטוס), קורן,דן שומרון, דורי,משה שמיר.</v>
      </c>
      <c r="AC61" s="3">
        <f>'תקציב החברה לפיתוח 2025'!AC61</f>
        <v>746000</v>
      </c>
      <c r="AD61" s="123"/>
      <c r="AE61" s="123"/>
      <c r="AF61" s="123"/>
      <c r="AG61" s="123"/>
      <c r="AH61" s="123"/>
      <c r="AI61" s="123"/>
      <c r="AJ61" s="123"/>
      <c r="AK61" s="505"/>
      <c r="AL61" s="505"/>
      <c r="AM61" s="505"/>
      <c r="AN61" s="505"/>
      <c r="AO61" s="505"/>
      <c r="AP61" s="505"/>
      <c r="AQ61" s="505"/>
      <c r="AR61" s="505"/>
      <c r="AS61" s="123"/>
      <c r="AT61" s="123"/>
      <c r="AU61" s="123"/>
      <c r="AV61" s="123"/>
      <c r="AW61" s="123"/>
      <c r="AX61" s="123"/>
      <c r="AY61" s="123"/>
    </row>
    <row r="62" spans="1:56" s="5" customFormat="1" ht="45">
      <c r="A62" s="112">
        <f t="shared" si="0"/>
        <v>58</v>
      </c>
      <c r="B62" s="19">
        <f>'תקציב החברה לפיתוח 2025'!B62</f>
        <v>2151</v>
      </c>
      <c r="C62" s="202" t="str">
        <f>'תקציב החברה לפיתוח 2025'!C62</f>
        <v>מתחם בזק</v>
      </c>
      <c r="D62" s="112">
        <f>'תקציב החברה לפיתוח 2025'!D62</f>
        <v>54000000</v>
      </c>
      <c r="E62" s="112">
        <f>'תקציב החברה לפיתוח 2025'!E62</f>
        <v>54000000</v>
      </c>
      <c r="F62" s="112">
        <f>'תקציב החברה לפיתוח 2025'!F62</f>
        <v>0</v>
      </c>
      <c r="G62" s="112">
        <f>'תקציב החברה לפיתוח 2025'!G62</f>
        <v>9200000</v>
      </c>
      <c r="H62" s="112">
        <f>'תקציב החברה לפיתוח 2025'!H62</f>
        <v>8382338</v>
      </c>
      <c r="I62" s="112">
        <f>'תקציב החברה לפיתוח 2025'!I62</f>
        <v>0</v>
      </c>
      <c r="J62" s="112">
        <f>'תקציב החברה לפיתוח 2025'!J62</f>
        <v>816302</v>
      </c>
      <c r="K62" s="112">
        <f>'תקציב החברה לפיתוח 2025'!K62</f>
        <v>816302</v>
      </c>
      <c r="L62" s="112">
        <f>'תקציב החברה לפיתוח 2025'!L62</f>
        <v>9198640</v>
      </c>
      <c r="M62" s="112">
        <f>'תקציב החברה לפיתוח 2025'!M62</f>
        <v>6801360</v>
      </c>
      <c r="N62" s="112">
        <f>'תקציב החברה לפיתוח 2025'!N62</f>
        <v>17000000</v>
      </c>
      <c r="O62" s="112">
        <f>'תקציב החברה לפיתוח 2025'!O62</f>
        <v>21000000</v>
      </c>
      <c r="P62" s="112">
        <f>'תקציב החברה לפיתוח 2025'!P62</f>
        <v>1360</v>
      </c>
      <c r="Q62" s="112">
        <f>'תקציב החברה לפיתוח 2025'!Q62</f>
        <v>1800000</v>
      </c>
      <c r="R62" s="112">
        <f>'תקציב החברה לפיתוח 2025'!R62</f>
        <v>5000000</v>
      </c>
      <c r="S62" s="112">
        <f>'תקציב החברה לפיתוח 2025'!S62</f>
        <v>6800000</v>
      </c>
      <c r="T62" s="112">
        <f>'תקציב החברה לפיתוח 2025'!T62</f>
        <v>0</v>
      </c>
      <c r="U62" s="257">
        <f>'תקציב החברה לפיתוח 2025'!U62</f>
        <v>17000000</v>
      </c>
      <c r="V62" s="112">
        <f>'תקציב החברה לפיתוח 2025'!V62</f>
        <v>17000000</v>
      </c>
      <c r="W62" s="112">
        <f>'תקציב החברה לפיתוח 2025'!W62</f>
        <v>0</v>
      </c>
      <c r="X62" s="112">
        <f>'תקציב החברה לפיתוח 2025'!X62</f>
        <v>0</v>
      </c>
      <c r="Y62" s="112">
        <f>'תקציב החברה לפיתוח 2025'!Y62</f>
        <v>0</v>
      </c>
      <c r="Z62" s="112">
        <f>'תקציב החברה לפיתוח 2025'!Z62</f>
        <v>0</v>
      </c>
      <c r="AA62" s="127">
        <f>'תקציב החברה לפיתוח 2025'!AA62</f>
        <v>0</v>
      </c>
      <c r="AB62" s="496" t="str">
        <f>'תקציב החברה לפיתוח 2025'!AB62</f>
        <v>פיתוח מתחם "בזק" בו ייבנה בניין משרדים שבין היתר יאוכלס אגף הרווחה. כולל הריסת מבנה בזק.</v>
      </c>
      <c r="AC62" s="3">
        <f>'תקציב החברה לפיתוח 2025'!AC62</f>
        <v>742000</v>
      </c>
      <c r="AD62" s="123"/>
      <c r="AE62" s="123"/>
      <c r="AF62" s="123"/>
      <c r="AG62" s="123"/>
      <c r="AH62" s="123"/>
      <c r="AI62" s="123"/>
      <c r="AJ62" s="123"/>
      <c r="AK62" s="505"/>
      <c r="AL62" s="505"/>
      <c r="AM62" s="505"/>
      <c r="AN62" s="505"/>
      <c r="AO62" s="505"/>
      <c r="AP62" s="505"/>
      <c r="AQ62" s="505"/>
      <c r="AR62" s="505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</row>
    <row r="63" spans="1:56" s="5" customFormat="1" ht="60">
      <c r="A63" s="112">
        <f t="shared" si="0"/>
        <v>59</v>
      </c>
      <c r="B63" s="19">
        <f>'תקציב החברה לפיתוח 2025'!B63</f>
        <v>2152</v>
      </c>
      <c r="C63" s="202" t="str">
        <f>'תקציב החברה לפיתוח 2025'!C63</f>
        <v>בית ספר בן צבי</v>
      </c>
      <c r="D63" s="112">
        <f>'תקציב החברה לפיתוח 2025'!D63</f>
        <v>27600000</v>
      </c>
      <c r="E63" s="112">
        <f>'תקציב החברה לפיתוח 2025'!E63</f>
        <v>16000000</v>
      </c>
      <c r="F63" s="112">
        <f>'תקציב החברה לפיתוח 2025'!F63</f>
        <v>11600000</v>
      </c>
      <c r="G63" s="112">
        <f>'תקציב החברה לפיתוח 2025'!G63</f>
        <v>1331810</v>
      </c>
      <c r="H63" s="112">
        <f>'תקציב החברה לפיתוח 2025'!H63</f>
        <v>1320807</v>
      </c>
      <c r="I63" s="112">
        <f>'תקציב החברה לפיתוח 2025'!I63</f>
        <v>0</v>
      </c>
      <c r="J63" s="112">
        <f>'תקציב החברה לפיתוח 2025'!J63</f>
        <v>10450</v>
      </c>
      <c r="K63" s="112">
        <f>'תקציב החברה לפיתוח 2025'!K63</f>
        <v>10450</v>
      </c>
      <c r="L63" s="112">
        <f>'תקציב החברה לפיתוח 2025'!L63</f>
        <v>1331257</v>
      </c>
      <c r="M63" s="112">
        <f>'תקציב החברה לפיתוח 2025'!M63</f>
        <v>553</v>
      </c>
      <c r="N63" s="112">
        <f>'תקציב החברה לפיתוח 2025'!N63</f>
        <v>300000</v>
      </c>
      <c r="O63" s="112">
        <f>'תקציב החברה לפיתוח 2025'!O63</f>
        <v>25968190</v>
      </c>
      <c r="P63" s="112">
        <f>'תקציב החברה לפיתוח 2025'!P63</f>
        <v>553</v>
      </c>
      <c r="Q63" s="112">
        <f>'תקציב החברה לפיתוח 2025'!Q63</f>
        <v>0</v>
      </c>
      <c r="R63" s="112">
        <f>'תקציב החברה לפיתוח 2025'!R63</f>
        <v>0</v>
      </c>
      <c r="S63" s="112">
        <f>'תקציב החברה לפיתוח 2025'!S63</f>
        <v>0</v>
      </c>
      <c r="T63" s="112">
        <f>'תקציב החברה לפיתוח 2025'!T63</f>
        <v>0</v>
      </c>
      <c r="U63" s="257">
        <f>'תקציב החברה לפיתוח 2025'!U63</f>
        <v>300000</v>
      </c>
      <c r="V63" s="112">
        <f>'תקציב החברה לפיתוח 2025'!V63</f>
        <v>300000</v>
      </c>
      <c r="W63" s="112">
        <f>'תקציב החברה לפיתוח 2025'!W63</f>
        <v>0</v>
      </c>
      <c r="X63" s="112">
        <f>'תקציב החברה לפיתוח 2025'!X63</f>
        <v>0</v>
      </c>
      <c r="Y63" s="112">
        <f>'תקציב החברה לפיתוח 2025'!Y63</f>
        <v>0</v>
      </c>
      <c r="Z63" s="112">
        <f>'תקציב החברה לפיתוח 2025'!Z63</f>
        <v>0</v>
      </c>
      <c r="AA63" s="127">
        <f>'תקציב החברה לפיתוח 2025'!AA63</f>
        <v>0</v>
      </c>
      <c r="AB63" s="496" t="str">
        <f>'תקציב החברה לפיתוח 2025'!AB63</f>
        <v>הריסת מבני ספח והקמת מבנה חדש.תכנון ראשוני בי"ס בן צבי. תוספת 6 כיתות הרחבה ל - 24 כיתות. קדם מימון מ. החינוך.</v>
      </c>
      <c r="AC63" s="3">
        <f>'תקציב החברה לפיתוח 2025'!AC63</f>
        <v>810000</v>
      </c>
      <c r="AD63" s="123"/>
      <c r="AE63" s="123"/>
      <c r="AF63" s="123"/>
      <c r="AG63" s="123"/>
      <c r="AH63" s="123"/>
      <c r="AI63" s="123"/>
      <c r="AJ63" s="123"/>
      <c r="AK63" s="505"/>
      <c r="AL63" s="505"/>
      <c r="AM63" s="505"/>
      <c r="AN63" s="505"/>
      <c r="AO63" s="505"/>
      <c r="AP63" s="505"/>
      <c r="AQ63" s="505"/>
      <c r="AR63" s="505"/>
      <c r="AS63" s="123"/>
      <c r="AT63" s="123"/>
      <c r="AU63" s="123"/>
      <c r="AV63" s="123"/>
      <c r="AW63" s="123"/>
      <c r="AX63" s="123"/>
      <c r="AY63" s="123"/>
      <c r="AZ63" s="6"/>
      <c r="BA63" s="6"/>
      <c r="BB63" s="6"/>
      <c r="BC63" s="6"/>
      <c r="BD63" s="6"/>
    </row>
    <row r="64" spans="1:56" s="5" customFormat="1" ht="30" customHeight="1">
      <c r="A64" s="112">
        <f t="shared" si="0"/>
        <v>60</v>
      </c>
      <c r="B64" s="19">
        <f>'תקציב החברה לפיתוח 2025'!B64</f>
        <v>2153</v>
      </c>
      <c r="C64" s="202" t="str">
        <f>'תקציב החברה לפיתוח 2025'!C64</f>
        <v>הקמת ארנה</v>
      </c>
      <c r="D64" s="112">
        <f>'תקציב החברה לפיתוח 2025'!D64</f>
        <v>225000000</v>
      </c>
      <c r="E64" s="112">
        <f>'תקציב החברה לפיתוח 2025'!E64</f>
        <v>225000000</v>
      </c>
      <c r="F64" s="112">
        <f>'תקציב החברה לפיתוח 2025'!F64</f>
        <v>0</v>
      </c>
      <c r="G64" s="112">
        <f>'תקציב החברה לפיתוח 2025'!G64</f>
        <v>3300000</v>
      </c>
      <c r="H64" s="112">
        <f>'תקציב החברה לפיתוח 2025'!H64</f>
        <v>3279722</v>
      </c>
      <c r="I64" s="112">
        <f>'תקציב החברה לפיתוח 2025'!I64</f>
        <v>0</v>
      </c>
      <c r="J64" s="112">
        <f>'תקציב החברה לפיתוח 2025'!J64</f>
        <v>18198</v>
      </c>
      <c r="K64" s="112">
        <f>'תקציב החברה לפיתוח 2025'!K64</f>
        <v>18198</v>
      </c>
      <c r="L64" s="112">
        <f>'תקציב החברה לפיתוח 2025'!L64</f>
        <v>3297920</v>
      </c>
      <c r="M64" s="112">
        <f>'תקציב החברה לפיתוח 2025'!M64</f>
        <v>2080</v>
      </c>
      <c r="N64" s="112">
        <f>'תקציב החברה לפיתוח 2025'!N64</f>
        <v>1000000</v>
      </c>
      <c r="O64" s="112">
        <f>'תקציב החברה לפיתוח 2025'!O64</f>
        <v>220700000</v>
      </c>
      <c r="P64" s="112">
        <f>'תקציב החברה לפיתוח 2025'!P64</f>
        <v>2080</v>
      </c>
      <c r="Q64" s="112">
        <f>'תקציב החברה לפיתוח 2025'!Q64</f>
        <v>0</v>
      </c>
      <c r="R64" s="112">
        <f>'תקציב החברה לפיתוח 2025'!R64</f>
        <v>0</v>
      </c>
      <c r="S64" s="112">
        <f>'תקציב החברה לפיתוח 2025'!S64</f>
        <v>0</v>
      </c>
      <c r="T64" s="112">
        <f>'תקציב החברה לפיתוח 2025'!T64</f>
        <v>0</v>
      </c>
      <c r="U64" s="257">
        <f>'תקציב החברה לפיתוח 2025'!U64</f>
        <v>1000000</v>
      </c>
      <c r="V64" s="112">
        <f>'תקציב החברה לפיתוח 2025'!V64</f>
        <v>1000000</v>
      </c>
      <c r="W64" s="112">
        <f>'תקציב החברה לפיתוח 2025'!W64</f>
        <v>0</v>
      </c>
      <c r="X64" s="112">
        <f>'תקציב החברה לפיתוח 2025'!X64</f>
        <v>0</v>
      </c>
      <c r="Y64" s="112">
        <f>'תקציב החברה לפיתוח 2025'!Y64</f>
        <v>0</v>
      </c>
      <c r="Z64" s="112">
        <f>'תקציב החברה לפיתוח 2025'!Z64</f>
        <v>0</v>
      </c>
      <c r="AA64" s="127">
        <f>'תקציב החברה לפיתוח 2025'!AA64</f>
        <v>0</v>
      </c>
      <c r="AB64" s="496" t="str">
        <f>'תקציב החברה לפיתוח 2025'!AB64</f>
        <v>המשך תכנון ראשוני הקמת ארנה באיזור האיצטדיון.</v>
      </c>
      <c r="AC64" s="3">
        <f>'תקציב החברה לפיתוח 2025'!AC64</f>
        <v>829000</v>
      </c>
      <c r="AD64" s="123"/>
      <c r="AE64" s="123"/>
      <c r="AF64" s="123"/>
      <c r="AG64" s="123"/>
      <c r="AH64" s="123"/>
      <c r="AI64" s="123"/>
      <c r="AJ64" s="123"/>
      <c r="AK64" s="505"/>
      <c r="AL64" s="505"/>
      <c r="AM64" s="505"/>
      <c r="AN64" s="505"/>
      <c r="AO64" s="505"/>
      <c r="AP64" s="505"/>
      <c r="AQ64" s="505"/>
      <c r="AR64" s="505"/>
      <c r="AS64" s="123"/>
      <c r="AT64" s="123"/>
      <c r="AU64" s="123"/>
      <c r="AV64" s="123"/>
      <c r="AW64" s="123"/>
      <c r="AX64" s="123"/>
      <c r="AY64" s="123"/>
    </row>
    <row r="65" spans="1:56" s="5" customFormat="1" ht="54" customHeight="1">
      <c r="A65" s="112">
        <f t="shared" si="0"/>
        <v>61</v>
      </c>
      <c r="B65" s="19">
        <f>'תקציב החברה לפיתוח 2025'!B65</f>
        <v>2175</v>
      </c>
      <c r="C65" s="202" t="str">
        <f>'תקציב החברה לפיתוח 2025'!C65</f>
        <v>גנ"י דוד השמעוני</v>
      </c>
      <c r="D65" s="112">
        <f>'תקציב החברה לפיתוח 2025'!D65</f>
        <v>20521912</v>
      </c>
      <c r="E65" s="112">
        <f>'תקציב החברה לפיתוח 2025'!E65</f>
        <v>21000000</v>
      </c>
      <c r="F65" s="112">
        <f>'תקציב החברה לפיתוח 2025'!F65</f>
        <v>-478088</v>
      </c>
      <c r="G65" s="112">
        <f>'תקציב החברה לפיתוח 2025'!G65</f>
        <v>18945297</v>
      </c>
      <c r="H65" s="112">
        <f>'תקציב החברה לפיתוח 2025'!H65</f>
        <v>18593055</v>
      </c>
      <c r="I65" s="112">
        <f>'תקציב החברה לפיתוח 2025'!I65</f>
        <v>0</v>
      </c>
      <c r="J65" s="112">
        <f>'תקציב החברה לפיתוח 2025'!J65</f>
        <v>144237</v>
      </c>
      <c r="K65" s="112">
        <f>'תקציב החברה לפיתוח 2025'!K65</f>
        <v>144237</v>
      </c>
      <c r="L65" s="112">
        <f>'תקציב החברה לפיתוח 2025'!L65</f>
        <v>18737292</v>
      </c>
      <c r="M65" s="112">
        <f>'תקציב החברה לפיתוח 2025'!M65</f>
        <v>1784620</v>
      </c>
      <c r="N65" s="112">
        <f>'תקציב החברה לפיתוח 2025'!N65</f>
        <v>0</v>
      </c>
      <c r="O65" s="112">
        <f>'תקציב החברה לפיתוח 2025'!O65</f>
        <v>0</v>
      </c>
      <c r="P65" s="112">
        <f>'תקציב החברה לפיתוח 2025'!P65</f>
        <v>208005</v>
      </c>
      <c r="Q65" s="112">
        <f>'תקציב החברה לפיתוח 2025'!Q65</f>
        <v>1576615</v>
      </c>
      <c r="R65" s="112">
        <f>'תקציב החברה לפיתוח 2025'!R65</f>
        <v>0</v>
      </c>
      <c r="S65" s="112">
        <f>'תקציב החברה לפיתוח 2025'!S65</f>
        <v>1576615</v>
      </c>
      <c r="T65" s="112">
        <f>'תקציב החברה לפיתוח 2025'!T65</f>
        <v>0</v>
      </c>
      <c r="U65" s="257">
        <f>'תקציב החברה לפיתוח 2025'!U65</f>
        <v>0</v>
      </c>
      <c r="V65" s="112">
        <f>'תקציב החברה לפיתוח 2025'!V65</f>
        <v>0</v>
      </c>
      <c r="W65" s="112">
        <f>'תקציב החברה לפיתוח 2025'!W65</f>
        <v>0</v>
      </c>
      <c r="X65" s="112">
        <f>'תקציב החברה לפיתוח 2025'!X65</f>
        <v>0</v>
      </c>
      <c r="Y65" s="112">
        <f>'תקציב החברה לפיתוח 2025'!Y65</f>
        <v>0</v>
      </c>
      <c r="Z65" s="112">
        <f>'תקציב החברה לפיתוח 2025'!Z65</f>
        <v>0</v>
      </c>
      <c r="AA65" s="112">
        <f>'תקציב החברה לפיתוח 2025'!AA65</f>
        <v>0</v>
      </c>
      <c r="AB65" s="202" t="str">
        <f>'תקציב החברה לפיתוח 2025'!AB65</f>
        <v>תכנון וביצוע הקמת 5 כיתות גן במתחם השמעוני. מימון מ. החינוך. הצטיידות תב"ר 20044 בחינוך.</v>
      </c>
      <c r="AC65" s="3">
        <f>'תקציב החברה לפיתוח 2025'!AC65</f>
        <v>810000</v>
      </c>
      <c r="AD65" s="123"/>
      <c r="AE65" s="123"/>
      <c r="AF65" s="123"/>
      <c r="AG65" s="123"/>
      <c r="AH65" s="123"/>
      <c r="AI65" s="123"/>
      <c r="AJ65" s="123"/>
      <c r="AK65" s="505"/>
      <c r="AL65" s="505"/>
      <c r="AM65" s="505"/>
      <c r="AN65" s="505"/>
      <c r="AO65" s="505"/>
      <c r="AP65" s="505"/>
      <c r="AQ65" s="505"/>
      <c r="AR65" s="505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</row>
    <row r="66" spans="1:56" s="5" customFormat="1" ht="60">
      <c r="A66" s="112">
        <f t="shared" si="0"/>
        <v>62</v>
      </c>
      <c r="B66" s="19">
        <f>'תקציב החברה לפיתוח 2025'!B66</f>
        <v>2180</v>
      </c>
      <c r="C66" s="202" t="str">
        <f>'תקציב החברה לפיתוח 2025'!C66</f>
        <v>ליווי פרויקטים פינוי בינוי</v>
      </c>
      <c r="D66" s="112">
        <f>'תקציב החברה לפיתוח 2025'!D66</f>
        <v>2600000</v>
      </c>
      <c r="E66" s="112">
        <f>'תקציב החברה לפיתוח 2025'!E66</f>
        <v>2600000</v>
      </c>
      <c r="F66" s="112">
        <f>'תקציב החברה לפיתוח 2025'!F66</f>
        <v>0</v>
      </c>
      <c r="G66" s="112">
        <f>'תקציב החברה לפיתוח 2025'!G66</f>
        <v>1000000</v>
      </c>
      <c r="H66" s="112">
        <f>'תקציב החברה לפיתוח 2025'!H66</f>
        <v>648959</v>
      </c>
      <c r="I66" s="112">
        <f>'תקציב החברה לפיתוח 2025'!I66</f>
        <v>0</v>
      </c>
      <c r="J66" s="112">
        <f>'תקציב החברה לפיתוח 2025'!J66</f>
        <v>81010</v>
      </c>
      <c r="K66" s="112">
        <f>'תקציב החברה לפיתוח 2025'!K66</f>
        <v>81010</v>
      </c>
      <c r="L66" s="112">
        <f>'תקציב החברה לפיתוח 2025'!L66</f>
        <v>729969</v>
      </c>
      <c r="M66" s="112">
        <f>'תקציב החברה לפיתוח 2025'!M66</f>
        <v>270031</v>
      </c>
      <c r="N66" s="112">
        <f>'תקציב החברה לפיתוח 2025'!N66</f>
        <v>500000</v>
      </c>
      <c r="O66" s="112">
        <f>'תקציב החברה לפיתוח 2025'!O66</f>
        <v>1100000</v>
      </c>
      <c r="P66" s="112">
        <f>'תקציב החברה לפיתוח 2025'!P66</f>
        <v>270031</v>
      </c>
      <c r="Q66" s="112">
        <f>'תקציב החברה לפיתוח 2025'!Q66</f>
        <v>0</v>
      </c>
      <c r="R66" s="112">
        <f>'תקציב החברה לפיתוח 2025'!R66</f>
        <v>0</v>
      </c>
      <c r="S66" s="112">
        <f>'תקציב החברה לפיתוח 2025'!S66</f>
        <v>0</v>
      </c>
      <c r="T66" s="112">
        <f>'תקציב החברה לפיתוח 2025'!T66</f>
        <v>0</v>
      </c>
      <c r="U66" s="257">
        <f>'תקציב החברה לפיתוח 2025'!U66</f>
        <v>500000</v>
      </c>
      <c r="V66" s="112">
        <f>'תקציב החברה לפיתוח 2025'!V66</f>
        <v>500000</v>
      </c>
      <c r="W66" s="112">
        <f>'תקציב החברה לפיתוח 2025'!W66</f>
        <v>0</v>
      </c>
      <c r="X66" s="112">
        <f>'תקציב החברה לפיתוח 2025'!X66</f>
        <v>0</v>
      </c>
      <c r="Y66" s="112">
        <f>'תקציב החברה לפיתוח 2025'!Y66</f>
        <v>0</v>
      </c>
      <c r="Z66" s="112">
        <f>'תקציב החברה לפיתוח 2025'!Z66</f>
        <v>0</v>
      </c>
      <c r="AA66" s="127">
        <f>'תקציב החברה לפיתוח 2025'!AA66</f>
        <v>0</v>
      </c>
      <c r="AB66" s="202" t="str">
        <f>'תקציב החברה לפיתוח 2025'!AB66</f>
        <v>ליווי הסכמי פיתוח וביצוע תשתיות של  שטחים ציבוריים המפותחים ע"י חב' יזמיות במתחמי התחדשות עירונית.</v>
      </c>
      <c r="AC66" s="300">
        <f>'תקציב החברה לפיתוח 2025'!AC66</f>
        <v>732000</v>
      </c>
      <c r="AD66" s="123"/>
      <c r="AE66" s="123"/>
      <c r="AF66" s="123"/>
      <c r="AG66" s="123"/>
      <c r="AH66" s="123"/>
      <c r="AI66" s="123"/>
      <c r="AJ66" s="123"/>
      <c r="AK66" s="505"/>
      <c r="AL66" s="505"/>
      <c r="AM66" s="505"/>
      <c r="AN66" s="505"/>
      <c r="AO66" s="505"/>
      <c r="AP66" s="505"/>
      <c r="AQ66" s="505"/>
      <c r="AR66" s="505"/>
      <c r="AS66" s="123"/>
      <c r="AT66" s="123"/>
      <c r="AU66" s="123"/>
      <c r="AV66" s="123"/>
      <c r="AW66" s="123"/>
      <c r="AX66" s="123"/>
      <c r="AY66" s="123"/>
    </row>
    <row r="67" spans="1:56" s="5" customFormat="1" ht="45">
      <c r="A67" s="112">
        <f t="shared" si="0"/>
        <v>63</v>
      </c>
      <c r="B67" s="19">
        <f>'תקציב החברה לפיתוח 2025'!B67</f>
        <v>2182</v>
      </c>
      <c r="C67" s="202" t="str">
        <f>'תקציב החברה לפיתוח 2025'!C67</f>
        <v>תכנון שב"צ דן שומרון בי"ס על יסודי</v>
      </c>
      <c r="D67" s="112">
        <f>'תקציב החברה לפיתוח 2025'!D67</f>
        <v>3900000</v>
      </c>
      <c r="E67" s="112">
        <f>'תקציב החברה לפיתוח 2025'!E67</f>
        <v>3900000</v>
      </c>
      <c r="F67" s="112">
        <f>'תקציב החברה לפיתוח 2025'!F67</f>
        <v>0</v>
      </c>
      <c r="G67" s="112">
        <f>'תקציב החברה לפיתוח 2025'!G67</f>
        <v>2350000</v>
      </c>
      <c r="H67" s="112">
        <f>'תקציב החברה לפיתוח 2025'!H67</f>
        <v>1658836</v>
      </c>
      <c r="I67" s="112">
        <f>'תקציב החברה לפיתוח 2025'!I67</f>
        <v>0</v>
      </c>
      <c r="J67" s="112">
        <f>'תקציב החברה לפיתוח 2025'!J67</f>
        <v>615471</v>
      </c>
      <c r="K67" s="112">
        <f>'תקציב החברה לפיתוח 2025'!K67</f>
        <v>615471</v>
      </c>
      <c r="L67" s="112">
        <f>'תקציב החברה לפיתוח 2025'!L67</f>
        <v>2274307</v>
      </c>
      <c r="M67" s="112">
        <f>'תקציב החברה לפיתוח 2025'!M67</f>
        <v>75693</v>
      </c>
      <c r="N67" s="112">
        <f>'תקציב החברה לפיתוח 2025'!N67</f>
        <v>200000</v>
      </c>
      <c r="O67" s="112">
        <f>'תקציב החברה לפיתוח 2025'!O67</f>
        <v>1350000</v>
      </c>
      <c r="P67" s="112">
        <f>'תקציב החברה לפיתוח 2025'!P67</f>
        <v>75693</v>
      </c>
      <c r="Q67" s="112">
        <f>'תקציב החברה לפיתוח 2025'!Q67</f>
        <v>0</v>
      </c>
      <c r="R67" s="112">
        <f>'תקציב החברה לפיתוח 2025'!R67</f>
        <v>0</v>
      </c>
      <c r="S67" s="112">
        <f>'תקציב החברה לפיתוח 2025'!S67</f>
        <v>0</v>
      </c>
      <c r="T67" s="112">
        <f>'תקציב החברה לפיתוח 2025'!T67</f>
        <v>0</v>
      </c>
      <c r="U67" s="257">
        <f>'תקציב החברה לפיתוח 2025'!U67</f>
        <v>200000</v>
      </c>
      <c r="V67" s="112">
        <f>'תקציב החברה לפיתוח 2025'!V67</f>
        <v>200000</v>
      </c>
      <c r="W67" s="112">
        <f>'תקציב החברה לפיתוח 2025'!W67</f>
        <v>0</v>
      </c>
      <c r="X67" s="112">
        <f>'תקציב החברה לפיתוח 2025'!X67</f>
        <v>0</v>
      </c>
      <c r="Y67" s="112">
        <f>'תקציב החברה לפיתוח 2025'!Y67</f>
        <v>0</v>
      </c>
      <c r="Z67" s="112">
        <f>'תקציב החברה לפיתוח 2025'!Z67</f>
        <v>0</v>
      </c>
      <c r="AA67" s="127">
        <f>'תקציב החברה לפיתוח 2025'!AA67</f>
        <v>0</v>
      </c>
      <c r="AB67" s="202" t="str">
        <f>'תקציב החברה לפיתוח 2025'!AB67</f>
        <v>הקמת תיכון 30 כיתות בשב"צ דן שומרון גוש 656 חל' 991. תכנון. קדם מימון מ. החינוך.</v>
      </c>
      <c r="AC67" s="3">
        <f>'תקציב החברה לפיתוח 2025'!AC67</f>
        <v>810000</v>
      </c>
      <c r="AD67" s="123"/>
      <c r="AE67" s="123"/>
      <c r="AF67" s="123"/>
      <c r="AG67" s="123"/>
      <c r="AH67" s="123"/>
      <c r="AI67" s="123"/>
      <c r="AJ67" s="123"/>
      <c r="AK67" s="505"/>
      <c r="AL67" s="505"/>
      <c r="AM67" s="505"/>
      <c r="AN67" s="505"/>
      <c r="AO67" s="505"/>
      <c r="AP67" s="505"/>
      <c r="AQ67" s="505"/>
      <c r="AR67" s="505"/>
      <c r="AS67" s="123"/>
      <c r="AT67" s="123"/>
      <c r="AU67" s="123"/>
      <c r="AV67" s="123"/>
      <c r="AW67" s="123"/>
      <c r="AX67" s="123"/>
      <c r="AY67" s="123"/>
    </row>
    <row r="68" spans="1:56" s="5" customFormat="1" ht="30" customHeight="1">
      <c r="A68" s="112">
        <f t="shared" si="0"/>
        <v>64</v>
      </c>
      <c r="B68" s="19">
        <f>'תקציב החברה לפיתוח 2025'!B68</f>
        <v>2185</v>
      </c>
      <c r="C68" s="202" t="str">
        <f>'תקציב החברה לפיתוח 2025'!C68</f>
        <v>תוספת 6 כיתות לימוד בי"ס שז"ר</v>
      </c>
      <c r="D68" s="112">
        <f>'תקציב החברה לפיתוח 2025'!D68</f>
        <v>40000000</v>
      </c>
      <c r="E68" s="112">
        <f>'תקציב החברה לפיתוח 2025'!E68</f>
        <v>40000000</v>
      </c>
      <c r="F68" s="112">
        <f>'תקציב החברה לפיתוח 2025'!F68</f>
        <v>0</v>
      </c>
      <c r="G68" s="112">
        <f>'תקציב החברה לפיתוח 2025'!G68</f>
        <v>6387282</v>
      </c>
      <c r="H68" s="112">
        <f>'תקציב החברה לפיתוח 2025'!H68</f>
        <v>4507524</v>
      </c>
      <c r="I68" s="112">
        <f>'תקציב החברה לפיתוח 2025'!I68</f>
        <v>0</v>
      </c>
      <c r="J68" s="112">
        <f>'תקציב החברה לפיתוח 2025'!J68</f>
        <v>1603498</v>
      </c>
      <c r="K68" s="112">
        <f>'תקציב החברה לפיתוח 2025'!K68</f>
        <v>1603498</v>
      </c>
      <c r="L68" s="112">
        <f>'תקציב החברה לפיתוח 2025'!L68</f>
        <v>6111022</v>
      </c>
      <c r="M68" s="112">
        <f>'תקציב החברה לפיתוח 2025'!M68</f>
        <v>2276260</v>
      </c>
      <c r="N68" s="112">
        <f>'תקציב החברה לפיתוח 2025'!N68</f>
        <v>2707129</v>
      </c>
      <c r="O68" s="112">
        <f>'תקציב החברה לפיתוח 2025'!O68</f>
        <v>28905589</v>
      </c>
      <c r="P68" s="112">
        <f>'תקציב החברה לפיתוח 2025'!P68</f>
        <v>276260</v>
      </c>
      <c r="Q68" s="112">
        <f>'תקציב החברה לפיתוח 2025'!Q68</f>
        <v>2000000</v>
      </c>
      <c r="R68" s="112">
        <f>'תקציב החברה לפיתוח 2025'!R68</f>
        <v>0</v>
      </c>
      <c r="S68" s="112">
        <f>'תקציב החברה לפיתוח 2025'!S68</f>
        <v>2000000</v>
      </c>
      <c r="T68" s="112">
        <f>'תקציב החברה לפיתוח 2025'!T68</f>
        <v>0</v>
      </c>
      <c r="U68" s="257">
        <f>'תקציב החברה לפיתוח 2025'!U68</f>
        <v>2707129</v>
      </c>
      <c r="V68" s="112">
        <f>'תקציב החברה לפיתוח 2025'!V68</f>
        <v>2707129</v>
      </c>
      <c r="W68" s="112">
        <f>'תקציב החברה לפיתוח 2025'!W68</f>
        <v>0</v>
      </c>
      <c r="X68" s="112">
        <f>'תקציב החברה לפיתוח 2025'!X68</f>
        <v>0</v>
      </c>
      <c r="Y68" s="112">
        <f>'תקציב החברה לפיתוח 2025'!Y68</f>
        <v>0</v>
      </c>
      <c r="Z68" s="112">
        <f>'תקציב החברה לפיתוח 2025'!Z68</f>
        <v>0</v>
      </c>
      <c r="AA68" s="112">
        <f>'תקציב החברה לפיתוח 2025'!AA68</f>
        <v>0</v>
      </c>
      <c r="AB68" s="202" t="str">
        <f>'תקציב החברה לפיתוח 2025'!AB68</f>
        <v xml:space="preserve">אולם ספורט ותוספת 6 כיתות בי"ס שז"ר. </v>
      </c>
      <c r="AC68" s="3">
        <f>'תקציב החברה לפיתוח 2025'!AC68</f>
        <v>810000</v>
      </c>
      <c r="AD68" s="123"/>
      <c r="AE68" s="123"/>
      <c r="AF68" s="123"/>
      <c r="AG68" s="123"/>
      <c r="AH68" s="123"/>
      <c r="AI68" s="123"/>
      <c r="AJ68" s="123"/>
      <c r="AK68" s="505"/>
      <c r="AL68" s="505"/>
      <c r="AM68" s="505"/>
      <c r="AN68" s="505"/>
      <c r="AO68" s="505"/>
      <c r="AP68" s="505"/>
      <c r="AQ68" s="505"/>
      <c r="AR68" s="505"/>
      <c r="AS68" s="123"/>
      <c r="AT68" s="123"/>
      <c r="AU68" s="123"/>
      <c r="AV68" s="123"/>
      <c r="AW68" s="123"/>
      <c r="AX68" s="123"/>
      <c r="AY68" s="123"/>
      <c r="AZ68" s="131"/>
      <c r="BA68" s="131"/>
      <c r="BB68" s="131"/>
      <c r="BC68" s="131"/>
      <c r="BD68" s="131"/>
    </row>
    <row r="69" spans="1:56" s="5" customFormat="1" ht="45">
      <c r="A69" s="112">
        <f t="shared" si="0"/>
        <v>65</v>
      </c>
      <c r="B69" s="19">
        <f>'תקציב החברה לפיתוח 2025'!B69</f>
        <v>2191</v>
      </c>
      <c r="C69" s="202" t="str">
        <f>'תקציב החברה לפיתוח 2025'!C69</f>
        <v>עבודות ניקוז רחוב סוקולוב</v>
      </c>
      <c r="D69" s="112">
        <f>'תקציב החברה לפיתוח 2025'!D69</f>
        <v>14000000</v>
      </c>
      <c r="E69" s="112">
        <f>'תקציב החברה לפיתוח 2025'!E69</f>
        <v>14000000</v>
      </c>
      <c r="F69" s="112">
        <f>'תקציב החברה לפיתוח 2025'!F69</f>
        <v>0</v>
      </c>
      <c r="G69" s="112">
        <f>'תקציב החברה לפיתוח 2025'!G69</f>
        <v>700000</v>
      </c>
      <c r="H69" s="112">
        <f>'תקציב החברה לפיתוח 2025'!H69</f>
        <v>482960</v>
      </c>
      <c r="I69" s="112">
        <f>'תקציב החברה לפיתוח 2025'!I69</f>
        <v>0</v>
      </c>
      <c r="J69" s="112">
        <f>'תקציב החברה לפיתוח 2025'!J69</f>
        <v>0</v>
      </c>
      <c r="K69" s="112">
        <f>'תקציב החברה לפיתוח 2025'!K69</f>
        <v>0</v>
      </c>
      <c r="L69" s="112">
        <f>'תקציב החברה לפיתוח 2025'!L69</f>
        <v>482960</v>
      </c>
      <c r="M69" s="112">
        <f>'תקציב החברה לפיתוח 2025'!M69</f>
        <v>217040</v>
      </c>
      <c r="N69" s="112">
        <f>'תקציב החברה לפיתוח 2025'!N69</f>
        <v>0</v>
      </c>
      <c r="O69" s="112">
        <f>'תקציב החברה לפיתוח 2025'!O69</f>
        <v>13300000</v>
      </c>
      <c r="P69" s="112">
        <f>'תקציב החברה לפיתוח 2025'!P69</f>
        <v>217040</v>
      </c>
      <c r="Q69" s="112">
        <f>'תקציב החברה לפיתוח 2025'!Q69</f>
        <v>0</v>
      </c>
      <c r="R69" s="112">
        <f>'תקציב החברה לפיתוח 2025'!R69</f>
        <v>0</v>
      </c>
      <c r="S69" s="112">
        <f>'תקציב החברה לפיתוח 2025'!S69</f>
        <v>0</v>
      </c>
      <c r="T69" s="112">
        <f>'תקציב החברה לפיתוח 2025'!T69</f>
        <v>0</v>
      </c>
      <c r="U69" s="257">
        <f>'תקציב החברה לפיתוח 2025'!U69</f>
        <v>0</v>
      </c>
      <c r="V69" s="112">
        <f>'תקציב החברה לפיתוח 2025'!V69</f>
        <v>0</v>
      </c>
      <c r="W69" s="112">
        <f>'תקציב החברה לפיתוח 2025'!W69</f>
        <v>0</v>
      </c>
      <c r="X69" s="112">
        <f>'תקציב החברה לפיתוח 2025'!X69</f>
        <v>0</v>
      </c>
      <c r="Y69" s="112">
        <f>'תקציב החברה לפיתוח 2025'!Y69</f>
        <v>0</v>
      </c>
      <c r="Z69" s="112">
        <f>'תקציב החברה לפיתוח 2025'!Z69</f>
        <v>0</v>
      </c>
      <c r="AA69" s="127">
        <f>'תקציב החברה לפיתוח 2025'!AA69</f>
        <v>0</v>
      </c>
      <c r="AB69" s="202" t="str">
        <f>'תקציב החברה לפיתוח 2025'!AB69</f>
        <v>תכנון וביצוע ניקוז ברחוב סוקולוב בשיתוף עם תאגיד המים. במסגרת תוכ. אב לניקוז.</v>
      </c>
      <c r="AC69" s="300">
        <f>'תקציב החברה לפיתוח 2025'!AC69</f>
        <v>742000</v>
      </c>
      <c r="AD69" s="123"/>
      <c r="AE69" s="123"/>
      <c r="AF69" s="123"/>
      <c r="AG69" s="123"/>
      <c r="AH69" s="123"/>
      <c r="AI69" s="123"/>
      <c r="AJ69" s="123"/>
      <c r="AK69" s="505"/>
      <c r="AL69" s="505"/>
      <c r="AM69" s="505"/>
      <c r="AN69" s="505"/>
      <c r="AO69" s="505"/>
      <c r="AP69" s="505"/>
      <c r="AQ69" s="505"/>
      <c r="AR69" s="505"/>
      <c r="AS69" s="123"/>
      <c r="AT69" s="123"/>
      <c r="AU69" s="123"/>
      <c r="AV69" s="123"/>
      <c r="AW69" s="123"/>
      <c r="AX69" s="123"/>
      <c r="AY69" s="123"/>
      <c r="AZ69" s="148"/>
      <c r="BA69" s="148"/>
      <c r="BB69" s="148"/>
      <c r="BC69" s="148"/>
      <c r="BD69" s="148"/>
    </row>
    <row r="70" spans="1:56" s="5" customFormat="1" ht="45">
      <c r="A70" s="112">
        <f t="shared" si="0"/>
        <v>66</v>
      </c>
      <c r="B70" s="19">
        <f>'תקציב החברה לפיתוח 2025'!B70</f>
        <v>2194</v>
      </c>
      <c r="C70" s="202" t="str">
        <f>'תקציב החברה לפיתוח 2025'!C70</f>
        <v xml:space="preserve">עבודות ניקוז  רחוב רבינו תם </v>
      </c>
      <c r="D70" s="112">
        <f>'תקציב החברה לפיתוח 2025'!D70</f>
        <v>700000</v>
      </c>
      <c r="E70" s="112">
        <f>'תקציב החברה לפיתוח 2025'!E70</f>
        <v>700000</v>
      </c>
      <c r="F70" s="112">
        <f>'תקציב החברה לפיתוח 2025'!F70</f>
        <v>0</v>
      </c>
      <c r="G70" s="112">
        <f>'תקציב החברה לפיתוח 2025'!G70</f>
        <v>0</v>
      </c>
      <c r="H70" s="112">
        <f>'תקציב החברה לפיתוח 2025'!H70</f>
        <v>0</v>
      </c>
      <c r="I70" s="112">
        <f>'תקציב החברה לפיתוח 2025'!I70</f>
        <v>0</v>
      </c>
      <c r="J70" s="112">
        <f>'תקציב החברה לפיתוח 2025'!J70</f>
        <v>0</v>
      </c>
      <c r="K70" s="112">
        <f>'תקציב החברה לפיתוח 2025'!K70</f>
        <v>0</v>
      </c>
      <c r="L70" s="112">
        <f>'תקציב החברה לפיתוח 2025'!L70</f>
        <v>0</v>
      </c>
      <c r="M70" s="112">
        <f>'תקציב החברה לפיתוח 2025'!M70</f>
        <v>0</v>
      </c>
      <c r="N70" s="112">
        <f>'תקציב החברה לפיתוח 2025'!N70</f>
        <v>0</v>
      </c>
      <c r="O70" s="112">
        <f>'תקציב החברה לפיתוח 2025'!O70</f>
        <v>700000</v>
      </c>
      <c r="P70" s="112">
        <f>'תקציב החברה לפיתוח 2025'!P70</f>
        <v>0</v>
      </c>
      <c r="Q70" s="112">
        <f>'תקציב החברה לפיתוח 2025'!Q70</f>
        <v>0</v>
      </c>
      <c r="R70" s="112">
        <f>'תקציב החברה לפיתוח 2025'!R70</f>
        <v>0</v>
      </c>
      <c r="S70" s="112">
        <f>'תקציב החברה לפיתוח 2025'!S70</f>
        <v>0</v>
      </c>
      <c r="T70" s="112">
        <f>'תקציב החברה לפיתוח 2025'!T70</f>
        <v>0</v>
      </c>
      <c r="U70" s="257">
        <f>'תקציב החברה לפיתוח 2025'!U70</f>
        <v>0</v>
      </c>
      <c r="V70" s="112">
        <f>'תקציב החברה לפיתוח 2025'!V70</f>
        <v>0</v>
      </c>
      <c r="W70" s="112">
        <f>'תקציב החברה לפיתוח 2025'!W70</f>
        <v>0</v>
      </c>
      <c r="X70" s="112">
        <f>'תקציב החברה לפיתוח 2025'!X70</f>
        <v>0</v>
      </c>
      <c r="Y70" s="112">
        <f>'תקציב החברה לפיתוח 2025'!Y70</f>
        <v>0</v>
      </c>
      <c r="Z70" s="112">
        <f>'תקציב החברה לפיתוח 2025'!Z70</f>
        <v>0</v>
      </c>
      <c r="AA70" s="127">
        <f>'תקציב החברה לפיתוח 2025'!AA70</f>
        <v>0</v>
      </c>
      <c r="AB70" s="202" t="str">
        <f>'תקציב החברה לפיתוח 2025'!AB70</f>
        <v>תכנון וביצוע ניקוז ברחוב רבנו תם בשיתוף עם תאגיד המים. במסגרת תוכ. אב לניקוז.</v>
      </c>
      <c r="AC70" s="3">
        <f>'תקציב החברה לפיתוח 2025'!AC70</f>
        <v>742000</v>
      </c>
      <c r="AD70" s="123"/>
      <c r="AE70" s="123"/>
      <c r="AF70" s="123"/>
      <c r="AG70" s="123"/>
      <c r="AH70" s="123"/>
      <c r="AI70" s="123"/>
      <c r="AJ70" s="123"/>
      <c r="AK70" s="505"/>
      <c r="AL70" s="505"/>
      <c r="AM70" s="505"/>
      <c r="AN70" s="505"/>
      <c r="AO70" s="505"/>
      <c r="AP70" s="505"/>
      <c r="AQ70" s="505"/>
      <c r="AR70" s="505"/>
      <c r="AS70" s="123"/>
      <c r="AT70" s="123"/>
      <c r="AU70" s="123"/>
      <c r="AV70" s="123"/>
      <c r="AW70" s="123"/>
      <c r="AX70" s="123"/>
      <c r="AY70" s="123"/>
      <c r="AZ70" s="148"/>
      <c r="BA70" s="148"/>
      <c r="BB70" s="148"/>
      <c r="BC70" s="148"/>
      <c r="BD70" s="148"/>
    </row>
    <row r="71" spans="1:56" s="148" customFormat="1" ht="90">
      <c r="A71" s="112">
        <f t="shared" ref="A71:A123" si="1">1+A70</f>
        <v>67</v>
      </c>
      <c r="B71" s="19">
        <f>'תקציב החברה לפיתוח 2025'!B71</f>
        <v>2195</v>
      </c>
      <c r="C71" s="202" t="str">
        <f>'תקציב החברה לפיתוח 2025'!C71</f>
        <v xml:space="preserve">תוכנית אב לביופילטרים ברחבי העיר   </v>
      </c>
      <c r="D71" s="4">
        <f>'תקציב החברה לפיתוח 2025'!D71</f>
        <v>2300000</v>
      </c>
      <c r="E71" s="4">
        <f>'תקציב החברה לפיתוח 2025'!E71</f>
        <v>2300000</v>
      </c>
      <c r="F71" s="4">
        <f>'תקציב החברה לפיתוח 2025'!F71</f>
        <v>0</v>
      </c>
      <c r="G71" s="4">
        <f>'תקציב החברה לפיתוח 2025'!G71</f>
        <v>100000</v>
      </c>
      <c r="H71" s="4">
        <f>'תקציב החברה לפיתוח 2025'!H71</f>
        <v>0</v>
      </c>
      <c r="I71" s="4">
        <f>'תקציב החברה לפיתוח 2025'!I71</f>
        <v>0</v>
      </c>
      <c r="J71" s="4">
        <f>'תקציב החברה לפיתוח 2025'!J71</f>
        <v>0</v>
      </c>
      <c r="K71" s="4">
        <f>'תקציב החברה לפיתוח 2025'!K71</f>
        <v>0</v>
      </c>
      <c r="L71" s="4">
        <f>'תקציב החברה לפיתוח 2025'!L71</f>
        <v>0</v>
      </c>
      <c r="M71" s="112">
        <f>'תקציב החברה לפיתוח 2025'!M71</f>
        <v>100000</v>
      </c>
      <c r="N71" s="112">
        <f>'תקציב החברה לפיתוח 2025'!N71</f>
        <v>0</v>
      </c>
      <c r="O71" s="4">
        <f>'תקציב החברה לפיתוח 2025'!O71</f>
        <v>2200000</v>
      </c>
      <c r="P71" s="4">
        <f>'תקציב החברה לפיתוח 2025'!P71</f>
        <v>100000</v>
      </c>
      <c r="Q71" s="4">
        <f>'תקציב החברה לפיתוח 2025'!Q71</f>
        <v>0</v>
      </c>
      <c r="R71" s="4">
        <f>'תקציב החברה לפיתוח 2025'!R71</f>
        <v>0</v>
      </c>
      <c r="S71" s="4">
        <f>'תקציב החברה לפיתוח 2025'!S71</f>
        <v>0</v>
      </c>
      <c r="T71" s="4">
        <f>'תקציב החברה לפיתוח 2025'!T71</f>
        <v>0</v>
      </c>
      <c r="U71" s="495">
        <f>'תקציב החברה לפיתוח 2025'!U71</f>
        <v>0</v>
      </c>
      <c r="V71" s="4">
        <f>'תקציב החברה לפיתוח 2025'!V71</f>
        <v>0</v>
      </c>
      <c r="W71" s="4">
        <f>'תקציב החברה לפיתוח 2025'!W71</f>
        <v>0</v>
      </c>
      <c r="X71" s="4">
        <f>'תקציב החברה לפיתוח 2025'!X71</f>
        <v>0</v>
      </c>
      <c r="Y71" s="4">
        <f>'תקציב החברה לפיתוח 2025'!Y71</f>
        <v>0</v>
      </c>
      <c r="Z71" s="4">
        <f>'תקציב החברה לפיתוח 2025'!Z71</f>
        <v>0</v>
      </c>
      <c r="AA71" s="3">
        <f>'תקציב החברה לפיתוח 2025'!AA71</f>
        <v>0</v>
      </c>
      <c r="AB71" s="202" t="str">
        <f>'תקציב החברה לפיתוח 2025'!AB71</f>
        <v>הכנת ת.אב לאיגומים ברחבי העיר, סקר שטחים ציבוריים והקמת ביופילטרים, מתקנים לסינון מים מזוהמים ומניעת בזבוז מי נגר עירוני, סקר שטחים פתוחים לצורך מימוש כמאגרי השהייה.</v>
      </c>
      <c r="AC71" s="3">
        <f>'תקציב החברה לפיתוח 2025'!AC71</f>
        <v>742000</v>
      </c>
      <c r="AD71" s="123"/>
      <c r="AE71" s="123"/>
      <c r="AF71" s="123"/>
      <c r="AG71" s="123"/>
      <c r="AH71" s="123"/>
      <c r="AI71" s="123"/>
      <c r="AJ71" s="123"/>
      <c r="AK71" s="505"/>
      <c r="AL71" s="505"/>
      <c r="AM71" s="505"/>
      <c r="AN71" s="505"/>
      <c r="AO71" s="505"/>
      <c r="AP71" s="505"/>
      <c r="AQ71" s="505"/>
      <c r="AR71" s="505"/>
      <c r="AS71" s="123"/>
      <c r="AT71" s="123"/>
      <c r="AU71" s="123"/>
      <c r="AV71" s="123"/>
      <c r="AW71" s="123"/>
      <c r="AX71" s="123"/>
      <c r="AY71" s="123"/>
      <c r="AZ71" s="5"/>
      <c r="BA71" s="5"/>
      <c r="BB71" s="5"/>
      <c r="BC71" s="5"/>
      <c r="BD71" s="5"/>
    </row>
    <row r="72" spans="1:56" s="5" customFormat="1" ht="45">
      <c r="A72" s="112">
        <f t="shared" si="1"/>
        <v>68</v>
      </c>
      <c r="B72" s="19">
        <f>'תקציב החברה לפיתוח 2025'!B72</f>
        <v>2196</v>
      </c>
      <c r="C72" s="202" t="str">
        <f>'תקציב החברה לפיתוח 2025'!C72</f>
        <v xml:space="preserve">עבודות ניקוז   רחוב הרב גורן </v>
      </c>
      <c r="D72" s="4">
        <f>'תקציב החברה לפיתוח 2025'!D72</f>
        <v>22500000</v>
      </c>
      <c r="E72" s="112">
        <f>'תקציב החברה לפיתוח 2025'!E72</f>
        <v>21135000</v>
      </c>
      <c r="F72" s="112">
        <f>'תקציב החברה לפיתוח 2025'!F72</f>
        <v>1365000</v>
      </c>
      <c r="G72" s="112">
        <f>'תקציב החברה לפיתוח 2025'!G72</f>
        <v>1500000</v>
      </c>
      <c r="H72" s="112">
        <f>'תקציב החברה לפיתוח 2025'!H72</f>
        <v>982316</v>
      </c>
      <c r="I72" s="112">
        <f>'תקציב החברה לפיתוח 2025'!I72</f>
        <v>0</v>
      </c>
      <c r="J72" s="112">
        <f>'תקציב החברה לפיתוח 2025'!J72</f>
        <v>0</v>
      </c>
      <c r="K72" s="112">
        <f>'תקציב החברה לפיתוח 2025'!K72</f>
        <v>0</v>
      </c>
      <c r="L72" s="112">
        <f>'תקציב החברה לפיתוח 2025'!L72</f>
        <v>982316</v>
      </c>
      <c r="M72" s="112">
        <f>'תקציב החברה לפיתוח 2025'!M72</f>
        <v>517684</v>
      </c>
      <c r="N72" s="112">
        <f>'תקציב החברה לפיתוח 2025'!N72</f>
        <v>0</v>
      </c>
      <c r="O72" s="112">
        <f>'תקציב החברה לפיתוח 2025'!O72</f>
        <v>21000000</v>
      </c>
      <c r="P72" s="112">
        <f>'תקציב החברה לפיתוח 2025'!P72</f>
        <v>517684</v>
      </c>
      <c r="Q72" s="112">
        <f>'תקציב החברה לפיתוח 2025'!Q72</f>
        <v>0</v>
      </c>
      <c r="R72" s="112">
        <f>'תקציב החברה לפיתוח 2025'!R72</f>
        <v>0</v>
      </c>
      <c r="S72" s="112">
        <f>'תקציב החברה לפיתוח 2025'!S72</f>
        <v>0</v>
      </c>
      <c r="T72" s="112">
        <f>'תקציב החברה לפיתוח 2025'!T72</f>
        <v>0</v>
      </c>
      <c r="U72" s="257">
        <f>'תקציב החברה לפיתוח 2025'!U72</f>
        <v>0</v>
      </c>
      <c r="V72" s="112">
        <f>'תקציב החברה לפיתוח 2025'!V72</f>
        <v>0</v>
      </c>
      <c r="W72" s="112">
        <f>'תקציב החברה לפיתוח 2025'!W72</f>
        <v>0</v>
      </c>
      <c r="X72" s="112">
        <f>'תקציב החברה לפיתוח 2025'!X72</f>
        <v>0</v>
      </c>
      <c r="Y72" s="112">
        <f>'תקציב החברה לפיתוח 2025'!Y72</f>
        <v>0</v>
      </c>
      <c r="Z72" s="112">
        <f>'תקציב החברה לפיתוח 2025'!Z72</f>
        <v>0</v>
      </c>
      <c r="AA72" s="127">
        <f>'תקציב החברה לפיתוח 2025'!AA72</f>
        <v>0</v>
      </c>
      <c r="AB72" s="202" t="str">
        <f>'תקציב החברה לפיתוח 2025'!AB72</f>
        <v>תכנון וביצוע ניקוז ברחוב הרב גורן בשיתוף עם תאגיד המים. במסגרת תוכ. אב לניקוז.</v>
      </c>
      <c r="AC72" s="3">
        <f>'תקציב החברה לפיתוח 2025'!AC72</f>
        <v>742000</v>
      </c>
      <c r="AD72" s="123"/>
      <c r="AE72" s="123"/>
      <c r="AF72" s="123"/>
      <c r="AG72" s="123"/>
      <c r="AH72" s="123"/>
      <c r="AI72" s="123"/>
      <c r="AJ72" s="123"/>
      <c r="AK72" s="505"/>
      <c r="AL72" s="505"/>
      <c r="AM72" s="505"/>
      <c r="AN72" s="505"/>
      <c r="AO72" s="505"/>
      <c r="AP72" s="505"/>
      <c r="AQ72" s="505"/>
      <c r="AR72" s="505"/>
      <c r="AS72" s="123"/>
      <c r="AT72" s="123"/>
      <c r="AU72" s="123"/>
      <c r="AV72" s="123"/>
      <c r="AW72" s="123"/>
      <c r="AX72" s="123"/>
      <c r="AY72" s="123"/>
      <c r="AZ72" s="6"/>
      <c r="BA72" s="6"/>
      <c r="BB72" s="6"/>
      <c r="BC72" s="6"/>
      <c r="BD72" s="6"/>
    </row>
    <row r="73" spans="1:56" s="5" customFormat="1" ht="45">
      <c r="A73" s="112">
        <f t="shared" si="1"/>
        <v>69</v>
      </c>
      <c r="B73" s="19">
        <f>'תקציב החברה לפיתוח 2025'!B73</f>
        <v>2197</v>
      </c>
      <c r="C73" s="202" t="str">
        <f>'תקציב החברה לפיתוח 2025'!C73</f>
        <v xml:space="preserve">עבודות ניקוז   רחוב רוחמה ושבטי ישראל </v>
      </c>
      <c r="D73" s="112">
        <f>'תקציב החברה לפיתוח 2025'!D73</f>
        <v>15160000</v>
      </c>
      <c r="E73" s="112">
        <f>'תקציב החברה לפיתוח 2025'!E73</f>
        <v>15160000</v>
      </c>
      <c r="F73" s="112">
        <f>'תקציב החברה לפיתוח 2025'!F73</f>
        <v>0</v>
      </c>
      <c r="G73" s="112">
        <f>'תקציב החברה לפיתוח 2025'!G73</f>
        <v>700000</v>
      </c>
      <c r="H73" s="112">
        <f>'תקציב החברה לפיתוח 2025'!H73</f>
        <v>697954</v>
      </c>
      <c r="I73" s="112">
        <f>'תקציב החברה לפיתוח 2025'!I73</f>
        <v>0</v>
      </c>
      <c r="J73" s="112">
        <f>'תקציב החברה לפיתוח 2025'!J73</f>
        <v>0</v>
      </c>
      <c r="K73" s="112">
        <f>'תקציב החברה לפיתוח 2025'!K73</f>
        <v>0</v>
      </c>
      <c r="L73" s="112">
        <f>'תקציב החברה לפיתוח 2025'!L73</f>
        <v>697954</v>
      </c>
      <c r="M73" s="112">
        <f>'תקציב החברה לפיתוח 2025'!M73</f>
        <v>2046</v>
      </c>
      <c r="N73" s="112">
        <f>'תקציב החברה לפיתוח 2025'!N73</f>
        <v>0</v>
      </c>
      <c r="O73" s="112">
        <f>'תקציב החברה לפיתוח 2025'!O73</f>
        <v>14460000</v>
      </c>
      <c r="P73" s="112">
        <f>'תקציב החברה לפיתוח 2025'!P73</f>
        <v>2046</v>
      </c>
      <c r="Q73" s="112">
        <f>'תקציב החברה לפיתוח 2025'!Q73</f>
        <v>0</v>
      </c>
      <c r="R73" s="112">
        <f>'תקציב החברה לפיתוח 2025'!R73</f>
        <v>0</v>
      </c>
      <c r="S73" s="112">
        <f>'תקציב החברה לפיתוח 2025'!S73</f>
        <v>0</v>
      </c>
      <c r="T73" s="112">
        <f>'תקציב החברה לפיתוח 2025'!T73</f>
        <v>0</v>
      </c>
      <c r="U73" s="257">
        <f>'תקציב החברה לפיתוח 2025'!U73</f>
        <v>0</v>
      </c>
      <c r="V73" s="112">
        <f>'תקציב החברה לפיתוח 2025'!V73</f>
        <v>0</v>
      </c>
      <c r="W73" s="112">
        <f>'תקציב החברה לפיתוח 2025'!W73</f>
        <v>0</v>
      </c>
      <c r="X73" s="112">
        <f>'תקציב החברה לפיתוח 2025'!X73</f>
        <v>0</v>
      </c>
      <c r="Y73" s="112">
        <f>'תקציב החברה לפיתוח 2025'!Y73</f>
        <v>0</v>
      </c>
      <c r="Z73" s="112">
        <f>'תקציב החברה לפיתוח 2025'!Z73</f>
        <v>0</v>
      </c>
      <c r="AA73" s="127">
        <f>'תקציב החברה לפיתוח 2025'!AA73</f>
        <v>0</v>
      </c>
      <c r="AB73" s="202" t="str">
        <f>'תקציב החברה לפיתוח 2025'!AB73</f>
        <v>תכנון וביצוע ניקוז ברחוב רוחמה ושבטי ישראל בשיתוף עם תאגיד המים. במסגרת תוכ. אב לניקוז.</v>
      </c>
      <c r="AC73" s="3">
        <f>'תקציב החברה לפיתוח 2025'!AC73</f>
        <v>742000</v>
      </c>
      <c r="AD73" s="123"/>
      <c r="AE73" s="123"/>
      <c r="AF73" s="123"/>
      <c r="AG73" s="123"/>
      <c r="AH73" s="123"/>
      <c r="AI73" s="123"/>
      <c r="AJ73" s="123"/>
      <c r="AK73" s="505"/>
      <c r="AL73" s="505"/>
      <c r="AM73" s="505"/>
      <c r="AN73" s="505"/>
      <c r="AO73" s="505"/>
      <c r="AP73" s="505"/>
      <c r="AQ73" s="505"/>
      <c r="AR73" s="505"/>
      <c r="AS73" s="123"/>
      <c r="AT73" s="123"/>
      <c r="AU73" s="123"/>
      <c r="AV73" s="123"/>
      <c r="AW73" s="123"/>
      <c r="AX73" s="123"/>
      <c r="AY73" s="123"/>
    </row>
    <row r="74" spans="1:56" s="5" customFormat="1" ht="30" customHeight="1">
      <c r="A74" s="112">
        <f t="shared" si="1"/>
        <v>70</v>
      </c>
      <c r="B74" s="19">
        <f>'תקציב החברה לפיתוח 2025'!B74</f>
        <v>2198</v>
      </c>
      <c r="C74" s="202" t="str">
        <f>'תקציב החברה לפיתוח 2025'!C74</f>
        <v>פיתוח דרך מזרחית מקבילה לקיבוץ גלויות</v>
      </c>
      <c r="D74" s="112">
        <f>'תקציב החברה לפיתוח 2025'!D74</f>
        <v>16030000</v>
      </c>
      <c r="E74" s="112">
        <f>'תקציב החברה לפיתוח 2025'!E74</f>
        <v>16030000</v>
      </c>
      <c r="F74" s="112">
        <f>'תקציב החברה לפיתוח 2025'!F74</f>
        <v>0</v>
      </c>
      <c r="G74" s="112">
        <f>'תקציב החברה לפיתוח 2025'!G74</f>
        <v>800000</v>
      </c>
      <c r="H74" s="112">
        <f>'תקציב החברה לפיתוח 2025'!H74</f>
        <v>756318</v>
      </c>
      <c r="I74" s="112">
        <f>'תקציב החברה לפיתוח 2025'!I74</f>
        <v>0</v>
      </c>
      <c r="J74" s="112">
        <f>'תקציב החברה לפיתוח 2025'!J74</f>
        <v>33946</v>
      </c>
      <c r="K74" s="112">
        <f>'תקציב החברה לפיתוח 2025'!K74</f>
        <v>33946</v>
      </c>
      <c r="L74" s="112">
        <f>'תקציב החברה לפיתוח 2025'!L74</f>
        <v>790264</v>
      </c>
      <c r="M74" s="112">
        <f>'תקציב החברה לפיתוח 2025'!M74</f>
        <v>9736</v>
      </c>
      <c r="N74" s="112">
        <f>'תקציב החברה לפיתוח 2025'!N74</f>
        <v>0</v>
      </c>
      <c r="O74" s="112">
        <f>'תקציב החברה לפיתוח 2025'!O74</f>
        <v>15230000</v>
      </c>
      <c r="P74" s="112">
        <f>'תקציב החברה לפיתוח 2025'!P74</f>
        <v>9736</v>
      </c>
      <c r="Q74" s="112">
        <f>'תקציב החברה לפיתוח 2025'!Q74</f>
        <v>0</v>
      </c>
      <c r="R74" s="112">
        <f>'תקציב החברה לפיתוח 2025'!R74</f>
        <v>0</v>
      </c>
      <c r="S74" s="112">
        <f>'תקציב החברה לפיתוח 2025'!S74</f>
        <v>0</v>
      </c>
      <c r="T74" s="112">
        <f>'תקציב החברה לפיתוח 2025'!T74</f>
        <v>0</v>
      </c>
      <c r="U74" s="257">
        <f>'תקציב החברה לפיתוח 2025'!U74</f>
        <v>0</v>
      </c>
      <c r="V74" s="112">
        <f>'תקציב החברה לפיתוח 2025'!V74</f>
        <v>0</v>
      </c>
      <c r="W74" s="112">
        <f>'תקציב החברה לפיתוח 2025'!W74</f>
        <v>0</v>
      </c>
      <c r="X74" s="112">
        <f>'תקציב החברה לפיתוח 2025'!X74</f>
        <v>0</v>
      </c>
      <c r="Y74" s="112">
        <f>'תקציב החברה לפיתוח 2025'!Y74</f>
        <v>0</v>
      </c>
      <c r="Z74" s="112">
        <f>'תקציב החברה לפיתוח 2025'!Z74</f>
        <v>0</v>
      </c>
      <c r="AA74" s="127">
        <f>'תקציב החברה לפיתוח 2025'!AA74</f>
        <v>0</v>
      </c>
      <c r="AB74" s="202" t="str">
        <f>'תקציב החברה לפיתוח 2025'!AB74</f>
        <v xml:space="preserve">פיתוח רחוב חדש המזרחי ביותר בנווה עמל.  </v>
      </c>
      <c r="AC74" s="3">
        <f>'תקציב החברה לפיתוח 2025'!AC74</f>
        <v>742000</v>
      </c>
      <c r="AD74" s="123"/>
      <c r="AE74" s="123"/>
      <c r="AF74" s="123"/>
      <c r="AG74" s="123"/>
      <c r="AH74" s="123"/>
      <c r="AI74" s="123"/>
      <c r="AJ74" s="123"/>
      <c r="AK74" s="505"/>
      <c r="AL74" s="505"/>
      <c r="AM74" s="505"/>
      <c r="AN74" s="505"/>
      <c r="AO74" s="505"/>
      <c r="AP74" s="505"/>
      <c r="AQ74" s="505"/>
      <c r="AR74" s="505"/>
      <c r="AS74" s="123"/>
      <c r="AT74" s="123"/>
      <c r="AU74" s="123"/>
      <c r="AV74" s="123"/>
      <c r="AW74" s="123"/>
      <c r="AX74" s="123"/>
      <c r="AY74" s="123"/>
    </row>
    <row r="75" spans="1:56" s="5" customFormat="1" ht="75">
      <c r="A75" s="112">
        <f t="shared" si="1"/>
        <v>71</v>
      </c>
      <c r="B75" s="19">
        <f>'תקציב החברה לפיתוח 2025'!B75</f>
        <v>2201</v>
      </c>
      <c r="C75" s="202" t="str">
        <f>'תקציב החברה לפיתוח 2025'!C75</f>
        <v>מתחם בי"ס הנדיב</v>
      </c>
      <c r="D75" s="112">
        <f>'תקציב החברה לפיתוח 2025'!D75</f>
        <v>120000000</v>
      </c>
      <c r="E75" s="112">
        <f>'תקציב החברה לפיתוח 2025'!E75</f>
        <v>120000000</v>
      </c>
      <c r="F75" s="112">
        <f>'תקציב החברה לפיתוח 2025'!F75</f>
        <v>0</v>
      </c>
      <c r="G75" s="112">
        <f>'תקציב החברה לפיתוח 2025'!G75</f>
        <v>17176755</v>
      </c>
      <c r="H75" s="112">
        <f>'תקציב החברה לפיתוח 2025'!H75</f>
        <v>16318666</v>
      </c>
      <c r="I75" s="112">
        <f>'תקציב החברה לפיתוח 2025'!I75</f>
        <v>0</v>
      </c>
      <c r="J75" s="112">
        <f>'תקציב החברה לפיתוח 2025'!J75</f>
        <v>809898</v>
      </c>
      <c r="K75" s="112">
        <f>'תקציב החברה לפיתוח 2025'!K75</f>
        <v>809898</v>
      </c>
      <c r="L75" s="112">
        <f>'תקציב החברה לפיתוח 2025'!L75</f>
        <v>17128564</v>
      </c>
      <c r="M75" s="112">
        <f>'תקציב החברה לפיתוח 2025'!M75</f>
        <v>8448191</v>
      </c>
      <c r="N75" s="112">
        <f>'תקציב החברה לפיתוח 2025'!N75</f>
        <v>30000000</v>
      </c>
      <c r="O75" s="112">
        <f>'תקציב החברה לפיתוח 2025'!O75</f>
        <v>64423245</v>
      </c>
      <c r="P75" s="112">
        <f>'תקציב החברה לפיתוח 2025'!P75</f>
        <v>48191</v>
      </c>
      <c r="Q75" s="112">
        <f>'תקציב החברה לפיתוח 2025'!Q75</f>
        <v>8400000</v>
      </c>
      <c r="R75" s="112">
        <f>'תקציב החברה לפיתוח 2025'!R75</f>
        <v>0</v>
      </c>
      <c r="S75" s="112">
        <f>'תקציב החברה לפיתוח 2025'!S75</f>
        <v>8400000</v>
      </c>
      <c r="T75" s="112">
        <f>'תקציב החברה לפיתוח 2025'!T75</f>
        <v>0</v>
      </c>
      <c r="U75" s="257">
        <f>'תקציב החברה לפיתוח 2025'!U75</f>
        <v>30000000</v>
      </c>
      <c r="V75" s="112">
        <f>'תקציב החברה לפיתוח 2025'!V75</f>
        <v>27743015</v>
      </c>
      <c r="W75" s="112">
        <f>'תקציב החברה לפיתוח 2025'!W75</f>
        <v>0</v>
      </c>
      <c r="X75" s="112">
        <f>'תקציב החברה לפיתוח 2025'!X75</f>
        <v>0</v>
      </c>
      <c r="Y75" s="112">
        <f>'תקציב החברה לפיתוח 2025'!Y75</f>
        <v>0</v>
      </c>
      <c r="Z75" s="112">
        <f>'תקציב החברה לפיתוח 2025'!Z75</f>
        <v>0</v>
      </c>
      <c r="AA75" s="112">
        <f>'תקציב החברה לפיתוח 2025'!AA75</f>
        <v>2256985</v>
      </c>
      <c r="AB75" s="202" t="str">
        <f>'תקציב החברה לפיתוח 2025'!AB75</f>
        <v>הריסת מבנים קיימים ובניה מתחם חדש:בי"ס יסודי 24 כיתות, 4 כיתות ח"מ, אולם ספורט, מגרש ספורט מוצלל, 4 כיתות גנ"י. מימון מ. החינוך.</v>
      </c>
      <c r="AC75" s="3">
        <f>'תקציב החברה לפיתוח 2025'!AC75</f>
        <v>810000</v>
      </c>
      <c r="AD75" s="123"/>
      <c r="AE75" s="123"/>
      <c r="AF75" s="123"/>
      <c r="AG75" s="123"/>
      <c r="AH75" s="123"/>
      <c r="AI75" s="123"/>
      <c r="AJ75" s="123"/>
      <c r="AK75" s="505"/>
      <c r="AL75" s="505"/>
      <c r="AM75" s="505"/>
      <c r="AN75" s="505"/>
      <c r="AO75" s="505"/>
      <c r="AP75" s="505"/>
      <c r="AQ75" s="505"/>
      <c r="AR75" s="505"/>
      <c r="AS75" s="123"/>
      <c r="AT75" s="123"/>
      <c r="AU75" s="123"/>
      <c r="AV75" s="123"/>
      <c r="AW75" s="123"/>
      <c r="AX75" s="123"/>
      <c r="AY75" s="123"/>
      <c r="AZ75" s="131"/>
      <c r="BA75" s="131"/>
      <c r="BB75" s="131"/>
      <c r="BC75" s="131"/>
      <c r="BD75" s="131"/>
    </row>
    <row r="76" spans="1:56" s="5" customFormat="1" ht="45">
      <c r="A76" s="112">
        <f t="shared" si="1"/>
        <v>72</v>
      </c>
      <c r="B76" s="19">
        <f>'תקציב החברה לפיתוח 2025'!B76</f>
        <v>2203</v>
      </c>
      <c r="C76" s="202" t="str">
        <f>'תקציב החברה לפיתוח 2025'!C76</f>
        <v>אולם ספורט בי"ס יוחנני  ובניית כיתות וגנ"י</v>
      </c>
      <c r="D76" s="112">
        <f>'תקציב החברה לפיתוח 2025'!D76</f>
        <v>1700000</v>
      </c>
      <c r="E76" s="112">
        <f>'תקציב החברה לפיתוח 2025'!E76</f>
        <v>1700000</v>
      </c>
      <c r="F76" s="112">
        <f>'תקציב החברה לפיתוח 2025'!F76</f>
        <v>0</v>
      </c>
      <c r="G76" s="112">
        <f>'תקציב החברה לפיתוח 2025'!G76</f>
        <v>1000000</v>
      </c>
      <c r="H76" s="112">
        <f>'תקציב החברה לפיתוח 2025'!H76</f>
        <v>811498</v>
      </c>
      <c r="I76" s="112">
        <f>'תקציב החברה לפיתוח 2025'!I76</f>
        <v>0</v>
      </c>
      <c r="J76" s="112">
        <f>'תקציב החברה לפיתוח 2025'!J76</f>
        <v>184992</v>
      </c>
      <c r="K76" s="112">
        <f>'תקציב החברה לפיתוח 2025'!K76</f>
        <v>184992</v>
      </c>
      <c r="L76" s="112">
        <f>'תקציב החברה לפיתוח 2025'!L76</f>
        <v>996490</v>
      </c>
      <c r="M76" s="112">
        <f>'תקציב החברה לפיתוח 2025'!M76</f>
        <v>253510</v>
      </c>
      <c r="N76" s="112">
        <f>'תקציב החברה לפיתוח 2025'!N76</f>
        <v>250000</v>
      </c>
      <c r="O76" s="112">
        <f>'תקציב החברה לפיתוח 2025'!O76</f>
        <v>200000</v>
      </c>
      <c r="P76" s="112">
        <f>'תקציב החברה לפיתוח 2025'!P76</f>
        <v>3510</v>
      </c>
      <c r="Q76" s="112">
        <f>'תקציב החברה לפיתוח 2025'!Q76</f>
        <v>250000</v>
      </c>
      <c r="R76" s="112">
        <f>'תקציב החברה לפיתוח 2025'!R76</f>
        <v>0</v>
      </c>
      <c r="S76" s="112">
        <f>'תקציב החברה לפיתוח 2025'!S76</f>
        <v>250000</v>
      </c>
      <c r="T76" s="112">
        <f>'תקציב החברה לפיתוח 2025'!T76</f>
        <v>0</v>
      </c>
      <c r="U76" s="257">
        <f>'תקציב החברה לפיתוח 2025'!U76</f>
        <v>250000</v>
      </c>
      <c r="V76" s="112">
        <f>'תקציב החברה לפיתוח 2025'!V76</f>
        <v>250000</v>
      </c>
      <c r="W76" s="112">
        <f>'תקציב החברה לפיתוח 2025'!W76</f>
        <v>0</v>
      </c>
      <c r="X76" s="112">
        <f>'תקציב החברה לפיתוח 2025'!X76</f>
        <v>0</v>
      </c>
      <c r="Y76" s="112">
        <f>'תקציב החברה לפיתוח 2025'!Y76</f>
        <v>0</v>
      </c>
      <c r="Z76" s="112">
        <f>'תקציב החברה לפיתוח 2025'!Z76</f>
        <v>0</v>
      </c>
      <c r="AA76" s="127">
        <f>'תקציב החברה לפיתוח 2025'!AA76</f>
        <v>0</v>
      </c>
      <c r="AB76" s="202" t="str">
        <f>'תקציב החברה לפיתוח 2025'!AB76</f>
        <v xml:space="preserve">הריסת א. ספורט קיים, בנית חדש, בניית 6  כיתות לימוד ובניית 3 גנ"י במקום גן קיים אלה. </v>
      </c>
      <c r="AC76" s="3">
        <f>'תקציב החברה לפיתוח 2025'!AC76</f>
        <v>829000</v>
      </c>
      <c r="AD76" s="123"/>
      <c r="AE76" s="123"/>
      <c r="AF76" s="123"/>
      <c r="AG76" s="123"/>
      <c r="AH76" s="123"/>
      <c r="AI76" s="123"/>
      <c r="AJ76" s="123"/>
      <c r="AK76" s="505"/>
      <c r="AL76" s="505"/>
      <c r="AM76" s="505"/>
      <c r="AN76" s="505"/>
      <c r="AO76" s="505"/>
      <c r="AP76" s="505"/>
      <c r="AQ76" s="505"/>
      <c r="AR76" s="505"/>
      <c r="AS76" s="123"/>
      <c r="AT76" s="123"/>
      <c r="AU76" s="123"/>
      <c r="AV76" s="123"/>
      <c r="AW76" s="123"/>
      <c r="AX76" s="123"/>
      <c r="AY76" s="123"/>
    </row>
    <row r="77" spans="1:56" s="5" customFormat="1" ht="45">
      <c r="A77" s="112">
        <f t="shared" si="1"/>
        <v>73</v>
      </c>
      <c r="B77" s="19">
        <f>'תקציב החברה לפיתוח 2025'!B77</f>
        <v>2205</v>
      </c>
      <c r="C77" s="202" t="str">
        <f>'תקציב החברה לפיתוח 2025'!C77</f>
        <v xml:space="preserve">תיכון היובל </v>
      </c>
      <c r="D77" s="112">
        <f>'תקציב החברה לפיתוח 2025'!D77</f>
        <v>19125000</v>
      </c>
      <c r="E77" s="112">
        <f>'תקציב החברה לפיתוח 2025'!E77</f>
        <v>19125000</v>
      </c>
      <c r="F77" s="112">
        <f>'תקציב החברה לפיתוח 2025'!F77</f>
        <v>0</v>
      </c>
      <c r="G77" s="112">
        <f>'תקציב החברה לפיתוח 2025'!G77</f>
        <v>19125000</v>
      </c>
      <c r="H77" s="112">
        <f>'תקציב החברה לפיתוח 2025'!H77</f>
        <v>18256281</v>
      </c>
      <c r="I77" s="112">
        <f>'תקציב החברה לפיתוח 2025'!I77</f>
        <v>0</v>
      </c>
      <c r="J77" s="112">
        <f>'תקציב החברה לפיתוח 2025'!J77</f>
        <v>616927</v>
      </c>
      <c r="K77" s="112">
        <f>'תקציב החברה לפיתוח 2025'!K77</f>
        <v>616927</v>
      </c>
      <c r="L77" s="112">
        <f>'תקציב החברה לפיתוח 2025'!L77</f>
        <v>18873208</v>
      </c>
      <c r="M77" s="112">
        <f>'תקציב החברה לפיתוח 2025'!M77</f>
        <v>251792</v>
      </c>
      <c r="N77" s="112">
        <f>'תקציב החברה לפיתוח 2025'!N77</f>
        <v>0</v>
      </c>
      <c r="O77" s="112">
        <f>'תקציב החברה לפיתוח 2025'!O77</f>
        <v>0</v>
      </c>
      <c r="P77" s="112">
        <f>'תקציב החברה לפיתוח 2025'!P77</f>
        <v>251792</v>
      </c>
      <c r="Q77" s="112">
        <f>'תקציב החברה לפיתוח 2025'!Q77</f>
        <v>0</v>
      </c>
      <c r="R77" s="112">
        <f>'תקציב החברה לפיתוח 2025'!R77</f>
        <v>0</v>
      </c>
      <c r="S77" s="112">
        <f>'תקציב החברה לפיתוח 2025'!S77</f>
        <v>0</v>
      </c>
      <c r="T77" s="112">
        <f>'תקציב החברה לפיתוח 2025'!T77</f>
        <v>0</v>
      </c>
      <c r="U77" s="257">
        <f>'תקציב החברה לפיתוח 2025'!U77</f>
        <v>0</v>
      </c>
      <c r="V77" s="112">
        <f>'תקציב החברה לפיתוח 2025'!V77</f>
        <v>0</v>
      </c>
      <c r="W77" s="112">
        <f>'תקציב החברה לפיתוח 2025'!W77</f>
        <v>0</v>
      </c>
      <c r="X77" s="112">
        <f>'תקציב החברה לפיתוח 2025'!X77</f>
        <v>0</v>
      </c>
      <c r="Y77" s="112">
        <f>'תקציב החברה לפיתוח 2025'!Y77</f>
        <v>0</v>
      </c>
      <c r="Z77" s="112">
        <f>'תקציב החברה לפיתוח 2025'!Z77</f>
        <v>0</v>
      </c>
      <c r="AA77" s="127">
        <f>'תקציב החברה לפיתוח 2025'!AA77</f>
        <v>0</v>
      </c>
      <c r="AB77" s="496" t="str">
        <f>'תקציב החברה לפיתוח 2025'!AB77</f>
        <v>תכנון וביצוע של תוספת 6 כיתות ומעבדות בתיכון היובל.מימון מ. החינוך.</v>
      </c>
      <c r="AC77" s="3">
        <f>'תקציב החברה לפיתוח 2025'!AC77</f>
        <v>810000</v>
      </c>
      <c r="AD77" s="123"/>
      <c r="AE77" s="123"/>
      <c r="AF77" s="123"/>
      <c r="AG77" s="123"/>
      <c r="AH77" s="123"/>
      <c r="AI77" s="123"/>
      <c r="AJ77" s="123"/>
      <c r="AK77" s="505"/>
      <c r="AL77" s="505"/>
      <c r="AM77" s="505"/>
      <c r="AN77" s="505"/>
      <c r="AO77" s="505"/>
      <c r="AP77" s="505"/>
      <c r="AQ77" s="505"/>
      <c r="AR77" s="505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</row>
    <row r="78" spans="1:56" s="5" customFormat="1" ht="30" customHeight="1">
      <c r="A78" s="112">
        <f t="shared" si="1"/>
        <v>74</v>
      </c>
      <c r="B78" s="19">
        <f>'תקציב החברה לפיתוח 2025'!B78</f>
        <v>2206</v>
      </c>
      <c r="C78" s="202" t="str">
        <f>'תקציב החברה לפיתוח 2025'!C78</f>
        <v>חט"ב באלתרמן</v>
      </c>
      <c r="D78" s="112">
        <f>'תקציב החברה לפיתוח 2025'!D78</f>
        <v>92000000</v>
      </c>
      <c r="E78" s="112">
        <f>'תקציב החברה לפיתוח 2025'!E78</f>
        <v>92000000</v>
      </c>
      <c r="F78" s="112">
        <f>'תקציב החברה לפיתוח 2025'!F78</f>
        <v>0</v>
      </c>
      <c r="G78" s="112">
        <f>'תקציב החברה לפיתוח 2025'!G78</f>
        <v>11366551</v>
      </c>
      <c r="H78" s="112">
        <f>'תקציב החברה לפיתוח 2025'!H78</f>
        <v>10311620</v>
      </c>
      <c r="I78" s="112">
        <f>'תקציב החברה לפיתוח 2025'!I78</f>
        <v>0</v>
      </c>
      <c r="J78" s="112">
        <f>'תקציב החברה לפיתוח 2025'!J78</f>
        <v>577370</v>
      </c>
      <c r="K78" s="112">
        <f>'תקציב החברה לפיתוח 2025'!K78</f>
        <v>577370</v>
      </c>
      <c r="L78" s="112">
        <f>'תקציב החברה לפיתוח 2025'!L78</f>
        <v>10888990</v>
      </c>
      <c r="M78" s="112">
        <f>'תקציב החברה לפיתוח 2025'!M78</f>
        <v>4977561</v>
      </c>
      <c r="N78" s="112">
        <f>'תקציב החברה לפיתוח 2025'!N78</f>
        <v>15133449</v>
      </c>
      <c r="O78" s="112">
        <f>'תקציב החברה לפיתוח 2025'!O78</f>
        <v>61000000</v>
      </c>
      <c r="P78" s="112">
        <f>'תקציב החברה לפיתוח 2025'!P78</f>
        <v>477561</v>
      </c>
      <c r="Q78" s="112">
        <f>'תקציב החברה לפיתוח 2025'!Q78</f>
        <v>4500000</v>
      </c>
      <c r="R78" s="112">
        <f>'תקציב החברה לפיתוח 2025'!R78</f>
        <v>0</v>
      </c>
      <c r="S78" s="112">
        <f>'תקציב החברה לפיתוח 2025'!S78</f>
        <v>4500000</v>
      </c>
      <c r="T78" s="112">
        <f>'תקציב החברה לפיתוח 2025'!T78</f>
        <v>0</v>
      </c>
      <c r="U78" s="257">
        <f>'תקציב החברה לפיתוח 2025'!U78</f>
        <v>15133449</v>
      </c>
      <c r="V78" s="112">
        <f>'תקציב החברה לפיתוח 2025'!V78</f>
        <v>15133449</v>
      </c>
      <c r="W78" s="112">
        <f>'תקציב החברה לפיתוח 2025'!W78</f>
        <v>0</v>
      </c>
      <c r="X78" s="112">
        <f>'תקציב החברה לפיתוח 2025'!X78</f>
        <v>0</v>
      </c>
      <c r="Y78" s="112">
        <f>'תקציב החברה לפיתוח 2025'!Y78</f>
        <v>0</v>
      </c>
      <c r="Z78" s="112">
        <f>'תקציב החברה לפיתוח 2025'!Z78</f>
        <v>0</v>
      </c>
      <c r="AA78" s="127">
        <f>'תקציב החברה לפיתוח 2025'!AA78</f>
        <v>0</v>
      </c>
      <c r="AB78" s="496" t="str">
        <f>'תקציב החברה לפיתוח 2025'!AB78</f>
        <v>תכנון חט"ב חדשה 24 כיתות באלתרמן. קדם מימון מ. החינוך.</v>
      </c>
      <c r="AC78" s="3">
        <f>'תקציב החברה לפיתוח 2025'!AC78</f>
        <v>810000</v>
      </c>
      <c r="AD78" s="123"/>
      <c r="AE78" s="123"/>
      <c r="AF78" s="123"/>
      <c r="AG78" s="123"/>
      <c r="AH78" s="123"/>
      <c r="AI78" s="123"/>
      <c r="AJ78" s="123"/>
      <c r="AK78" s="505"/>
      <c r="AL78" s="505"/>
      <c r="AM78" s="505"/>
      <c r="AN78" s="505"/>
      <c r="AO78" s="505"/>
      <c r="AP78" s="505"/>
      <c r="AQ78" s="505"/>
      <c r="AR78" s="505"/>
      <c r="AS78" s="123"/>
      <c r="AT78" s="123"/>
      <c r="AU78" s="123"/>
      <c r="AV78" s="123"/>
      <c r="AW78" s="123"/>
      <c r="AX78" s="123"/>
      <c r="AY78" s="123"/>
    </row>
    <row r="79" spans="1:56" s="5" customFormat="1" ht="30" customHeight="1">
      <c r="A79" s="112">
        <f t="shared" si="1"/>
        <v>75</v>
      </c>
      <c r="B79" s="19">
        <f>'תקציב החברה לפיתוח 2025'!B79</f>
        <v>2209</v>
      </c>
      <c r="C79" s="202" t="str">
        <f>'תקציב החברה לפיתוח 2025'!C79</f>
        <v>בית ספר ברנר (תוספת 6 כיתות)</v>
      </c>
      <c r="D79" s="112">
        <f>'תקציב החברה לפיתוח 2025'!D79</f>
        <v>46500000</v>
      </c>
      <c r="E79" s="112">
        <f>'תקציב החברה לפיתוח 2025'!E79</f>
        <v>46500000</v>
      </c>
      <c r="F79" s="112">
        <f>'תקציב החברה לפיתוח 2025'!F79</f>
        <v>0</v>
      </c>
      <c r="G79" s="112">
        <f>'תקציב החברה לפיתוח 2025'!G79</f>
        <v>1500000</v>
      </c>
      <c r="H79" s="112">
        <f>'תקציב החברה לפיתוח 2025'!H79</f>
        <v>1380226</v>
      </c>
      <c r="I79" s="112">
        <f>'תקציב החברה לפיתוח 2025'!I79</f>
        <v>0</v>
      </c>
      <c r="J79" s="112">
        <f>'תקציב החברה לפיתוח 2025'!J79</f>
        <v>114206</v>
      </c>
      <c r="K79" s="112">
        <f>'תקציב החברה לפיתוח 2025'!K79</f>
        <v>114206</v>
      </c>
      <c r="L79" s="112">
        <f>'תקציב החברה לפיתוח 2025'!L79</f>
        <v>1494432</v>
      </c>
      <c r="M79" s="112">
        <f>'תקציב החברה לפיתוח 2025'!M79</f>
        <v>305568</v>
      </c>
      <c r="N79" s="112">
        <f>'תקציב החברה לפיתוח 2025'!N79</f>
        <v>258358</v>
      </c>
      <c r="O79" s="112">
        <f>'תקציב החברה לפיתוח 2025'!O79</f>
        <v>44441642</v>
      </c>
      <c r="P79" s="112">
        <f>'תקציב החברה לפיתוח 2025'!P79</f>
        <v>5568</v>
      </c>
      <c r="Q79" s="112">
        <f>'תקציב החברה לפיתוח 2025'!Q79</f>
        <v>300000</v>
      </c>
      <c r="R79" s="112">
        <f>'תקציב החברה לפיתוח 2025'!R79</f>
        <v>0</v>
      </c>
      <c r="S79" s="112">
        <f>'תקציב החברה לפיתוח 2025'!S79</f>
        <v>300000</v>
      </c>
      <c r="T79" s="112">
        <f>'תקציב החברה לפיתוח 2025'!T79</f>
        <v>0</v>
      </c>
      <c r="U79" s="257">
        <f>'תקציב החברה לפיתוח 2025'!U79</f>
        <v>258358</v>
      </c>
      <c r="V79" s="112">
        <f>'תקציב החברה לפיתוח 2025'!V79</f>
        <v>258358</v>
      </c>
      <c r="W79" s="112">
        <f>'תקציב החברה לפיתוח 2025'!W79</f>
        <v>0</v>
      </c>
      <c r="X79" s="112">
        <f>'תקציב החברה לפיתוח 2025'!X79</f>
        <v>0</v>
      </c>
      <c r="Y79" s="112">
        <f>'תקציב החברה לפיתוח 2025'!Y79</f>
        <v>0</v>
      </c>
      <c r="Z79" s="112">
        <f>'תקציב החברה לפיתוח 2025'!Z79</f>
        <v>0</v>
      </c>
      <c r="AA79" s="112">
        <f>'תקציב החברה לפיתוח 2025'!AA79</f>
        <v>0</v>
      </c>
      <c r="AB79" s="496" t="str">
        <f>'תקציב החברה לפיתוח 2025'!AB79</f>
        <v>תכנון וביצוע תוספת 8 כיתות בי"ס ברנר ובניית אולם ספורט.</v>
      </c>
      <c r="AC79" s="3">
        <f>'תקציב החברה לפיתוח 2025'!AC79</f>
        <v>810000</v>
      </c>
      <c r="AD79" s="123"/>
      <c r="AE79" s="123"/>
      <c r="AF79" s="123"/>
      <c r="AG79" s="123"/>
      <c r="AH79" s="123"/>
      <c r="AI79" s="123"/>
      <c r="AJ79" s="123"/>
      <c r="AK79" s="505"/>
      <c r="AL79" s="505"/>
      <c r="AM79" s="505"/>
      <c r="AN79" s="505"/>
      <c r="AO79" s="505"/>
      <c r="AP79" s="505"/>
      <c r="AQ79" s="505"/>
      <c r="AR79" s="505"/>
      <c r="AS79" s="123"/>
      <c r="AT79" s="123"/>
      <c r="AU79" s="123"/>
      <c r="AV79" s="123"/>
      <c r="AW79" s="123"/>
      <c r="AX79" s="123"/>
      <c r="AY79" s="123"/>
    </row>
    <row r="80" spans="1:56" s="5" customFormat="1" ht="60">
      <c r="A80" s="112">
        <f t="shared" si="1"/>
        <v>76</v>
      </c>
      <c r="B80" s="201">
        <f>'תקציב החברה לפיתוח 2025'!B80</f>
        <v>2213</v>
      </c>
      <c r="C80" s="202" t="str">
        <f>'תקציב החברה לפיתוח 2025'!C80</f>
        <v>הקמת מערכות pv מעל גגות מבני ציבור בהרצליה</v>
      </c>
      <c r="D80" s="112">
        <f>'תקציב החברה לפיתוח 2025'!D80</f>
        <v>20100000</v>
      </c>
      <c r="E80" s="112">
        <f>'תקציב החברה לפיתוח 2025'!E80</f>
        <v>10100000</v>
      </c>
      <c r="F80" s="112">
        <f>'תקציב החברה לפיתוח 2025'!F80</f>
        <v>10000000</v>
      </c>
      <c r="G80" s="112">
        <f>'תקציב החברה לפיתוח 2025'!G80</f>
        <v>8100000</v>
      </c>
      <c r="H80" s="112">
        <f>'תקציב החברה לפיתוח 2025'!H80</f>
        <v>6404773</v>
      </c>
      <c r="I80" s="112">
        <f>'תקציב החברה לפיתוח 2025'!I80</f>
        <v>0</v>
      </c>
      <c r="J80" s="112">
        <f>'תקציב החברה לפיתוח 2025'!J80</f>
        <v>632878</v>
      </c>
      <c r="K80" s="112">
        <f>'תקציב החברה לפיתוח 2025'!K80</f>
        <v>632878</v>
      </c>
      <c r="L80" s="112">
        <f>'תקציב החברה לפיתוח 2025'!L80</f>
        <v>7037651</v>
      </c>
      <c r="M80" s="112">
        <f>'תקציב החברה לפיתוח 2025'!M80</f>
        <v>3062349</v>
      </c>
      <c r="N80" s="112">
        <f>'תקציב החברה לפיתוח 2025'!N80</f>
        <v>1000000</v>
      </c>
      <c r="O80" s="112">
        <f>'תקציב החברה לפיתוח 2025'!O80</f>
        <v>9000000</v>
      </c>
      <c r="P80" s="112">
        <f>'תקציב החברה לפיתוח 2025'!P80</f>
        <v>1062349</v>
      </c>
      <c r="Q80" s="112">
        <f>'תקציב החברה לפיתוח 2025'!Q80</f>
        <v>0</v>
      </c>
      <c r="R80" s="112">
        <f>'תקציב החברה לפיתוח 2025'!R80</f>
        <v>2000000</v>
      </c>
      <c r="S80" s="112">
        <f>'תקציב החברה לפיתוח 2025'!S80</f>
        <v>2000000</v>
      </c>
      <c r="T80" s="112">
        <f>'תקציב החברה לפיתוח 2025'!T80</f>
        <v>0</v>
      </c>
      <c r="U80" s="257">
        <f>'תקציב החברה לפיתוח 2025'!U80</f>
        <v>1000000</v>
      </c>
      <c r="V80" s="112">
        <f>'תקציב החברה לפיתוח 2025'!V80</f>
        <v>1000000</v>
      </c>
      <c r="W80" s="112">
        <f>'תקציב החברה לפיתוח 2025'!W80</f>
        <v>0</v>
      </c>
      <c r="X80" s="112">
        <f>'תקציב החברה לפיתוח 2025'!X80</f>
        <v>0</v>
      </c>
      <c r="Y80" s="112">
        <f>'תקציב החברה לפיתוח 2025'!Y80</f>
        <v>0</v>
      </c>
      <c r="Z80" s="112">
        <f>'תקציב החברה לפיתוח 2025'!Z80</f>
        <v>0</v>
      </c>
      <c r="AA80" s="127">
        <f>'תקציב החברה לפיתוח 2025'!AA80</f>
        <v>0</v>
      </c>
      <c r="AB80" s="202" t="str">
        <f>'תקציב החברה לפיתוח 2025'!AB80</f>
        <v>הקמת מערכות סולאריות על גגות אולמות ספורט ומתנ"סים 14 במספר עפ"י רשימה.  מימון הלוואה.</v>
      </c>
      <c r="AC80" s="3">
        <f>'תקציב החברה לפיתוח 2025'!AC80</f>
        <v>870000</v>
      </c>
      <c r="AD80" s="123"/>
      <c r="AE80" s="123"/>
      <c r="AF80" s="123"/>
      <c r="AG80" s="123"/>
      <c r="AH80" s="123"/>
      <c r="AI80" s="123"/>
      <c r="AJ80" s="123"/>
      <c r="AK80" s="505"/>
      <c r="AL80" s="505"/>
      <c r="AM80" s="505"/>
      <c r="AN80" s="505"/>
      <c r="AO80" s="505"/>
      <c r="AP80" s="505"/>
      <c r="AQ80" s="505"/>
      <c r="AR80" s="505"/>
      <c r="AS80" s="123"/>
      <c r="AT80" s="123"/>
      <c r="AU80" s="123"/>
      <c r="AV80" s="123"/>
      <c r="AW80" s="123"/>
      <c r="AX80" s="123"/>
      <c r="AY80" s="123"/>
    </row>
    <row r="81" spans="1:56" s="5" customFormat="1" ht="60">
      <c r="A81" s="112">
        <f t="shared" si="1"/>
        <v>77</v>
      </c>
      <c r="B81" s="19">
        <f>'תקציב החברה לפיתוח 2025'!B81</f>
        <v>2220</v>
      </c>
      <c r="C81" s="202" t="str">
        <f>'תקציב החברה לפיתוח 2025'!C81</f>
        <v>גן יניב - פיתוח והקמת מתקני כושר</v>
      </c>
      <c r="D81" s="112">
        <f>'תקציב החברה לפיתוח 2025'!D81</f>
        <v>3000000</v>
      </c>
      <c r="E81" s="112">
        <f>'תקציב החברה לפיתוח 2025'!E81</f>
        <v>2700000</v>
      </c>
      <c r="F81" s="112">
        <f>'תקציב החברה לפיתוח 2025'!F81</f>
        <v>300000</v>
      </c>
      <c r="G81" s="112">
        <f>'תקציב החברה לפיתוח 2025'!G81</f>
        <v>2700000</v>
      </c>
      <c r="H81" s="112">
        <f>'תקציב החברה לפיתוח 2025'!H81</f>
        <v>2210037</v>
      </c>
      <c r="I81" s="112">
        <f>'תקציב החברה לפיתוח 2025'!I81</f>
        <v>0</v>
      </c>
      <c r="J81" s="112">
        <f>'תקציב החברה לפיתוח 2025'!J81</f>
        <v>369627</v>
      </c>
      <c r="K81" s="112">
        <f>'תקציב החברה לפיתוח 2025'!K81</f>
        <v>369627</v>
      </c>
      <c r="L81" s="112">
        <f>'תקציב החברה לפיתוח 2025'!L81</f>
        <v>2579664</v>
      </c>
      <c r="M81" s="112">
        <f>'תקציב החברה לפיתוח 2025'!M81</f>
        <v>120336</v>
      </c>
      <c r="N81" s="112">
        <f>'תקציב החברה לפיתוח 2025'!N81</f>
        <v>300000</v>
      </c>
      <c r="O81" s="112">
        <f>'תקציב החברה לפיתוח 2025'!O81</f>
        <v>0</v>
      </c>
      <c r="P81" s="112">
        <f>'תקציב החברה לפיתוח 2025'!P81</f>
        <v>120336</v>
      </c>
      <c r="Q81" s="112">
        <f>'תקציב החברה לפיתוח 2025'!Q81</f>
        <v>0</v>
      </c>
      <c r="R81" s="112">
        <f>'תקציב החברה לפיתוח 2025'!R81</f>
        <v>0</v>
      </c>
      <c r="S81" s="112">
        <f>'תקציב החברה לפיתוח 2025'!S81</f>
        <v>0</v>
      </c>
      <c r="T81" s="112">
        <f>'תקציב החברה לפיתוח 2025'!T81</f>
        <v>0</v>
      </c>
      <c r="U81" s="257">
        <f>'תקציב החברה לפיתוח 2025'!U81</f>
        <v>300000</v>
      </c>
      <c r="V81" s="112">
        <f>'תקציב החברה לפיתוח 2025'!V81</f>
        <v>300000</v>
      </c>
      <c r="W81" s="112">
        <f>'תקציב החברה לפיתוח 2025'!W81</f>
        <v>0</v>
      </c>
      <c r="X81" s="112">
        <f>'תקציב החברה לפיתוח 2025'!X81</f>
        <v>0</v>
      </c>
      <c r="Y81" s="112">
        <f>'תקציב החברה לפיתוח 2025'!Y81</f>
        <v>0</v>
      </c>
      <c r="Z81" s="112">
        <f>'תקציב החברה לפיתוח 2025'!Z81</f>
        <v>0</v>
      </c>
      <c r="AA81" s="127">
        <f>'תקציב החברה לפיתוח 2025'!AA81</f>
        <v>0</v>
      </c>
      <c r="AB81" s="202" t="str">
        <f>'תקציב החברה לפיתוח 2025'!AB81</f>
        <v>תכנון וביצוע הקמת מתקני כושר ופיתוח בשטח הגבול בין גינת הכלבים וחיבור לגן הציבורי בשטח של 1.3 דונם.</v>
      </c>
      <c r="AC81" s="3">
        <f>'תקציב החברה לפיתוח 2025'!AC81</f>
        <v>746000</v>
      </c>
      <c r="AD81" s="123"/>
      <c r="AE81" s="123"/>
      <c r="AF81" s="123"/>
      <c r="AG81" s="123"/>
      <c r="AH81" s="123"/>
      <c r="AI81" s="123"/>
      <c r="AJ81" s="123"/>
      <c r="AK81" s="505"/>
      <c r="AL81" s="505"/>
      <c r="AM81" s="505"/>
      <c r="AN81" s="505"/>
      <c r="AO81" s="505"/>
      <c r="AP81" s="505"/>
      <c r="AQ81" s="505"/>
      <c r="AR81" s="505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</row>
    <row r="82" spans="1:56" s="5" customFormat="1" ht="30" customHeight="1">
      <c r="A82" s="112">
        <f t="shared" si="1"/>
        <v>78</v>
      </c>
      <c r="B82" s="19">
        <f>'תקציב החברה לפיתוח 2025'!B82</f>
        <v>2232</v>
      </c>
      <c r="C82" s="202" t="str">
        <f>'תקציב החברה לפיתוח 2025'!C82</f>
        <v>החלפת קו ניקוז רח' שלווה</v>
      </c>
      <c r="D82" s="112">
        <f>'תקציב החברה לפיתוח 2025'!D82</f>
        <v>36900000</v>
      </c>
      <c r="E82" s="112">
        <f>'תקציב החברה לפיתוח 2025'!E82</f>
        <v>17200000</v>
      </c>
      <c r="F82" s="112">
        <f>'תקציב החברה לפיתוח 2025'!F82</f>
        <v>19700000</v>
      </c>
      <c r="G82" s="112">
        <f>'תקציב החברה לפיתוח 2025'!G82</f>
        <v>800000</v>
      </c>
      <c r="H82" s="112">
        <f>'תקציב החברה לפיתוח 2025'!H82</f>
        <v>778625</v>
      </c>
      <c r="I82" s="112">
        <f>'תקציב החברה לפיתוח 2025'!I82</f>
        <v>0</v>
      </c>
      <c r="J82" s="112">
        <f>'תקציב החברה לפיתוח 2025'!J82</f>
        <v>0</v>
      </c>
      <c r="K82" s="112">
        <f>'תקציב החברה לפיתוח 2025'!K82</f>
        <v>0</v>
      </c>
      <c r="L82" s="112">
        <f>'תקציב החברה לפיתוח 2025'!L82</f>
        <v>778625</v>
      </c>
      <c r="M82" s="112">
        <f>'תקציב החברה לפיתוח 2025'!M82</f>
        <v>21375</v>
      </c>
      <c r="N82" s="112">
        <f>'תקציב החברה לפיתוח 2025'!N82</f>
        <v>0</v>
      </c>
      <c r="O82" s="112">
        <f>'תקציב החברה לפיתוח 2025'!O82</f>
        <v>36100000</v>
      </c>
      <c r="P82" s="112">
        <f>'תקציב החברה לפיתוח 2025'!P82</f>
        <v>21375</v>
      </c>
      <c r="Q82" s="112">
        <f>'תקציב החברה לפיתוח 2025'!Q82</f>
        <v>0</v>
      </c>
      <c r="R82" s="112">
        <f>'תקציב החברה לפיתוח 2025'!R82</f>
        <v>0</v>
      </c>
      <c r="S82" s="112">
        <f>'תקציב החברה לפיתוח 2025'!S82</f>
        <v>0</v>
      </c>
      <c r="T82" s="112">
        <f>'תקציב החברה לפיתוח 2025'!T82</f>
        <v>0</v>
      </c>
      <c r="U82" s="257">
        <f>'תקציב החברה לפיתוח 2025'!U82</f>
        <v>0</v>
      </c>
      <c r="V82" s="112">
        <f>'תקציב החברה לפיתוח 2025'!V82</f>
        <v>0</v>
      </c>
      <c r="W82" s="112">
        <f>'תקציב החברה לפיתוח 2025'!W82</f>
        <v>0</v>
      </c>
      <c r="X82" s="112">
        <f>'תקציב החברה לפיתוח 2025'!X82</f>
        <v>0</v>
      </c>
      <c r="Y82" s="112">
        <f>'תקציב החברה לפיתוח 2025'!Y82</f>
        <v>0</v>
      </c>
      <c r="Z82" s="112">
        <f>'תקציב החברה לפיתוח 2025'!Z82</f>
        <v>0</v>
      </c>
      <c r="AA82" s="127">
        <f>'תקציב החברה לפיתוח 2025'!AA82</f>
        <v>0</v>
      </c>
      <c r="AB82" s="202" t="str">
        <f>'תקציב החברה לפיתוח 2025'!AB82</f>
        <v xml:space="preserve">החלפת קו ניקוז ברח' שלווה. </v>
      </c>
      <c r="AC82" s="3">
        <f>'תקציב החברה לפיתוח 2025'!AC82</f>
        <v>745000</v>
      </c>
      <c r="AD82" s="123"/>
      <c r="AE82" s="123"/>
      <c r="AF82" s="123"/>
      <c r="AG82" s="123"/>
      <c r="AH82" s="123"/>
      <c r="AI82" s="123"/>
      <c r="AJ82" s="123"/>
      <c r="AK82" s="505"/>
      <c r="AL82" s="505"/>
      <c r="AM82" s="505"/>
      <c r="AN82" s="505"/>
      <c r="AO82" s="505"/>
      <c r="AP82" s="505"/>
      <c r="AQ82" s="505"/>
      <c r="AR82" s="505"/>
      <c r="AS82" s="123"/>
      <c r="AT82" s="123"/>
      <c r="AU82" s="123"/>
      <c r="AV82" s="123"/>
      <c r="AW82" s="123"/>
      <c r="AX82" s="123"/>
      <c r="AY82" s="123"/>
      <c r="AZ82" s="6"/>
      <c r="BA82" s="6"/>
      <c r="BB82" s="6"/>
      <c r="BC82" s="6"/>
      <c r="BD82" s="6"/>
    </row>
    <row r="83" spans="1:56" s="5" customFormat="1" ht="30" customHeight="1">
      <c r="A83" s="112">
        <f t="shared" si="1"/>
        <v>79</v>
      </c>
      <c r="B83" s="19">
        <f>'תקציב החברה לפיתוח 2025'!B83</f>
        <v>2233</v>
      </c>
      <c r="C83" s="202" t="str">
        <f>'תקציב החברה לפיתוח 2025'!C83</f>
        <v>החלפת קו ניקוז רח' בזל</v>
      </c>
      <c r="D83" s="112">
        <f>'תקציב החברה לפיתוח 2025'!D83</f>
        <v>24700000</v>
      </c>
      <c r="E83" s="112">
        <f>'תקציב החברה לפיתוח 2025'!E83</f>
        <v>20250000</v>
      </c>
      <c r="F83" s="112">
        <f>'תקציב החברה לפיתוח 2025'!F83</f>
        <v>4450000</v>
      </c>
      <c r="G83" s="112">
        <f>'תקציב החברה לפיתוח 2025'!G83</f>
        <v>800000</v>
      </c>
      <c r="H83" s="112">
        <f>'תקציב החברה לפיתוח 2025'!H83</f>
        <v>789541</v>
      </c>
      <c r="I83" s="112">
        <f>'תקציב החברה לפיתוח 2025'!I83</f>
        <v>0</v>
      </c>
      <c r="J83" s="112">
        <f>'תקציב החברה לפיתוח 2025'!J83</f>
        <v>0</v>
      </c>
      <c r="K83" s="112">
        <f>'תקציב החברה לפיתוח 2025'!K83</f>
        <v>0</v>
      </c>
      <c r="L83" s="112">
        <f>'תקציב החברה לפיתוח 2025'!L83</f>
        <v>789541</v>
      </c>
      <c r="M83" s="112">
        <f>'תקציב החברה לפיתוח 2025'!M83</f>
        <v>10459</v>
      </c>
      <c r="N83" s="112">
        <f>'תקציב החברה לפיתוח 2025'!N83</f>
        <v>0</v>
      </c>
      <c r="O83" s="112">
        <f>'תקציב החברה לפיתוח 2025'!O83</f>
        <v>23900000</v>
      </c>
      <c r="P83" s="112">
        <f>'תקציב החברה לפיתוח 2025'!P83</f>
        <v>10459</v>
      </c>
      <c r="Q83" s="112">
        <f>'תקציב החברה לפיתוח 2025'!Q83</f>
        <v>0</v>
      </c>
      <c r="R83" s="112">
        <f>'תקציב החברה לפיתוח 2025'!R83</f>
        <v>0</v>
      </c>
      <c r="S83" s="112">
        <f>'תקציב החברה לפיתוח 2025'!S83</f>
        <v>0</v>
      </c>
      <c r="T83" s="112">
        <f>'תקציב החברה לפיתוח 2025'!T83</f>
        <v>0</v>
      </c>
      <c r="U83" s="257">
        <f>'תקציב החברה לפיתוח 2025'!U83</f>
        <v>0</v>
      </c>
      <c r="V83" s="112">
        <f>'תקציב החברה לפיתוח 2025'!V83</f>
        <v>0</v>
      </c>
      <c r="W83" s="112">
        <f>'תקציב החברה לפיתוח 2025'!W83</f>
        <v>0</v>
      </c>
      <c r="X83" s="112">
        <f>'תקציב החברה לפיתוח 2025'!X83</f>
        <v>0</v>
      </c>
      <c r="Y83" s="112">
        <f>'תקציב החברה לפיתוח 2025'!Y83</f>
        <v>0</v>
      </c>
      <c r="Z83" s="112">
        <f>'תקציב החברה לפיתוח 2025'!Z83</f>
        <v>0</v>
      </c>
      <c r="AA83" s="127">
        <f>'תקציב החברה לפיתוח 2025'!AA83</f>
        <v>0</v>
      </c>
      <c r="AB83" s="202" t="str">
        <f>'תקציב החברה לפיתוח 2025'!AB83</f>
        <v xml:space="preserve">החלפת קו ניקוז ברח' בזל. </v>
      </c>
      <c r="AC83" s="3">
        <f>'תקציב החברה לפיתוח 2025'!AC83</f>
        <v>745000</v>
      </c>
      <c r="AD83" s="123"/>
      <c r="AE83" s="123"/>
      <c r="AF83" s="123"/>
      <c r="AG83" s="123"/>
      <c r="AH83" s="123"/>
      <c r="AI83" s="123"/>
      <c r="AJ83" s="123"/>
      <c r="AK83" s="505"/>
      <c r="AL83" s="505"/>
      <c r="AM83" s="505"/>
      <c r="AN83" s="505"/>
      <c r="AO83" s="505"/>
      <c r="AP83" s="505"/>
      <c r="AQ83" s="505"/>
      <c r="AR83" s="505"/>
      <c r="AS83" s="123"/>
      <c r="AT83" s="123"/>
      <c r="AU83" s="123"/>
      <c r="AV83" s="123"/>
      <c r="AW83" s="123"/>
      <c r="AX83" s="123"/>
      <c r="AY83" s="123"/>
      <c r="AZ83" s="6"/>
      <c r="BA83" s="6"/>
      <c r="BB83" s="6"/>
      <c r="BC83" s="6"/>
      <c r="BD83" s="6"/>
    </row>
    <row r="84" spans="1:56" s="148" customFormat="1" ht="75">
      <c r="A84" s="112">
        <f t="shared" si="1"/>
        <v>80</v>
      </c>
      <c r="B84" s="19">
        <f>'תקציב החברה לפיתוח 2025'!B84</f>
        <v>20004</v>
      </c>
      <c r="C84" s="202" t="str">
        <f>'תקציב החברה לפיתוח 2025'!C84</f>
        <v xml:space="preserve">שצפ הואדי והמנהרה הרומית </v>
      </c>
      <c r="D84" s="112">
        <f>'תקציב החברה לפיתוח 2025'!D84</f>
        <v>24750000</v>
      </c>
      <c r="E84" s="112">
        <f>'תקציב החברה לפיתוח 2025'!E84</f>
        <v>24750000</v>
      </c>
      <c r="F84" s="112">
        <f>'תקציב החברה לפיתוח 2025'!F84</f>
        <v>0</v>
      </c>
      <c r="G84" s="112">
        <f>'תקציב החברה לפיתוח 2025'!G84</f>
        <v>1626786</v>
      </c>
      <c r="H84" s="112">
        <f>'תקציב החברה לפיתוח 2025'!H84</f>
        <v>479410</v>
      </c>
      <c r="I84" s="112">
        <f>'תקציב החברה לפיתוח 2025'!I84</f>
        <v>0</v>
      </c>
      <c r="J84" s="112">
        <f>'תקציב החברה לפיתוח 2025'!J84</f>
        <v>1055084</v>
      </c>
      <c r="K84" s="112">
        <f>'תקציב החברה לפיתוח 2025'!K84</f>
        <v>1055084</v>
      </c>
      <c r="L84" s="112">
        <f>'תקציב החברה לפיתוח 2025'!L84</f>
        <v>1534494</v>
      </c>
      <c r="M84" s="112">
        <f>'תקציב החברה לפיתוח 2025'!M84</f>
        <v>92292</v>
      </c>
      <c r="N84" s="112">
        <f>'תקציב החברה לפיתוח 2025'!N84</f>
        <v>7623214</v>
      </c>
      <c r="O84" s="112">
        <f>'תקציב החברה לפיתוח 2025'!O84</f>
        <v>15500000</v>
      </c>
      <c r="P84" s="112">
        <f>'תקציב החברה לפיתוח 2025'!P84</f>
        <v>92292</v>
      </c>
      <c r="Q84" s="112">
        <f>'תקציב החברה לפיתוח 2025'!Q84</f>
        <v>0</v>
      </c>
      <c r="R84" s="112">
        <f>'תקציב החברה לפיתוח 2025'!R84</f>
        <v>0</v>
      </c>
      <c r="S84" s="112">
        <f>'תקציב החברה לפיתוח 2025'!S84</f>
        <v>0</v>
      </c>
      <c r="T84" s="112">
        <f>'תקציב החברה לפיתוח 2025'!T84</f>
        <v>0</v>
      </c>
      <c r="U84" s="257">
        <f>'תקציב החברה לפיתוח 2025'!U84</f>
        <v>7623214</v>
      </c>
      <c r="V84" s="112">
        <f>'תקציב החברה לפיתוח 2025'!V84</f>
        <v>1718224</v>
      </c>
      <c r="W84" s="112">
        <f>'תקציב החברה לפיתוח 2025'!W84</f>
        <v>0</v>
      </c>
      <c r="X84" s="112">
        <f>'תקציב החברה לפיתוח 2025'!X84</f>
        <v>0</v>
      </c>
      <c r="Y84" s="112">
        <f>'תקציב החברה לפיתוח 2025'!Y84</f>
        <v>0</v>
      </c>
      <c r="Z84" s="112">
        <f>'תקציב החברה לפיתוח 2025'!Z84</f>
        <v>0</v>
      </c>
      <c r="AA84" s="112">
        <f>'תקציב החברה לפיתוח 2025'!AA84</f>
        <v>5904990</v>
      </c>
      <c r="AB84" s="202" t="str">
        <f>'תקציב החברה לפיתוח 2025'!AB84</f>
        <v>עבודות פיתוח, גינון והשקייה,  ניקוז ותיעול פיתוח לאזור הואדי כולל שיקום מדרכות ושבילי אופניים בנעמי שמר, עבודות חשמל,תאורה. מימון נת"ע.</v>
      </c>
      <c r="AC84" s="3">
        <f>'תקציב החברה לפיתוח 2025'!AC84</f>
        <v>742000</v>
      </c>
      <c r="AD84" s="123"/>
      <c r="AE84" s="123"/>
      <c r="AF84" s="123"/>
      <c r="AG84" s="123"/>
      <c r="AH84" s="123"/>
      <c r="AI84" s="123"/>
      <c r="AJ84" s="123"/>
      <c r="AK84" s="505"/>
      <c r="AL84" s="505"/>
      <c r="AM84" s="505"/>
      <c r="AN84" s="505"/>
      <c r="AO84" s="505"/>
      <c r="AP84" s="505"/>
      <c r="AQ84" s="505"/>
      <c r="AR84" s="505"/>
      <c r="AS84" s="123"/>
      <c r="AT84" s="123"/>
      <c r="AU84" s="123"/>
      <c r="AV84" s="123"/>
      <c r="AW84" s="123"/>
      <c r="AX84" s="123"/>
      <c r="AY84" s="123"/>
      <c r="AZ84" s="5"/>
      <c r="BA84" s="5"/>
      <c r="BB84" s="5"/>
      <c r="BC84" s="5"/>
      <c r="BD84" s="5"/>
    </row>
    <row r="85" spans="1:56" s="148" customFormat="1" ht="75">
      <c r="A85" s="112">
        <f t="shared" si="1"/>
        <v>81</v>
      </c>
      <c r="B85" s="19">
        <f>'תקציב החברה לפיתוח 2025'!B85</f>
        <v>20009</v>
      </c>
      <c r="C85" s="202" t="str">
        <f>'תקציב החברה לפיתוח 2025'!C85</f>
        <v>תכנון תב"ע מתחם הנופש "אקספורט"</v>
      </c>
      <c r="D85" s="4">
        <f>'תקציב החברה לפיתוח 2025'!D85</f>
        <v>2150000</v>
      </c>
      <c r="E85" s="4">
        <f>'תקציב החברה לפיתוח 2025'!E85</f>
        <v>2150000</v>
      </c>
      <c r="F85" s="4">
        <f>'תקציב החברה לפיתוח 2025'!F85</f>
        <v>0</v>
      </c>
      <c r="G85" s="4">
        <f>'תקציב החברה לפיתוח 2025'!G85</f>
        <v>250000</v>
      </c>
      <c r="H85" s="4">
        <f>'תקציב החברה לפיתוח 2025'!H85</f>
        <v>162220</v>
      </c>
      <c r="I85" s="4">
        <f>'תקציב החברה לפיתוח 2025'!I85</f>
        <v>0</v>
      </c>
      <c r="J85" s="4">
        <f>'תקציב החברה לפיתוח 2025'!J85</f>
        <v>86814</v>
      </c>
      <c r="K85" s="4">
        <f>'תקציב החברה לפיתוח 2025'!K85</f>
        <v>86814</v>
      </c>
      <c r="L85" s="4">
        <f>'תקציב החברה לפיתוח 2025'!L85</f>
        <v>249034</v>
      </c>
      <c r="M85" s="112">
        <f>'תקציב החברה לפיתוח 2025'!M85</f>
        <v>250966</v>
      </c>
      <c r="N85" s="112">
        <f>'תקציב החברה לפיתוח 2025'!N85</f>
        <v>200000</v>
      </c>
      <c r="O85" s="4">
        <f>'תקציב החברה לפיתוח 2025'!O85</f>
        <v>1450000</v>
      </c>
      <c r="P85" s="4">
        <f>'תקציב החברה לפיתוח 2025'!P85</f>
        <v>966</v>
      </c>
      <c r="Q85" s="4">
        <f>'תקציב החברה לפיתוח 2025'!Q85</f>
        <v>250000</v>
      </c>
      <c r="R85" s="4">
        <f>'תקציב החברה לפיתוח 2025'!R85</f>
        <v>0</v>
      </c>
      <c r="S85" s="112">
        <f>'תקציב החברה לפיתוח 2025'!S85</f>
        <v>250000</v>
      </c>
      <c r="T85" s="4">
        <f>'תקציב החברה לפיתוח 2025'!T85</f>
        <v>0</v>
      </c>
      <c r="U85" s="495">
        <f>'תקציב החברה לפיתוח 2025'!U85</f>
        <v>200000</v>
      </c>
      <c r="V85" s="4">
        <f>'תקציב החברה לפיתוח 2025'!V85</f>
        <v>200000</v>
      </c>
      <c r="W85" s="4">
        <f>'תקציב החברה לפיתוח 2025'!W85</f>
        <v>0</v>
      </c>
      <c r="X85" s="4">
        <f>'תקציב החברה לפיתוח 2025'!X85</f>
        <v>0</v>
      </c>
      <c r="Y85" s="4">
        <f>'תקציב החברה לפיתוח 2025'!Y85</f>
        <v>0</v>
      </c>
      <c r="Z85" s="4">
        <f>'תקציב החברה לפיתוח 2025'!Z85</f>
        <v>0</v>
      </c>
      <c r="AA85" s="3">
        <f>'תקציב החברה לפיתוח 2025'!AA85</f>
        <v>0</v>
      </c>
      <c r="AB85" s="202" t="str">
        <f>'תקציב החברה לפיתוח 2025'!AB85</f>
        <v xml:space="preserve">תכנון והיערכות להכנת תוכנית סטטוטורית לאישור הועדה המחוזית בעתודת קרקע בין הרחובות יוסף נבו , ז'בוטינסקי ובן ציון מיכאלי. </v>
      </c>
      <c r="AC85" s="3">
        <f>'תקציב החברה לפיתוח 2025'!AC85</f>
        <v>732000</v>
      </c>
      <c r="AD85" s="123"/>
      <c r="AE85" s="123"/>
      <c r="AF85" s="123"/>
      <c r="AG85" s="123"/>
      <c r="AH85" s="123"/>
      <c r="AI85" s="123"/>
      <c r="AJ85" s="123"/>
      <c r="AK85" s="505"/>
      <c r="AL85" s="505"/>
      <c r="AM85" s="505"/>
      <c r="AN85" s="505"/>
      <c r="AO85" s="505"/>
      <c r="AP85" s="505"/>
      <c r="AQ85" s="505"/>
      <c r="AR85" s="505"/>
      <c r="AS85" s="123"/>
      <c r="AT85" s="123"/>
      <c r="AU85" s="123"/>
      <c r="AV85" s="123"/>
      <c r="AW85" s="123"/>
      <c r="AX85" s="123"/>
      <c r="AY85" s="123"/>
      <c r="AZ85" s="5"/>
      <c r="BA85" s="5"/>
      <c r="BB85" s="5"/>
      <c r="BC85" s="5"/>
      <c r="BD85" s="5"/>
    </row>
    <row r="86" spans="1:56" s="5" customFormat="1" ht="75">
      <c r="A86" s="112">
        <f t="shared" si="1"/>
        <v>82</v>
      </c>
      <c r="B86" s="19">
        <f>'תקציב החברה לפיתוח 2025'!B86</f>
        <v>20011</v>
      </c>
      <c r="C86" s="202" t="str">
        <f>'תקציב החברה לפיתוח 2025'!C86</f>
        <v xml:space="preserve">גנ"י ומעון יום שיקומי  חנה רובינא </v>
      </c>
      <c r="D86" s="112">
        <f>'תקציב החברה לפיתוח 2025'!D86</f>
        <v>21500000</v>
      </c>
      <c r="E86" s="112">
        <f>'תקציב החברה לפיתוח 2025'!E86</f>
        <v>21500000</v>
      </c>
      <c r="F86" s="112">
        <f>'תקציב החברה לפיתוח 2025'!F86</f>
        <v>0</v>
      </c>
      <c r="G86" s="112">
        <f>'תקציב החברה לפיתוח 2025'!G86</f>
        <v>1500000</v>
      </c>
      <c r="H86" s="112">
        <f>'תקציב החברה לפיתוח 2025'!H86</f>
        <v>1294812</v>
      </c>
      <c r="I86" s="112">
        <f>'תקציב החברה לפיתוח 2025'!I86</f>
        <v>0</v>
      </c>
      <c r="J86" s="112">
        <f>'תקציב החברה לפיתוח 2025'!J86</f>
        <v>191925</v>
      </c>
      <c r="K86" s="112">
        <f>'תקציב החברה לפיתוח 2025'!K86</f>
        <v>191925</v>
      </c>
      <c r="L86" s="112">
        <f>'תקציב החברה לפיתוח 2025'!L86</f>
        <v>1486737</v>
      </c>
      <c r="M86" s="112">
        <f>'תקציב החברה לפיתוח 2025'!M86</f>
        <v>13753</v>
      </c>
      <c r="N86" s="112">
        <f>'תקציב החברה לפיתוח 2025'!N86</f>
        <v>1000490</v>
      </c>
      <c r="O86" s="112">
        <f>'תקציב החברה לפיתוח 2025'!O86</f>
        <v>18999020</v>
      </c>
      <c r="P86" s="112">
        <f>'תקציב החברה לפיתוח 2025'!P86</f>
        <v>13263</v>
      </c>
      <c r="Q86" s="112">
        <f>'תקציב החברה לפיתוח 2025'!Q86</f>
        <v>490</v>
      </c>
      <c r="R86" s="112">
        <f>'תקציב החברה לפיתוח 2025'!R86</f>
        <v>0</v>
      </c>
      <c r="S86" s="112">
        <f>'תקציב החברה לפיתוח 2025'!S86</f>
        <v>490</v>
      </c>
      <c r="T86" s="112">
        <f>'תקציב החברה לפיתוח 2025'!T86</f>
        <v>0</v>
      </c>
      <c r="U86" s="257">
        <f>'תקציב החברה לפיתוח 2025'!U86</f>
        <v>1000490</v>
      </c>
      <c r="V86" s="112">
        <f>'תקציב החברה לפיתוח 2025'!V86</f>
        <v>1000490</v>
      </c>
      <c r="W86" s="112">
        <f>'תקציב החברה לפיתוח 2025'!W86</f>
        <v>0</v>
      </c>
      <c r="X86" s="112">
        <f>'תקציב החברה לפיתוח 2025'!X86</f>
        <v>0</v>
      </c>
      <c r="Y86" s="112">
        <f>'תקציב החברה לפיתוח 2025'!Y86</f>
        <v>0</v>
      </c>
      <c r="Z86" s="112">
        <f>'תקציב החברה לפיתוח 2025'!Z86</f>
        <v>0</v>
      </c>
      <c r="AA86" s="112">
        <f>'תקציב החברה לפיתוח 2025'!AA86</f>
        <v>0</v>
      </c>
      <c r="AB86" s="202" t="str">
        <f>'תקציב החברה לפיתוח 2025'!AB86</f>
        <v xml:space="preserve"> בניה 2 כיתות גנ"י ו3 כיתות  מעון יום שיקומי בחנה רובינא. מימון מ. החינוך, קרן שלם והמוסד לב.לאומי. הצטיידות גם בתב"ר 20044 בחינוך.</v>
      </c>
      <c r="AC86" s="3">
        <f>'תקציב החברה לפיתוח 2025'!AC86</f>
        <v>810000</v>
      </c>
      <c r="AD86" s="123"/>
      <c r="AE86" s="123"/>
      <c r="AF86" s="123"/>
      <c r="AG86" s="123"/>
      <c r="AH86" s="123"/>
      <c r="AI86" s="123"/>
      <c r="AJ86" s="123"/>
      <c r="AK86" s="505"/>
      <c r="AL86" s="505"/>
      <c r="AM86" s="505"/>
      <c r="AN86" s="505"/>
      <c r="AO86" s="505"/>
      <c r="AP86" s="505"/>
      <c r="AQ86" s="505"/>
      <c r="AR86" s="505"/>
      <c r="AS86" s="123"/>
      <c r="AT86" s="123"/>
      <c r="AU86" s="123"/>
      <c r="AV86" s="123"/>
      <c r="AW86" s="123"/>
      <c r="AX86" s="123"/>
      <c r="AY86" s="123"/>
    </row>
    <row r="87" spans="1:56" s="5" customFormat="1" ht="45">
      <c r="A87" s="112">
        <f t="shared" si="1"/>
        <v>83</v>
      </c>
      <c r="B87" s="19">
        <f>'תקציב החברה לפיתוח 2025'!B87</f>
        <v>20013</v>
      </c>
      <c r="C87" s="202" t="str">
        <f>'תקציב החברה לפיתוח 2025'!C87</f>
        <v>גנ"י ומעונות יום רח' הזמר העברי מתחם המסילה</v>
      </c>
      <c r="D87" s="112">
        <f>'תקציב החברה לפיתוח 2025'!D87</f>
        <v>1000000</v>
      </c>
      <c r="E87" s="112">
        <f>'תקציב החברה לפיתוח 2025'!E87</f>
        <v>1000000</v>
      </c>
      <c r="F87" s="112">
        <f>'תקציב החברה לפיתוח 2025'!F87</f>
        <v>0</v>
      </c>
      <c r="G87" s="112">
        <f>'תקציב החברה לפיתוח 2025'!G87</f>
        <v>1000000</v>
      </c>
      <c r="H87" s="112">
        <f>'תקציב החברה לפיתוח 2025'!H87</f>
        <v>767414</v>
      </c>
      <c r="I87" s="112">
        <f>'תקציב החברה לפיתוח 2025'!I87</f>
        <v>0</v>
      </c>
      <c r="J87" s="112">
        <f>'תקציב החברה לפיתוח 2025'!J87</f>
        <v>214420</v>
      </c>
      <c r="K87" s="112">
        <f>'תקציב החברה לפיתוח 2025'!K87</f>
        <v>214420</v>
      </c>
      <c r="L87" s="112">
        <f>'תקציב החברה לפיתוח 2025'!L87</f>
        <v>981834</v>
      </c>
      <c r="M87" s="112">
        <f>'תקציב החברה לפיתוח 2025'!M87</f>
        <v>18166</v>
      </c>
      <c r="N87" s="112">
        <f>'תקציב החברה לפיתוח 2025'!N87</f>
        <v>0</v>
      </c>
      <c r="O87" s="112">
        <f>'תקציב החברה לפיתוח 2025'!O87</f>
        <v>0</v>
      </c>
      <c r="P87" s="112">
        <f>'תקציב החברה לפיתוח 2025'!P87</f>
        <v>18166</v>
      </c>
      <c r="Q87" s="112">
        <f>'תקציב החברה לפיתוח 2025'!Q87</f>
        <v>0</v>
      </c>
      <c r="R87" s="112">
        <f>'תקציב החברה לפיתוח 2025'!R87</f>
        <v>0</v>
      </c>
      <c r="S87" s="112">
        <f>'תקציב החברה לפיתוח 2025'!S87</f>
        <v>0</v>
      </c>
      <c r="T87" s="112">
        <f>'תקציב החברה לפיתוח 2025'!T87</f>
        <v>0</v>
      </c>
      <c r="U87" s="257">
        <f>'תקציב החברה לפיתוח 2025'!U87</f>
        <v>0</v>
      </c>
      <c r="V87" s="112">
        <f>'תקציב החברה לפיתוח 2025'!V87</f>
        <v>0</v>
      </c>
      <c r="W87" s="112">
        <f>'תקציב החברה לפיתוח 2025'!W87</f>
        <v>0</v>
      </c>
      <c r="X87" s="112">
        <f>'תקציב החברה לפיתוח 2025'!X87</f>
        <v>0</v>
      </c>
      <c r="Y87" s="112">
        <f>'תקציב החברה לפיתוח 2025'!Y87</f>
        <v>0</v>
      </c>
      <c r="Z87" s="112">
        <f>'תקציב החברה לפיתוח 2025'!Z87</f>
        <v>0</v>
      </c>
      <c r="AA87" s="127">
        <f>'תקציב החברה לפיתוח 2025'!AA87</f>
        <v>0</v>
      </c>
      <c r="AB87" s="202" t="str">
        <f>'תקציב החברה לפיתוח 2025'!AB87</f>
        <v>תכנון 4 גנ"י ומעונות יום במתחם המסילה. קדם מימון מ. החינוך.</v>
      </c>
      <c r="AC87" s="3">
        <f>'תקציב החברה לפיתוח 2025'!AC87</f>
        <v>810000</v>
      </c>
      <c r="AD87" s="123"/>
      <c r="AE87" s="123"/>
      <c r="AF87" s="123"/>
      <c r="AG87" s="123"/>
      <c r="AH87" s="123"/>
      <c r="AI87" s="123"/>
      <c r="AJ87" s="123"/>
      <c r="AK87" s="505"/>
      <c r="AL87" s="505"/>
      <c r="AM87" s="505"/>
      <c r="AN87" s="505"/>
      <c r="AO87" s="505"/>
      <c r="AP87" s="505"/>
      <c r="AQ87" s="505"/>
      <c r="AR87" s="505"/>
      <c r="AS87" s="123"/>
      <c r="AT87" s="123"/>
      <c r="AU87" s="123"/>
      <c r="AV87" s="123"/>
      <c r="AW87" s="123"/>
      <c r="AX87" s="123"/>
      <c r="AY87" s="123"/>
    </row>
    <row r="88" spans="1:56" s="5" customFormat="1" ht="60">
      <c r="A88" s="112">
        <f t="shared" si="1"/>
        <v>84</v>
      </c>
      <c r="B88" s="19">
        <f>'תקציב החברה לפיתוח 2025'!B88</f>
        <v>20014</v>
      </c>
      <c r="C88" s="202" t="str">
        <f>'תקציב החברה לפיתוח 2025'!C88</f>
        <v xml:space="preserve">מתחם ספורט משותף במתחם אלתרמן אפולוניה </v>
      </c>
      <c r="D88" s="112">
        <f>'תקציב החברה לפיתוח 2025'!D88</f>
        <v>1750000</v>
      </c>
      <c r="E88" s="112">
        <f>'תקציב החברה לפיתוח 2025'!E88</f>
        <v>1500000</v>
      </c>
      <c r="F88" s="112">
        <f>'תקציב החברה לפיתוח 2025'!F88</f>
        <v>250000</v>
      </c>
      <c r="G88" s="112">
        <f>'תקציב החברה לפיתוח 2025'!G88</f>
        <v>450000</v>
      </c>
      <c r="H88" s="112">
        <f>'תקציב החברה לפיתוח 2025'!H88</f>
        <v>314262</v>
      </c>
      <c r="I88" s="112">
        <f>'תקציב החברה לפיתוח 2025'!I88</f>
        <v>0</v>
      </c>
      <c r="J88" s="112">
        <f>'תקציב החברה לפיתוח 2025'!J88</f>
        <v>85737</v>
      </c>
      <c r="K88" s="112">
        <f>'תקציב החברה לפיתוח 2025'!K88</f>
        <v>85737</v>
      </c>
      <c r="L88" s="112">
        <f>'תקציב החברה לפיתוח 2025'!L88</f>
        <v>399999</v>
      </c>
      <c r="M88" s="112">
        <f>'תקציב החברה לפיתוח 2025'!M88</f>
        <v>50001</v>
      </c>
      <c r="N88" s="112">
        <f>'תקציב החברה לפיתוח 2025'!N88</f>
        <v>0</v>
      </c>
      <c r="O88" s="112">
        <f>'תקציב החברה לפיתוח 2025'!O88</f>
        <v>1300000</v>
      </c>
      <c r="P88" s="112">
        <f>'תקציב החברה לפיתוח 2025'!P88</f>
        <v>50001</v>
      </c>
      <c r="Q88" s="112">
        <f>'תקציב החברה לפיתוח 2025'!Q88</f>
        <v>0</v>
      </c>
      <c r="R88" s="112">
        <f>'תקציב החברה לפיתוח 2025'!R88</f>
        <v>0</v>
      </c>
      <c r="S88" s="112">
        <f>'תקציב החברה לפיתוח 2025'!S88</f>
        <v>0</v>
      </c>
      <c r="T88" s="112">
        <f>'תקציב החברה לפיתוח 2025'!T88</f>
        <v>0</v>
      </c>
      <c r="U88" s="257">
        <f>'תקציב החברה לפיתוח 2025'!U88</f>
        <v>0</v>
      </c>
      <c r="V88" s="112">
        <f>'תקציב החברה לפיתוח 2025'!V88</f>
        <v>0</v>
      </c>
      <c r="W88" s="112">
        <f>'תקציב החברה לפיתוח 2025'!W88</f>
        <v>0</v>
      </c>
      <c r="X88" s="112">
        <f>'תקציב החברה לפיתוח 2025'!X88</f>
        <v>0</v>
      </c>
      <c r="Y88" s="112">
        <f>'תקציב החברה לפיתוח 2025'!Y88</f>
        <v>0</v>
      </c>
      <c r="Z88" s="112">
        <f>'תקציב החברה לפיתוח 2025'!Z88</f>
        <v>0</v>
      </c>
      <c r="AA88" s="127">
        <f>'תקציב החברה לפיתוח 2025'!AA88</f>
        <v>0</v>
      </c>
      <c r="AB88" s="202" t="str">
        <f>'תקציב החברה לפיתוח 2025'!AB88</f>
        <v xml:space="preserve">מתחם ספורט משותף: הרחבת הבריכה אולם ומגרש ספורט לתיכון היובל, אולם ספורט לבי״ס נבון ואולם התעמלות מכשירים. </v>
      </c>
      <c r="AC88" s="3">
        <f>'תקציב החברה לפיתוח 2025'!AC88</f>
        <v>829000</v>
      </c>
      <c r="AD88" s="123"/>
      <c r="AE88" s="123"/>
      <c r="AF88" s="123"/>
      <c r="AG88" s="123"/>
      <c r="AH88" s="123"/>
      <c r="AI88" s="123"/>
      <c r="AJ88" s="123"/>
      <c r="AK88" s="505"/>
      <c r="AL88" s="505"/>
      <c r="AM88" s="505"/>
      <c r="AN88" s="505"/>
      <c r="AO88" s="505"/>
      <c r="AP88" s="505"/>
      <c r="AQ88" s="505"/>
      <c r="AR88" s="505"/>
      <c r="AS88" s="123"/>
      <c r="AT88" s="123"/>
      <c r="AU88" s="123"/>
      <c r="AV88" s="123"/>
      <c r="AW88" s="123"/>
      <c r="AX88" s="123"/>
      <c r="AY88" s="123"/>
    </row>
    <row r="89" spans="1:56" s="5" customFormat="1" ht="60">
      <c r="A89" s="112">
        <f t="shared" si="1"/>
        <v>85</v>
      </c>
      <c r="B89" s="19">
        <f>'תקציב החברה לפיתוח 2025'!B89</f>
        <v>20016</v>
      </c>
      <c r="C89" s="3" t="s">
        <v>1292</v>
      </c>
      <c r="D89" s="112">
        <f>'תקציב החברה לפיתוח 2025'!D89</f>
        <v>2700000</v>
      </c>
      <c r="E89" s="112">
        <f>'תקציב החברה לפיתוח 2025'!E89</f>
        <v>2500000</v>
      </c>
      <c r="F89" s="112">
        <f>'תקציב החברה לפיתוח 2025'!F89</f>
        <v>200000</v>
      </c>
      <c r="G89" s="112">
        <f>'תקציב החברה לפיתוח 2025'!G89</f>
        <v>1000000</v>
      </c>
      <c r="H89" s="112">
        <f>'תקציב החברה לפיתוח 2025'!H89</f>
        <v>983235</v>
      </c>
      <c r="I89" s="112">
        <f>'תקציב החברה לפיתוח 2025'!I89</f>
        <v>0</v>
      </c>
      <c r="J89" s="112">
        <f>'תקציב החברה לפיתוח 2025'!J89</f>
        <v>15484</v>
      </c>
      <c r="K89" s="112">
        <f>'תקציב החברה לפיתוח 2025'!K89</f>
        <v>15484</v>
      </c>
      <c r="L89" s="112">
        <f>'תקציב החברה לפיתוח 2025'!L89</f>
        <v>998719</v>
      </c>
      <c r="M89" s="112">
        <f>'תקציב החברה לפיתוח 2025'!M89</f>
        <v>701281</v>
      </c>
      <c r="N89" s="112">
        <f>'תקציב החברה לפיתוח 2025'!N89</f>
        <v>500000</v>
      </c>
      <c r="O89" s="112">
        <f>'תקציב החברה לפיתוח 2025'!O89</f>
        <v>500000</v>
      </c>
      <c r="P89" s="112">
        <f>'תקציב החברה לפיתוח 2025'!P89</f>
        <v>1281</v>
      </c>
      <c r="Q89" s="112">
        <f>'תקציב החברה לפיתוח 2025'!Q89</f>
        <v>700000</v>
      </c>
      <c r="R89" s="112">
        <f>'תקציב החברה לפיתוח 2025'!R89</f>
        <v>0</v>
      </c>
      <c r="S89" s="112">
        <f>'תקציב החברה לפיתוח 2025'!S89</f>
        <v>700000</v>
      </c>
      <c r="T89" s="112">
        <f>'תקציב החברה לפיתוח 2025'!T89</f>
        <v>0</v>
      </c>
      <c r="U89" s="257">
        <f>'תקציב החברה לפיתוח 2025'!U89</f>
        <v>500000</v>
      </c>
      <c r="V89" s="112">
        <f>'תקציב החברה לפיתוח 2025'!V89</f>
        <v>500000</v>
      </c>
      <c r="W89" s="112">
        <f>'תקציב החברה לפיתוח 2025'!W89</f>
        <v>0</v>
      </c>
      <c r="X89" s="112">
        <f>'תקציב החברה לפיתוח 2025'!X89</f>
        <v>0</v>
      </c>
      <c r="Y89" s="112">
        <f>'תקציב החברה לפיתוח 2025'!Y89</f>
        <v>0</v>
      </c>
      <c r="Z89" s="112">
        <f>'תקציב החברה לפיתוח 2025'!Z89</f>
        <v>0</v>
      </c>
      <c r="AA89" s="127">
        <f>'תקציב החברה לפיתוח 2025'!AA89</f>
        <v>0</v>
      </c>
      <c r="AB89" s="202" t="str">
        <f>'תקציב החברה לפיתוח 2025'!AB89</f>
        <v>הקמת מרכז תרבות כולל ספריה עירונית  ופעילויות חינוכיות. עדכון שם.</v>
      </c>
      <c r="AC89" s="3">
        <f>'תקציב החברה לפיתוח 2025'!AC89</f>
        <v>826000</v>
      </c>
      <c r="AD89" s="123"/>
      <c r="AE89" s="123"/>
      <c r="AF89" s="123"/>
      <c r="AG89" s="123"/>
      <c r="AH89" s="123"/>
      <c r="AI89" s="123"/>
      <c r="AJ89" s="123"/>
      <c r="AK89" s="505"/>
      <c r="AL89" s="505"/>
      <c r="AM89" s="505"/>
      <c r="AN89" s="505"/>
      <c r="AO89" s="505"/>
      <c r="AP89" s="505"/>
      <c r="AQ89" s="505"/>
      <c r="AR89" s="505"/>
      <c r="AS89" s="123"/>
      <c r="AT89" s="123"/>
      <c r="AU89" s="123"/>
      <c r="AV89" s="123"/>
      <c r="AW89" s="123"/>
      <c r="AX89" s="123"/>
      <c r="AY89" s="123"/>
      <c r="AZ89" s="148"/>
      <c r="BA89" s="148"/>
      <c r="BB89" s="148"/>
      <c r="BC89" s="148"/>
      <c r="BD89" s="148"/>
    </row>
    <row r="90" spans="1:56" s="5" customFormat="1" ht="45">
      <c r="A90" s="112">
        <f t="shared" si="1"/>
        <v>86</v>
      </c>
      <c r="B90" s="19">
        <f>'תקציב החברה לפיתוח 2025'!B90</f>
        <v>20017</v>
      </c>
      <c r="C90" s="202" t="str">
        <f>'תקציב החברה לפיתוח 2025'!C90</f>
        <v>ביכנ"ס  הרצליה הירוקה</v>
      </c>
      <c r="D90" s="112">
        <f>'תקציב החברה לפיתוח 2025'!D90</f>
        <v>10000000</v>
      </c>
      <c r="E90" s="112">
        <f>'תקציב החברה לפיתוח 2025'!E90</f>
        <v>10000000</v>
      </c>
      <c r="F90" s="112">
        <f>'תקציב החברה לפיתוח 2025'!F90</f>
        <v>0</v>
      </c>
      <c r="G90" s="112">
        <f>'תקציב החברה לפיתוח 2025'!G90</f>
        <v>600000</v>
      </c>
      <c r="H90" s="112">
        <f>'תקציב החברה לפיתוח 2025'!H90</f>
        <v>315586</v>
      </c>
      <c r="I90" s="112">
        <f>'תקציב החברה לפיתוח 2025'!I90</f>
        <v>0</v>
      </c>
      <c r="J90" s="112">
        <f>'תקציב החברה לפיתוח 2025'!J90</f>
        <v>111469</v>
      </c>
      <c r="K90" s="112">
        <f>'תקציב החברה לפיתוח 2025'!K90</f>
        <v>111469</v>
      </c>
      <c r="L90" s="112">
        <f>'תקציב החברה לפיתוח 2025'!L90</f>
        <v>427055</v>
      </c>
      <c r="M90" s="112">
        <f>'תקציב החברה לפיתוח 2025'!M90</f>
        <v>172945</v>
      </c>
      <c r="N90" s="112">
        <f>'תקציב החברה לפיתוח 2025'!N90</f>
        <v>100000</v>
      </c>
      <c r="O90" s="112">
        <f>'תקציב החברה לפיתוח 2025'!O90</f>
        <v>9300000</v>
      </c>
      <c r="P90" s="112">
        <f>'תקציב החברה לפיתוח 2025'!P90</f>
        <v>172945</v>
      </c>
      <c r="Q90" s="112">
        <f>'תקציב החברה לפיתוח 2025'!Q90</f>
        <v>0</v>
      </c>
      <c r="R90" s="112">
        <f>'תקציב החברה לפיתוח 2025'!R90</f>
        <v>0</v>
      </c>
      <c r="S90" s="112">
        <f>'תקציב החברה לפיתוח 2025'!S90</f>
        <v>0</v>
      </c>
      <c r="T90" s="112">
        <f>'תקציב החברה לפיתוח 2025'!T90</f>
        <v>0</v>
      </c>
      <c r="U90" s="257">
        <f>'תקציב החברה לפיתוח 2025'!U90</f>
        <v>100000</v>
      </c>
      <c r="V90" s="112">
        <f>'תקציב החברה לפיתוח 2025'!V90</f>
        <v>100000</v>
      </c>
      <c r="W90" s="112">
        <f>'תקציב החברה לפיתוח 2025'!W90</f>
        <v>0</v>
      </c>
      <c r="X90" s="112">
        <f>'תקציב החברה לפיתוח 2025'!X90</f>
        <v>0</v>
      </c>
      <c r="Y90" s="112">
        <f>'תקציב החברה לפיתוח 2025'!Y90</f>
        <v>0</v>
      </c>
      <c r="Z90" s="112">
        <f>'תקציב החברה לפיתוח 2025'!Z90</f>
        <v>0</v>
      </c>
      <c r="AA90" s="127">
        <f>'תקציב החברה לפיתוח 2025'!AA90</f>
        <v>0</v>
      </c>
      <c r="AB90" s="202" t="str">
        <f>'תקציב החברה לפיתוח 2025'!AB90</f>
        <v>תכנון וביצוע ביכנ"ס גוש 6526 חלקה 46 בדויד השמעוני בהרצליה הירוקה.</v>
      </c>
      <c r="AC90" s="3">
        <f>'תקציב החברה לפיתוח 2025'!AC90</f>
        <v>850000</v>
      </c>
      <c r="AD90" s="123"/>
      <c r="AE90" s="123"/>
      <c r="AF90" s="123"/>
      <c r="AG90" s="123"/>
      <c r="AH90" s="123"/>
      <c r="AI90" s="123"/>
      <c r="AJ90" s="123"/>
      <c r="AK90" s="505"/>
      <c r="AL90" s="505"/>
      <c r="AM90" s="505"/>
      <c r="AN90" s="505"/>
      <c r="AO90" s="505"/>
      <c r="AP90" s="505"/>
      <c r="AQ90" s="505"/>
      <c r="AR90" s="505"/>
      <c r="AS90" s="123"/>
      <c r="AT90" s="123"/>
      <c r="AU90" s="123"/>
      <c r="AV90" s="123"/>
      <c r="AW90" s="123"/>
      <c r="AX90" s="123"/>
      <c r="AY90" s="123"/>
    </row>
    <row r="91" spans="1:56" s="5" customFormat="1" ht="45">
      <c r="A91" s="112">
        <f t="shared" si="1"/>
        <v>87</v>
      </c>
      <c r="B91" s="19">
        <f>'תקציב החברה לפיתוח 2025'!B91</f>
        <v>20018</v>
      </c>
      <c r="C91" s="202" t="str">
        <f>'תקציב החברה לפיתוח 2025'!C91</f>
        <v>מוזיאון הרצליה - הרחבה ושיפוץ</v>
      </c>
      <c r="D91" s="112">
        <f>'תקציב החברה לפיתוח 2025'!D91</f>
        <v>60000000</v>
      </c>
      <c r="E91" s="112">
        <f>'תקציב החברה לפיתוח 2025'!E91</f>
        <v>45000000</v>
      </c>
      <c r="F91" s="112">
        <f>'תקציב החברה לפיתוח 2025'!F91</f>
        <v>15000000</v>
      </c>
      <c r="G91" s="112">
        <f>'תקציב החברה לפיתוח 2025'!G91</f>
        <v>1150000</v>
      </c>
      <c r="H91" s="112">
        <f>'תקציב החברה לפיתוח 2025'!H91</f>
        <v>1116315</v>
      </c>
      <c r="I91" s="112">
        <f>'תקציב החברה לפיתוח 2025'!I91</f>
        <v>0</v>
      </c>
      <c r="J91" s="112">
        <f>'תקציב החברה לפיתוח 2025'!J91</f>
        <v>27535</v>
      </c>
      <c r="K91" s="112">
        <f>'תקציב החברה לפיתוח 2025'!K91</f>
        <v>27535</v>
      </c>
      <c r="L91" s="112">
        <f>'תקציב החברה לפיתוח 2025'!L91</f>
        <v>1143850</v>
      </c>
      <c r="M91" s="112">
        <f>'תקציב החברה לפיתוח 2025'!M91</f>
        <v>6150</v>
      </c>
      <c r="N91" s="112">
        <f>'תקציב החברה לפיתוח 2025'!N91</f>
        <v>13000000</v>
      </c>
      <c r="O91" s="112">
        <f>'תקציב החברה לפיתוח 2025'!O91</f>
        <v>45850000</v>
      </c>
      <c r="P91" s="112">
        <f>'תקציב החברה לפיתוח 2025'!P91</f>
        <v>6150</v>
      </c>
      <c r="Q91" s="112">
        <f>'תקציב החברה לפיתוח 2025'!Q91</f>
        <v>0</v>
      </c>
      <c r="R91" s="112">
        <f>'תקציב החברה לפיתוח 2025'!R91</f>
        <v>0</v>
      </c>
      <c r="S91" s="112">
        <f>'תקציב החברה לפיתוח 2025'!S91</f>
        <v>0</v>
      </c>
      <c r="T91" s="112">
        <f>'תקציב החברה לפיתוח 2025'!T91</f>
        <v>0</v>
      </c>
      <c r="U91" s="257">
        <f>'תקציב החברה לפיתוח 2025'!U91</f>
        <v>13000000</v>
      </c>
      <c r="V91" s="112">
        <f>'תקציב החברה לפיתוח 2025'!V91</f>
        <v>1650000</v>
      </c>
      <c r="W91" s="112">
        <f>'תקציב החברה לפיתוח 2025'!W91</f>
        <v>0</v>
      </c>
      <c r="X91" s="112">
        <f>'תקציב החברה לפיתוח 2025'!X91</f>
        <v>0</v>
      </c>
      <c r="Y91" s="112">
        <f>'תקציב החברה לפיתוח 2025'!Y91</f>
        <v>0</v>
      </c>
      <c r="Z91" s="112">
        <f>'תקציב החברה לפיתוח 2025'!Z91</f>
        <v>0</v>
      </c>
      <c r="AA91" s="112">
        <f>'תקציב החברה לפיתוח 2025'!AA91</f>
        <v>11350000</v>
      </c>
      <c r="AB91" s="202" t="str">
        <f>'תקציב החברה לפיתוח 2025'!AB91</f>
        <v>תוספת קומה כ - 300 מ"ר , עבודות שיפוץ ופיתוח רחבת המוזיאון. מימון מ. התרבות ומ. הפיס.</v>
      </c>
      <c r="AC91" s="3">
        <f>'תקציב החברה לפיתוח 2025'!AC91</f>
        <v>826000</v>
      </c>
      <c r="AD91" s="123"/>
      <c r="AE91" s="123"/>
      <c r="AF91" s="123"/>
      <c r="AG91" s="123"/>
      <c r="AH91" s="123"/>
      <c r="AI91" s="123"/>
      <c r="AJ91" s="123"/>
      <c r="AK91" s="505"/>
      <c r="AL91" s="505"/>
      <c r="AM91" s="505"/>
      <c r="AN91" s="505"/>
      <c r="AO91" s="505"/>
      <c r="AP91" s="505"/>
      <c r="AQ91" s="505"/>
      <c r="AR91" s="505"/>
      <c r="AS91" s="123"/>
      <c r="AT91" s="123"/>
      <c r="AU91" s="123"/>
      <c r="AV91" s="123"/>
      <c r="AW91" s="123"/>
      <c r="AX91" s="123"/>
      <c r="AY91" s="123"/>
    </row>
    <row r="92" spans="1:56" s="5" customFormat="1" ht="68.25" customHeight="1">
      <c r="A92" s="112">
        <f t="shared" si="1"/>
        <v>88</v>
      </c>
      <c r="B92" s="19">
        <f>'תקציב החברה לפיתוח 2025'!B92</f>
        <v>20063</v>
      </c>
      <c r="C92" s="202" t="str">
        <f>'תקציב החברה לפיתוח 2025'!C92</f>
        <v>ביכנ"ס ע"ש הרב שלמה קוממי זצ"ל ומרכז לטיפול בגיל הרך מגרש 301 ג. ים</v>
      </c>
      <c r="D92" s="112">
        <f>'תקציב החברה לפיתוח 2025'!D92</f>
        <v>1750000</v>
      </c>
      <c r="E92" s="112">
        <f>'תקציב החברה לפיתוח 2025'!E92</f>
        <v>1750000</v>
      </c>
      <c r="F92" s="112">
        <f>'תקציב החברה לפיתוח 2025'!F92</f>
        <v>0</v>
      </c>
      <c r="G92" s="112">
        <f>'תקציב החברה לפיתוח 2025'!G92</f>
        <v>700000</v>
      </c>
      <c r="H92" s="112">
        <f>'תקציב החברה לפיתוח 2025'!H92</f>
        <v>470452</v>
      </c>
      <c r="I92" s="112">
        <f>'תקציב החברה לפיתוח 2025'!I92</f>
        <v>0</v>
      </c>
      <c r="J92" s="112">
        <f>'תקציב החברה לפיתוח 2025'!J92</f>
        <v>182520</v>
      </c>
      <c r="K92" s="112">
        <f>'תקציב החברה לפיתוח 2025'!K92</f>
        <v>182520</v>
      </c>
      <c r="L92" s="112">
        <f>'תקציב החברה לפיתוח 2025'!L92</f>
        <v>652972</v>
      </c>
      <c r="M92" s="112">
        <f>'תקציב החברה לפיתוח 2025'!M92</f>
        <v>247028</v>
      </c>
      <c r="N92" s="112">
        <f>'תקציב החברה לפיתוח 2025'!N92</f>
        <v>350000</v>
      </c>
      <c r="O92" s="112">
        <f>'תקציב החברה לפיתוח 2025'!O92</f>
        <v>500000</v>
      </c>
      <c r="P92" s="112">
        <f>'תקציב החברה לפיתוח 2025'!P92</f>
        <v>47028</v>
      </c>
      <c r="Q92" s="112">
        <f>'תקציב החברה לפיתוח 2025'!Q92</f>
        <v>200000</v>
      </c>
      <c r="R92" s="112">
        <f>'תקציב החברה לפיתוח 2025'!R92</f>
        <v>0</v>
      </c>
      <c r="S92" s="112">
        <f>'תקציב החברה לפיתוח 2025'!S92</f>
        <v>200000</v>
      </c>
      <c r="T92" s="112">
        <f>'תקציב החברה לפיתוח 2025'!T92</f>
        <v>0</v>
      </c>
      <c r="U92" s="257">
        <f>'תקציב החברה לפיתוח 2025'!U92</f>
        <v>350000</v>
      </c>
      <c r="V92" s="112">
        <f>'תקציב החברה לפיתוח 2025'!V92</f>
        <v>350000</v>
      </c>
      <c r="W92" s="112">
        <f>'תקציב החברה לפיתוח 2025'!W92</f>
        <v>0</v>
      </c>
      <c r="X92" s="112">
        <f>'תקציב החברה לפיתוח 2025'!X92</f>
        <v>0</v>
      </c>
      <c r="Y92" s="112">
        <f>'תקציב החברה לפיתוח 2025'!Y92</f>
        <v>0</v>
      </c>
      <c r="Z92" s="112">
        <f>'תקציב החברה לפיתוח 2025'!Z92</f>
        <v>0</v>
      </c>
      <c r="AA92" s="127">
        <f>'תקציב החברה לפיתוח 2025'!AA92</f>
        <v>0</v>
      </c>
      <c r="AB92" s="202" t="str">
        <f>'תקציב החברה לפיתוח 2025'!AB92</f>
        <v>ביכנ"ס ומרכז טיפול לגיל הרך מגרש 301. תכנון.</v>
      </c>
      <c r="AC92" s="3">
        <f>'תקציב החברה לפיתוח 2025'!AC92</f>
        <v>850000</v>
      </c>
      <c r="AD92" s="123"/>
      <c r="AE92" s="123"/>
      <c r="AF92" s="123"/>
      <c r="AG92" s="123"/>
      <c r="AH92" s="123"/>
      <c r="AI92" s="123"/>
      <c r="AJ92" s="123"/>
      <c r="AK92" s="505"/>
      <c r="AL92" s="505"/>
      <c r="AM92" s="505"/>
      <c r="AN92" s="505"/>
      <c r="AO92" s="505"/>
      <c r="AP92" s="505"/>
      <c r="AQ92" s="505"/>
      <c r="AR92" s="505"/>
      <c r="AS92" s="123"/>
      <c r="AT92" s="123"/>
      <c r="AU92" s="123"/>
      <c r="AV92" s="123"/>
      <c r="AW92" s="123"/>
      <c r="AX92" s="123"/>
      <c r="AY92" s="123"/>
    </row>
    <row r="93" spans="1:56" s="5" customFormat="1" ht="30" customHeight="1">
      <c r="A93" s="112">
        <f t="shared" si="1"/>
        <v>89</v>
      </c>
      <c r="B93" s="3">
        <f>'תקציב החברה לפיתוח 2025'!B93</f>
        <v>20064</v>
      </c>
      <c r="C93" s="202" t="str">
        <f>'תקציב החברה לפיתוח 2025'!C93</f>
        <v>תב"עות פרויקטים מניבים</v>
      </c>
      <c r="D93" s="112">
        <f>'תקציב החברה לפיתוח 2025'!D93</f>
        <v>2000000</v>
      </c>
      <c r="E93" s="112">
        <f>'תקציב החברה לפיתוח 2025'!E93</f>
        <v>2000000</v>
      </c>
      <c r="F93" s="112">
        <f>'תקציב החברה לפיתוח 2025'!F93</f>
        <v>0</v>
      </c>
      <c r="G93" s="112">
        <f>'תקציב החברה לפיתוח 2025'!G93</f>
        <v>500000</v>
      </c>
      <c r="H93" s="112">
        <f>'תקציב החברה לפיתוח 2025'!H93</f>
        <v>363833</v>
      </c>
      <c r="I93" s="112">
        <f>'תקציב החברה לפיתוח 2025'!I93</f>
        <v>0</v>
      </c>
      <c r="J93" s="112">
        <f>'תקציב החברה לפיתוח 2025'!J93</f>
        <v>133512</v>
      </c>
      <c r="K93" s="112">
        <f>'תקציב החברה לפיתוח 2025'!K93</f>
        <v>133512</v>
      </c>
      <c r="L93" s="112">
        <f>'תקציב החברה לפיתוח 2025'!L93</f>
        <v>497345</v>
      </c>
      <c r="M93" s="112">
        <f>'תקציב החברה לפיתוח 2025'!M93</f>
        <v>102655</v>
      </c>
      <c r="N93" s="112">
        <f>'תקציב החברה לפיתוח 2025'!N93</f>
        <v>200000</v>
      </c>
      <c r="O93" s="112">
        <f>'תקציב החברה לפיתוח 2025'!O93</f>
        <v>1200000</v>
      </c>
      <c r="P93" s="112">
        <f>'תקציב החברה לפיתוח 2025'!P93</f>
        <v>2655</v>
      </c>
      <c r="Q93" s="112">
        <f>'תקציב החברה לפיתוח 2025'!Q93</f>
        <v>100000</v>
      </c>
      <c r="R93" s="112">
        <f>'תקציב החברה לפיתוח 2025'!R93</f>
        <v>0</v>
      </c>
      <c r="S93" s="112">
        <f>'תקציב החברה לפיתוח 2025'!S93</f>
        <v>100000</v>
      </c>
      <c r="T93" s="112">
        <f>'תקציב החברה לפיתוח 2025'!T93</f>
        <v>0</v>
      </c>
      <c r="U93" s="257">
        <f>'תקציב החברה לפיתוח 2025'!U93</f>
        <v>200000</v>
      </c>
      <c r="V93" s="112">
        <f>'תקציב החברה לפיתוח 2025'!V93</f>
        <v>200000</v>
      </c>
      <c r="W93" s="112">
        <f>'תקציב החברה לפיתוח 2025'!W93</f>
        <v>0</v>
      </c>
      <c r="X93" s="112">
        <f>'תקציב החברה לפיתוח 2025'!X93</f>
        <v>0</v>
      </c>
      <c r="Y93" s="112">
        <f>'תקציב החברה לפיתוח 2025'!Y93</f>
        <v>0</v>
      </c>
      <c r="Z93" s="112">
        <f>'תקציב החברה לפיתוח 2025'!Z93</f>
        <v>0</v>
      </c>
      <c r="AA93" s="127">
        <f>'תקציב החברה לפיתוח 2025'!AA93</f>
        <v>0</v>
      </c>
      <c r="AB93" s="202" t="str">
        <f>'תקציב החברה לפיתוח 2025'!AB93</f>
        <v>תכנון תב"עות פרויקטים מניבים.</v>
      </c>
      <c r="AC93" s="3">
        <f>'תקציב החברה לפיתוח 2025'!AC93</f>
        <v>732000</v>
      </c>
      <c r="AD93" s="123"/>
      <c r="AE93" s="123"/>
      <c r="AF93" s="123"/>
      <c r="AG93" s="123"/>
      <c r="AH93" s="123"/>
      <c r="AI93" s="123"/>
      <c r="AJ93" s="123"/>
      <c r="AK93" s="505"/>
      <c r="AL93" s="505"/>
      <c r="AM93" s="505"/>
      <c r="AN93" s="505"/>
      <c r="AO93" s="505"/>
      <c r="AP93" s="505"/>
      <c r="AQ93" s="505"/>
      <c r="AR93" s="505"/>
      <c r="AS93" s="123"/>
      <c r="AT93" s="123"/>
      <c r="AU93" s="123"/>
      <c r="AV93" s="123"/>
      <c r="AW93" s="123"/>
      <c r="AX93" s="123"/>
      <c r="AY93" s="123"/>
    </row>
    <row r="94" spans="1:56" s="5" customFormat="1" ht="45">
      <c r="A94" s="112">
        <f t="shared" si="1"/>
        <v>90</v>
      </c>
      <c r="B94" s="3">
        <f>'תקציב החברה לפיתוח 2025'!B94</f>
        <v>20081</v>
      </c>
      <c r="C94" s="202" t="str">
        <f>'תקציב החברה לפיתוח 2025'!C94</f>
        <v>תכנון וביצוע קאונטרי הרצליה</v>
      </c>
      <c r="D94" s="112">
        <f>'תקציב החברה לפיתוח 2025'!D94</f>
        <v>89300000</v>
      </c>
      <c r="E94" s="112">
        <f>'תקציב החברה לפיתוח 2025'!E94</f>
        <v>85000000</v>
      </c>
      <c r="F94" s="112">
        <f>'תקציב החברה לפיתוח 2025'!F94</f>
        <v>4300000</v>
      </c>
      <c r="G94" s="112">
        <f>'תקציב החברה לפיתוח 2025'!G94</f>
        <v>53500000</v>
      </c>
      <c r="H94" s="112">
        <f>'תקציב החברה לפיתוח 2025'!H94</f>
        <v>48696410</v>
      </c>
      <c r="I94" s="112">
        <f>'תקציב החברה לפיתוח 2025'!I94</f>
        <v>0</v>
      </c>
      <c r="J94" s="112">
        <f>'תקציב החברה לפיתוח 2025'!J94</f>
        <v>2237146</v>
      </c>
      <c r="K94" s="112">
        <f>'תקציב החברה לפיתוח 2025'!K94</f>
        <v>2237146</v>
      </c>
      <c r="L94" s="112">
        <f>'תקציב החברה לפיתוח 2025'!L94</f>
        <v>50933556</v>
      </c>
      <c r="M94" s="112">
        <f>'תקציב החברה לפיתוח 2025'!M94</f>
        <v>12566444</v>
      </c>
      <c r="N94" s="112">
        <f>'תקציב החברה לפיתוח 2025'!N94</f>
        <v>20000000</v>
      </c>
      <c r="O94" s="112">
        <f>'תקציב החברה לפיתוח 2025'!O94</f>
        <v>5800000</v>
      </c>
      <c r="P94" s="112">
        <f>'תקציב החברה לפיתוח 2025'!P94</f>
        <v>2566444</v>
      </c>
      <c r="Q94" s="112">
        <f>'תקציב החברה לפיתוח 2025'!Q94</f>
        <v>5000000</v>
      </c>
      <c r="R94" s="112">
        <f>'תקציב החברה לפיתוח 2025'!R94</f>
        <v>5000000</v>
      </c>
      <c r="S94" s="112">
        <f>'תקציב החברה לפיתוח 2025'!S94</f>
        <v>10000000</v>
      </c>
      <c r="T94" s="112">
        <f>'תקציב החברה לפיתוח 2025'!T94</f>
        <v>0</v>
      </c>
      <c r="U94" s="257">
        <f>'תקציב החברה לפיתוח 2025'!U94</f>
        <v>20000000</v>
      </c>
      <c r="V94" s="112">
        <f>'תקציב החברה לפיתוח 2025'!V94</f>
        <v>20000000</v>
      </c>
      <c r="W94" s="112">
        <f>'תקציב החברה לפיתוח 2025'!W94</f>
        <v>0</v>
      </c>
      <c r="X94" s="112">
        <f>'תקציב החברה לפיתוח 2025'!X94</f>
        <v>0</v>
      </c>
      <c r="Y94" s="112">
        <f>'תקציב החברה לפיתוח 2025'!Y94</f>
        <v>0</v>
      </c>
      <c r="Z94" s="112">
        <f>'תקציב החברה לפיתוח 2025'!Z94</f>
        <v>0</v>
      </c>
      <c r="AA94" s="127">
        <f>'תקציב החברה לפיתוח 2025'!AA94</f>
        <v>0</v>
      </c>
      <c r="AB94" s="202" t="str">
        <f>'תקציב החברה לפיתוח 2025'!AB94</f>
        <v xml:space="preserve">עבודות הריסת מבנים ובניה ,עבודות גינון והצטיידות קאונטרי הרצליה. </v>
      </c>
      <c r="AC94" s="3">
        <f>'תקציב החברה לפיתוח 2025'!AC94</f>
        <v>829000</v>
      </c>
      <c r="AD94" s="123"/>
      <c r="AE94" s="123"/>
      <c r="AF94" s="123"/>
      <c r="AG94" s="123"/>
      <c r="AH94" s="123"/>
      <c r="AI94" s="123"/>
      <c r="AJ94" s="123"/>
      <c r="AK94" s="505"/>
      <c r="AL94" s="505"/>
      <c r="AM94" s="505"/>
      <c r="AN94" s="505"/>
      <c r="AO94" s="505"/>
      <c r="AP94" s="505"/>
      <c r="AQ94" s="505"/>
      <c r="AR94" s="505"/>
      <c r="AS94" s="123"/>
      <c r="AT94" s="123"/>
      <c r="AU94" s="123"/>
      <c r="AV94" s="123"/>
      <c r="AW94" s="123"/>
      <c r="AX94" s="123"/>
      <c r="AY94" s="123"/>
    </row>
    <row r="95" spans="1:56" s="5" customFormat="1" ht="45">
      <c r="A95" s="112">
        <f t="shared" si="1"/>
        <v>91</v>
      </c>
      <c r="B95" s="3">
        <f>'תקציב החברה לפיתוח 2025'!B95</f>
        <v>20082</v>
      </c>
      <c r="C95" s="202" t="str">
        <f>'תקציב החברה לפיתוח 2025'!C95</f>
        <v>בי"ס קרן אור</v>
      </c>
      <c r="D95" s="112">
        <f>'תקציב החברה לפיתוח 2025'!D95</f>
        <v>500000</v>
      </c>
      <c r="E95" s="112">
        <f>'תקציב החברה לפיתוח 2025'!E95</f>
        <v>500000</v>
      </c>
      <c r="F95" s="112">
        <f>'תקציב החברה לפיתוח 2025'!F95</f>
        <v>0</v>
      </c>
      <c r="G95" s="112">
        <f>'תקציב החברה לפיתוח 2025'!G95</f>
        <v>500000</v>
      </c>
      <c r="H95" s="112">
        <f>'תקציב החברה לפיתוח 2025'!H95</f>
        <v>12464</v>
      </c>
      <c r="I95" s="112">
        <f>'תקציב החברה לפיתוח 2025'!I95</f>
        <v>0</v>
      </c>
      <c r="J95" s="112">
        <f>'תקציב החברה לפיתוח 2025'!J95</f>
        <v>118687</v>
      </c>
      <c r="K95" s="112">
        <f>'תקציב החברה לפיתוח 2025'!K95</f>
        <v>118687</v>
      </c>
      <c r="L95" s="112">
        <f>'תקציב החברה לפיתוח 2025'!L95</f>
        <v>131151</v>
      </c>
      <c r="M95" s="112">
        <f>'תקציב החברה לפיתוח 2025'!M95</f>
        <v>368849</v>
      </c>
      <c r="N95" s="112">
        <f>'תקציב החברה לפיתוח 2025'!N95</f>
        <v>0</v>
      </c>
      <c r="O95" s="112">
        <f>'תקציב החברה לפיתוח 2025'!O95</f>
        <v>0</v>
      </c>
      <c r="P95" s="112">
        <f>'תקציב החברה לפיתוח 2025'!P95</f>
        <v>368849</v>
      </c>
      <c r="Q95" s="112">
        <f>'תקציב החברה לפיתוח 2025'!Q95</f>
        <v>0</v>
      </c>
      <c r="R95" s="112">
        <f>'תקציב החברה לפיתוח 2025'!R95</f>
        <v>0</v>
      </c>
      <c r="S95" s="112">
        <f>'תקציב החברה לפיתוח 2025'!S95</f>
        <v>0</v>
      </c>
      <c r="T95" s="112">
        <f>'תקציב החברה לפיתוח 2025'!T95</f>
        <v>0</v>
      </c>
      <c r="U95" s="257">
        <f>'תקציב החברה לפיתוח 2025'!U95</f>
        <v>0</v>
      </c>
      <c r="V95" s="112">
        <f>'תקציב החברה לפיתוח 2025'!V95</f>
        <v>0</v>
      </c>
      <c r="W95" s="112">
        <f>'תקציב החברה לפיתוח 2025'!W95</f>
        <v>0</v>
      </c>
      <c r="X95" s="112">
        <f>'תקציב החברה לפיתוח 2025'!X95</f>
        <v>0</v>
      </c>
      <c r="Y95" s="112">
        <f>'תקציב החברה לפיתוח 2025'!Y95</f>
        <v>0</v>
      </c>
      <c r="Z95" s="112">
        <f>'תקציב החברה לפיתוח 2025'!Z95</f>
        <v>0</v>
      </c>
      <c r="AA95" s="127">
        <f>'תקציב החברה לפיתוח 2025'!AA95</f>
        <v>0</v>
      </c>
      <c r="AB95" s="202" t="str">
        <f>'תקציב החברה לפיתוח 2025'!AB95</f>
        <v>בי"ס קבע "קרן אור" ליד בי"ס "אופק"  עד 10 כיתות. תכנון ראשוני .</v>
      </c>
      <c r="AC95" s="3">
        <f>'תקציב החברה לפיתוח 2025'!AC95</f>
        <v>810000</v>
      </c>
      <c r="AD95" s="123"/>
      <c r="AE95" s="123"/>
      <c r="AF95" s="123"/>
      <c r="AG95" s="123"/>
      <c r="AH95" s="123"/>
      <c r="AI95" s="123"/>
      <c r="AJ95" s="123"/>
      <c r="AK95" s="505"/>
      <c r="AL95" s="505"/>
      <c r="AM95" s="505"/>
      <c r="AN95" s="505"/>
      <c r="AO95" s="505"/>
      <c r="AP95" s="505"/>
      <c r="AQ95" s="505"/>
      <c r="AR95" s="505"/>
      <c r="AS95" s="123"/>
      <c r="AT95" s="123"/>
      <c r="AU95" s="123"/>
      <c r="AV95" s="123"/>
      <c r="AW95" s="123"/>
      <c r="AX95" s="123"/>
      <c r="AY95" s="123"/>
    </row>
    <row r="96" spans="1:56" s="5" customFormat="1" ht="60">
      <c r="A96" s="112">
        <f t="shared" si="1"/>
        <v>92</v>
      </c>
      <c r="B96" s="3">
        <f>'תקציב החברה לפיתוח 2025'!B96</f>
        <v>20083</v>
      </c>
      <c r="C96" s="202" t="str">
        <f>'תקציב החברה לפיתוח 2025'!C96</f>
        <v>שב"צ ויצמן</v>
      </c>
      <c r="D96" s="112">
        <f>'תקציב החברה לפיתוח 2025'!D96</f>
        <v>500000</v>
      </c>
      <c r="E96" s="112">
        <f>'תקציב החברה לפיתוח 2025'!E96</f>
        <v>500000</v>
      </c>
      <c r="F96" s="112">
        <f>'תקציב החברה לפיתוח 2025'!F96</f>
        <v>0</v>
      </c>
      <c r="G96" s="112">
        <f>'תקציב החברה לפיתוח 2025'!G96</f>
        <v>250000</v>
      </c>
      <c r="H96" s="112">
        <f>'תקציב החברה לפיתוח 2025'!H96</f>
        <v>176266</v>
      </c>
      <c r="I96" s="112">
        <f>'תקציב החברה לפיתוח 2025'!I96</f>
        <v>0</v>
      </c>
      <c r="J96" s="112">
        <f>'תקציב החברה לפיתוח 2025'!J96</f>
        <v>71775</v>
      </c>
      <c r="K96" s="112">
        <f>'תקציב החברה לפיתוח 2025'!K96</f>
        <v>71775</v>
      </c>
      <c r="L96" s="112">
        <f>'תקציב החברה לפיתוח 2025'!L96</f>
        <v>248041</v>
      </c>
      <c r="M96" s="112">
        <f>'תקציב החברה לפיתוח 2025'!M96</f>
        <v>1959</v>
      </c>
      <c r="N96" s="112">
        <f>'תקציב החברה לפיתוח 2025'!N96</f>
        <v>250000</v>
      </c>
      <c r="O96" s="112">
        <f>'תקציב החברה לפיתוח 2025'!O96</f>
        <v>0</v>
      </c>
      <c r="P96" s="112">
        <f>'תקציב החברה לפיתוח 2025'!P96</f>
        <v>1959</v>
      </c>
      <c r="Q96" s="112">
        <f>'תקציב החברה לפיתוח 2025'!Q96</f>
        <v>0</v>
      </c>
      <c r="R96" s="112">
        <f>'תקציב החברה לפיתוח 2025'!R96</f>
        <v>0</v>
      </c>
      <c r="S96" s="112">
        <f>'תקציב החברה לפיתוח 2025'!S96</f>
        <v>0</v>
      </c>
      <c r="T96" s="112">
        <f>'תקציב החברה לפיתוח 2025'!T96</f>
        <v>0</v>
      </c>
      <c r="U96" s="257">
        <f>'תקציב החברה לפיתוח 2025'!U96</f>
        <v>250000</v>
      </c>
      <c r="V96" s="112">
        <f>'תקציב החברה לפיתוח 2025'!V96</f>
        <v>250000</v>
      </c>
      <c r="W96" s="112">
        <f>'תקציב החברה לפיתוח 2025'!W96</f>
        <v>0</v>
      </c>
      <c r="X96" s="112">
        <f>'תקציב החברה לפיתוח 2025'!X96</f>
        <v>0</v>
      </c>
      <c r="Y96" s="112">
        <f>'תקציב החברה לפיתוח 2025'!Y96</f>
        <v>0</v>
      </c>
      <c r="Z96" s="112">
        <f>'תקציב החברה לפיתוח 2025'!Z96</f>
        <v>0</v>
      </c>
      <c r="AA96" s="127">
        <f>'תקציב החברה לפיתוח 2025'!AA96</f>
        <v>0</v>
      </c>
      <c r="AB96" s="202" t="str">
        <f>'תקציב החברה לפיתוח 2025'!AB96</f>
        <v>תכנון והקמת בי"ס 18 כיתות , מתנ"ס,גנ"י ומעונות יום, אולם ספורט ומגרשי ספורט. תכנון ראשוני.</v>
      </c>
      <c r="AC96" s="3">
        <f>'תקציב החברה לפיתוח 2025'!AC96</f>
        <v>810000</v>
      </c>
      <c r="AD96" s="123"/>
      <c r="AE96" s="123"/>
      <c r="AF96" s="123"/>
      <c r="AG96" s="123"/>
      <c r="AH96" s="123"/>
      <c r="AI96" s="123"/>
      <c r="AJ96" s="123"/>
      <c r="AK96" s="505"/>
      <c r="AL96" s="505"/>
      <c r="AM96" s="505"/>
      <c r="AN96" s="505"/>
      <c r="AO96" s="505"/>
      <c r="AP96" s="505"/>
      <c r="AQ96" s="505"/>
      <c r="AR96" s="505"/>
      <c r="AS96" s="123"/>
      <c r="AT96" s="123"/>
      <c r="AU96" s="123"/>
      <c r="AV96" s="123"/>
      <c r="AW96" s="123"/>
      <c r="AX96" s="123"/>
      <c r="AY96" s="123"/>
    </row>
    <row r="97" spans="1:56" s="5" customFormat="1" ht="45">
      <c r="A97" s="112">
        <f t="shared" si="1"/>
        <v>93</v>
      </c>
      <c r="B97" s="3">
        <f>'תקציב החברה לפיתוח 2025'!B97</f>
        <v>20084</v>
      </c>
      <c r="C97" s="202" t="str">
        <f>'תקציב החברה לפיתוח 2025'!C97</f>
        <v>פיתוח מתחם גליל ים ג' הר' 1068</v>
      </c>
      <c r="D97" s="112">
        <f>'תקציב החברה לפיתוח 2025'!D97</f>
        <v>109000000</v>
      </c>
      <c r="E97" s="112">
        <f>'תקציב החברה לפיתוח 2025'!E97</f>
        <v>109000000</v>
      </c>
      <c r="F97" s="112">
        <f>'תקציב החברה לפיתוח 2025'!F97</f>
        <v>0</v>
      </c>
      <c r="G97" s="112">
        <f>'תקציב החברה לפיתוח 2025'!G97</f>
        <v>1763814</v>
      </c>
      <c r="H97" s="112">
        <f>'תקציב החברה לפיתוח 2025'!H97</f>
        <v>1513184</v>
      </c>
      <c r="I97" s="112">
        <f>'תקציב החברה לפיתוח 2025'!I97</f>
        <v>0</v>
      </c>
      <c r="J97" s="112">
        <f>'תקציב החברה לפיתוח 2025'!J97</f>
        <v>224971</v>
      </c>
      <c r="K97" s="112">
        <f>'תקציב החברה לפיתוח 2025'!K97</f>
        <v>224971</v>
      </c>
      <c r="L97" s="112">
        <f>'תקציב החברה לפיתוח 2025'!L97</f>
        <v>1738155</v>
      </c>
      <c r="M97" s="112">
        <f>'תקציב החברה לפיתוח 2025'!M97</f>
        <v>5025659</v>
      </c>
      <c r="N97" s="112">
        <f>'תקציב החברה לפיתוח 2025'!N97</f>
        <v>20000000</v>
      </c>
      <c r="O97" s="112">
        <f>'תקציב החברה לפיתוח 2025'!O97</f>
        <v>82236186</v>
      </c>
      <c r="P97" s="112">
        <f>'תקציב החברה לפיתוח 2025'!P97</f>
        <v>25659</v>
      </c>
      <c r="Q97" s="112">
        <f>'תקציב החברה לפיתוח 2025'!Q97</f>
        <v>5000000</v>
      </c>
      <c r="R97" s="112">
        <f>'תקציב החברה לפיתוח 2025'!R97</f>
        <v>0</v>
      </c>
      <c r="S97" s="112">
        <f>'תקציב החברה לפיתוח 2025'!S97</f>
        <v>5000000</v>
      </c>
      <c r="T97" s="112">
        <f>'תקציב החברה לפיתוח 2025'!T97</f>
        <v>0</v>
      </c>
      <c r="U97" s="257">
        <f>'תקציב החברה לפיתוח 2025'!U97</f>
        <v>20000000</v>
      </c>
      <c r="V97" s="112">
        <f>'תקציב החברה לפיתוח 2025'!V97</f>
        <v>0</v>
      </c>
      <c r="W97" s="112">
        <f>'תקציב החברה לפיתוח 2025'!W97</f>
        <v>0</v>
      </c>
      <c r="X97" s="112">
        <f>'תקציב החברה לפיתוח 2025'!X97</f>
        <v>0</v>
      </c>
      <c r="Y97" s="112">
        <f>'תקציב החברה לפיתוח 2025'!Y97</f>
        <v>20000000</v>
      </c>
      <c r="Z97" s="112">
        <f>'תקציב החברה לפיתוח 2025'!Z97</f>
        <v>0</v>
      </c>
      <c r="AA97" s="112">
        <f>'תקציב החברה לפיתוח 2025'!AA97</f>
        <v>0</v>
      </c>
      <c r="AB97" s="202" t="str">
        <f>'תקציב החברה לפיתוח 2025'!AB97</f>
        <v>פיתוח מתחם גליל ים ג' הר' 1068. מימון רמ"י ( שצ"פים מכרז "הבריגדה"). קרן ייעודית.</v>
      </c>
      <c r="AC97" s="3">
        <f>'תקציב החברה לפיתוח 2025'!AC97</f>
        <v>742000</v>
      </c>
      <c r="AD97" s="123"/>
      <c r="AE97" s="123"/>
      <c r="AF97" s="123"/>
      <c r="AG97" s="123"/>
      <c r="AH97" s="123"/>
      <c r="AI97" s="123"/>
      <c r="AJ97" s="123"/>
      <c r="AK97" s="505"/>
      <c r="AL97" s="505"/>
      <c r="AM97" s="505"/>
      <c r="AN97" s="505"/>
      <c r="AO97" s="505"/>
      <c r="AP97" s="505"/>
      <c r="AQ97" s="505"/>
      <c r="AR97" s="505"/>
      <c r="AS97" s="123"/>
      <c r="AT97" s="123"/>
      <c r="AU97" s="123"/>
      <c r="AV97" s="123"/>
      <c r="AW97" s="123"/>
      <c r="AX97" s="123"/>
      <c r="AY97" s="123"/>
    </row>
    <row r="98" spans="1:56" s="5" customFormat="1" ht="30" customHeight="1">
      <c r="A98" s="112">
        <f t="shared" si="1"/>
        <v>94</v>
      </c>
      <c r="B98" s="3">
        <f>'תקציב החברה לפיתוח 2025'!B98</f>
        <v>20087</v>
      </c>
      <c r="C98" s="202" t="str">
        <f>'תקציב החברה לפיתוח 2025'!C98</f>
        <v>פיתוח מתחם קרית השחקים תמ"ל  1082</v>
      </c>
      <c r="D98" s="112">
        <f>'תקציב החברה לפיתוח 2025'!D98</f>
        <v>11500000</v>
      </c>
      <c r="E98" s="112">
        <f>'תקציב החברה לפיתוח 2025'!E98</f>
        <v>8500000</v>
      </c>
      <c r="F98" s="112">
        <f>'תקציב החברה לפיתוח 2025'!F98</f>
        <v>3000000</v>
      </c>
      <c r="G98" s="112">
        <f>'תקציב החברה לפיתוח 2025'!G98</f>
        <v>7500000</v>
      </c>
      <c r="H98" s="112">
        <f>'תקציב החברה לפיתוח 2025'!H98</f>
        <v>5046724</v>
      </c>
      <c r="I98" s="112">
        <f>'תקציב החברה לפיתוח 2025'!I98</f>
        <v>0</v>
      </c>
      <c r="J98" s="112">
        <f>'תקציב החברה לפיתוח 2025'!J98</f>
        <v>1661630</v>
      </c>
      <c r="K98" s="112">
        <f>'תקציב החברה לפיתוח 2025'!K98</f>
        <v>1661630</v>
      </c>
      <c r="L98" s="112">
        <f>'תקציב החברה לפיתוח 2025'!L98</f>
        <v>6708354</v>
      </c>
      <c r="M98" s="112">
        <f>'תקציב החברה לפיתוח 2025'!M98</f>
        <v>1791646</v>
      </c>
      <c r="N98" s="112">
        <f>'תקציב החברה לפיתוח 2025'!N98</f>
        <v>3000000</v>
      </c>
      <c r="O98" s="112">
        <f>'תקציב החברה לפיתוח 2025'!O98</f>
        <v>0</v>
      </c>
      <c r="P98" s="112">
        <f>'תקציב החברה לפיתוח 2025'!P98</f>
        <v>791646</v>
      </c>
      <c r="Q98" s="112">
        <f>'תקציב החברה לפיתוח 2025'!Q98</f>
        <v>1000000</v>
      </c>
      <c r="R98" s="112">
        <f>'תקציב החברה לפיתוח 2025'!R98</f>
        <v>0</v>
      </c>
      <c r="S98" s="112">
        <f>'תקציב החברה לפיתוח 2025'!S98</f>
        <v>1000000</v>
      </c>
      <c r="T98" s="112">
        <f>'תקציב החברה לפיתוח 2025'!T98</f>
        <v>0</v>
      </c>
      <c r="U98" s="257">
        <f>'תקציב החברה לפיתוח 2025'!U98</f>
        <v>3000000</v>
      </c>
      <c r="V98" s="112">
        <f>'תקציב החברה לפיתוח 2025'!V98</f>
        <v>0</v>
      </c>
      <c r="W98" s="112">
        <f>'תקציב החברה לפיתוח 2025'!W98</f>
        <v>0</v>
      </c>
      <c r="X98" s="112">
        <f>'תקציב החברה לפיתוח 2025'!X98</f>
        <v>0</v>
      </c>
      <c r="Y98" s="112">
        <f>'תקציב החברה לפיתוח 2025'!Y98</f>
        <v>3000000</v>
      </c>
      <c r="Z98" s="112">
        <f>'תקציב החברה לפיתוח 2025'!Z98</f>
        <v>0</v>
      </c>
      <c r="AA98" s="127">
        <f>'תקציב החברה לפיתוח 2025'!AA98</f>
        <v>0</v>
      </c>
      <c r="AB98" s="202" t="str">
        <f>'תקציב החברה לפיתוח 2025'!AB98</f>
        <v>פיתוח מתחם קרית השחקים תמ"ל 1082. קרן ייעודית.</v>
      </c>
      <c r="AC98" s="3">
        <f>'תקציב החברה לפיתוח 2025'!AC98</f>
        <v>742000</v>
      </c>
      <c r="AD98" s="123"/>
      <c r="AE98" s="123"/>
      <c r="AF98" s="123"/>
      <c r="AG98" s="123"/>
      <c r="AH98" s="123"/>
      <c r="AI98" s="123"/>
      <c r="AJ98" s="123"/>
      <c r="AK98" s="505"/>
      <c r="AL98" s="505"/>
      <c r="AM98" s="505"/>
      <c r="AN98" s="505"/>
      <c r="AO98" s="505"/>
      <c r="AP98" s="505"/>
      <c r="AQ98" s="505"/>
      <c r="AR98" s="505"/>
      <c r="AS98" s="123"/>
      <c r="AT98" s="123"/>
      <c r="AU98" s="123"/>
      <c r="AV98" s="123"/>
      <c r="AW98" s="123"/>
      <c r="AX98" s="123"/>
      <c r="AY98" s="123"/>
    </row>
    <row r="99" spans="1:56" s="212" customFormat="1" ht="60">
      <c r="A99" s="112">
        <f t="shared" si="1"/>
        <v>95</v>
      </c>
      <c r="B99" s="3">
        <f>'תקציב החברה לפיתוח 2025'!B99</f>
        <v>20093</v>
      </c>
      <c r="C99" s="202" t="str">
        <f>'תקציב החברה לפיתוח 2025'!C99</f>
        <v>עבודות שיפוץ ושדרוג האיצטדיון</v>
      </c>
      <c r="D99" s="112">
        <f>'תקציב החברה לפיתוח 2025'!D99</f>
        <v>24000000</v>
      </c>
      <c r="E99" s="112">
        <f>'תקציב החברה לפיתוח 2025'!E99</f>
        <v>12000000</v>
      </c>
      <c r="F99" s="112">
        <f>'תקציב החברה לפיתוח 2025'!F99</f>
        <v>12000000</v>
      </c>
      <c r="G99" s="112">
        <f>'תקציב החברה לפיתוח 2025'!G99</f>
        <v>3750000</v>
      </c>
      <c r="H99" s="112">
        <f>'תקציב החברה לפיתוח 2025'!H99</f>
        <v>2201661</v>
      </c>
      <c r="I99" s="112">
        <f>'תקציב החברה לפיתוח 2025'!I99</f>
        <v>0</v>
      </c>
      <c r="J99" s="112">
        <f>'תקציב החברה לפיתוח 2025'!J99</f>
        <v>1347190</v>
      </c>
      <c r="K99" s="112">
        <f>'תקציב החברה לפיתוח 2025'!K99</f>
        <v>1347190</v>
      </c>
      <c r="L99" s="112">
        <f>'תקציב החברה לפיתוח 2025'!L99</f>
        <v>3548851</v>
      </c>
      <c r="M99" s="112">
        <f>'תקציב החברה לפיתוח 2025'!M99</f>
        <v>4201149</v>
      </c>
      <c r="N99" s="112">
        <f>'תקציב החברה לפיתוח 2025'!N99</f>
        <v>2500000</v>
      </c>
      <c r="O99" s="112">
        <f>'תקציב החברה לפיתוח 2025'!O99</f>
        <v>13750000</v>
      </c>
      <c r="P99" s="112">
        <f>'תקציב החברה לפיתוח 2025'!P99</f>
        <v>201149</v>
      </c>
      <c r="Q99" s="112">
        <f>'תקציב החברה לפיתוח 2025'!Q99</f>
        <v>4000000</v>
      </c>
      <c r="R99" s="112">
        <f>'תקציב החברה לפיתוח 2025'!R99</f>
        <v>0</v>
      </c>
      <c r="S99" s="112">
        <f>'תקציב החברה לפיתוח 2025'!S99</f>
        <v>4000000</v>
      </c>
      <c r="T99" s="112">
        <f>'תקציב החברה לפיתוח 2025'!T99</f>
        <v>0</v>
      </c>
      <c r="U99" s="257">
        <f>'תקציב החברה לפיתוח 2025'!U99</f>
        <v>2500000</v>
      </c>
      <c r="V99" s="112">
        <f>'תקציב החברה לפיתוח 2025'!V99</f>
        <v>2500000</v>
      </c>
      <c r="W99" s="112">
        <f>'תקציב החברה לפיתוח 2025'!W99</f>
        <v>0</v>
      </c>
      <c r="X99" s="112">
        <f>'תקציב החברה לפיתוח 2025'!X99</f>
        <v>0</v>
      </c>
      <c r="Y99" s="112">
        <f>'תקציב החברה לפיתוח 2025'!Y99</f>
        <v>0</v>
      </c>
      <c r="Z99" s="112">
        <f>'תקציב החברה לפיתוח 2025'!Z99</f>
        <v>0</v>
      </c>
      <c r="AA99" s="112">
        <f>'תקציב החברה לפיתוח 2025'!AA99</f>
        <v>0</v>
      </c>
      <c r="AB99" s="202" t="str">
        <f>'תקציב החברה לפיתוח 2025'!AB99</f>
        <v>עבודות שיפוץ חדרי הלבשה יציע מערבי. תכנון וביצוע עפ"י דרישות ההתאחדות לכדורגל (התאמה לליגה א'). מימון מ. הספורט.</v>
      </c>
      <c r="AC99" s="3">
        <f>'תקציב החברה לפיתוח 2025'!AC99</f>
        <v>829000</v>
      </c>
      <c r="AD99" s="123"/>
      <c r="AE99" s="123"/>
      <c r="AF99" s="123"/>
      <c r="AG99" s="123"/>
      <c r="AH99" s="123"/>
      <c r="AI99" s="123"/>
      <c r="AJ99" s="123"/>
      <c r="AK99" s="505"/>
      <c r="AL99" s="505"/>
      <c r="AM99" s="505"/>
      <c r="AN99" s="505"/>
      <c r="AO99" s="505"/>
      <c r="AP99" s="505"/>
      <c r="AQ99" s="505"/>
      <c r="AR99" s="505"/>
      <c r="AS99" s="123"/>
      <c r="AT99" s="123"/>
      <c r="AU99" s="123"/>
      <c r="AV99" s="123"/>
      <c r="AW99" s="123"/>
      <c r="AX99" s="123"/>
      <c r="AY99" s="123"/>
      <c r="AZ99" s="131"/>
      <c r="BA99" s="131"/>
      <c r="BB99" s="131"/>
      <c r="BC99" s="131"/>
      <c r="BD99" s="131"/>
    </row>
    <row r="100" spans="1:56" s="212" customFormat="1" ht="30" customHeight="1">
      <c r="A100" s="112">
        <f t="shared" si="1"/>
        <v>96</v>
      </c>
      <c r="B100" s="3">
        <f>'תקציב החברה לפיתוח 2025'!B100</f>
        <v>20097</v>
      </c>
      <c r="C100" s="202" t="str">
        <f>'תקציב החברה לפיתוח 2025'!C100</f>
        <v>מערכת מיזוג אוויר תאגיד התרבות</v>
      </c>
      <c r="D100" s="112">
        <f>'תקציב החברה לפיתוח 2025'!D100</f>
        <v>2900000</v>
      </c>
      <c r="E100" s="112">
        <f>'תקציב החברה לפיתוח 2025'!E100</f>
        <v>2900000</v>
      </c>
      <c r="F100" s="112">
        <f>'תקציב החברה לפיתוח 2025'!F100</f>
        <v>0</v>
      </c>
      <c r="G100" s="112">
        <f>'תקציב החברה לפיתוח 2025'!G100</f>
        <v>0</v>
      </c>
      <c r="H100" s="112">
        <f>'תקציב החברה לפיתוח 2025'!H100</f>
        <v>0</v>
      </c>
      <c r="I100" s="112">
        <f>'תקציב החברה לפיתוח 2025'!I100</f>
        <v>0</v>
      </c>
      <c r="J100" s="112">
        <f>'תקציב החברה לפיתוח 2025'!J100</f>
        <v>0</v>
      </c>
      <c r="K100" s="112">
        <f>'תקציב החברה לפיתוח 2025'!K100</f>
        <v>0</v>
      </c>
      <c r="L100" s="112">
        <f>'תקציב החברה לפיתוח 2025'!L100</f>
        <v>0</v>
      </c>
      <c r="M100" s="112">
        <f>'תקציב החברה לפיתוח 2025'!M100</f>
        <v>0</v>
      </c>
      <c r="N100" s="112">
        <f>'תקציב החברה לפיתוח 2025'!N100</f>
        <v>0</v>
      </c>
      <c r="O100" s="112">
        <f>'תקציב החברה לפיתוח 2025'!O100</f>
        <v>2900000</v>
      </c>
      <c r="P100" s="112">
        <f>'תקציב החברה לפיתוח 2025'!P100</f>
        <v>0</v>
      </c>
      <c r="Q100" s="112">
        <f>'תקציב החברה לפיתוח 2025'!Q100</f>
        <v>0</v>
      </c>
      <c r="R100" s="112">
        <f>'תקציב החברה לפיתוח 2025'!R100</f>
        <v>0</v>
      </c>
      <c r="S100" s="112">
        <f>'תקציב החברה לפיתוח 2025'!S100</f>
        <v>0</v>
      </c>
      <c r="T100" s="112">
        <f>'תקציב החברה לפיתוח 2025'!T100</f>
        <v>0</v>
      </c>
      <c r="U100" s="257">
        <f>'תקציב החברה לפיתוח 2025'!U100</f>
        <v>0</v>
      </c>
      <c r="V100" s="112">
        <f>'תקציב החברה לפיתוח 2025'!V100</f>
        <v>0</v>
      </c>
      <c r="W100" s="112">
        <f>'תקציב החברה לפיתוח 2025'!W100</f>
        <v>0</v>
      </c>
      <c r="X100" s="112">
        <f>'תקציב החברה לפיתוח 2025'!X100</f>
        <v>0</v>
      </c>
      <c r="Y100" s="112">
        <f>'תקציב החברה לפיתוח 2025'!Y100</f>
        <v>0</v>
      </c>
      <c r="Z100" s="112">
        <f>'תקציב החברה לפיתוח 2025'!Z100</f>
        <v>0</v>
      </c>
      <c r="AA100" s="112">
        <f>'תקציב החברה לפיתוח 2025'!AA100</f>
        <v>0</v>
      </c>
      <c r="AB100" s="202" t="str">
        <f>'תקציב החברה לפיתוח 2025'!AB100</f>
        <v>שדרוג והחלפת מערכות צ'ילרים . מימון חלקי תאגיד התרבות .</v>
      </c>
      <c r="AC100" s="3">
        <f>'תקציב החברה לפיתוח 2025'!AC100</f>
        <v>930000</v>
      </c>
      <c r="AD100" s="123"/>
      <c r="AE100" s="123"/>
      <c r="AF100" s="123"/>
      <c r="AG100" s="123"/>
      <c r="AH100" s="123"/>
      <c r="AI100" s="123"/>
      <c r="AJ100" s="123"/>
      <c r="AK100" s="505"/>
      <c r="AL100" s="505"/>
      <c r="AM100" s="505"/>
      <c r="AN100" s="505"/>
      <c r="AO100" s="505"/>
      <c r="AP100" s="505"/>
      <c r="AQ100" s="505"/>
      <c r="AR100" s="505"/>
      <c r="AS100" s="123"/>
      <c r="AT100" s="123"/>
      <c r="AU100" s="123"/>
      <c r="AV100" s="123"/>
      <c r="AW100" s="123"/>
      <c r="AX100" s="123"/>
      <c r="AY100" s="123"/>
      <c r="AZ100" s="5"/>
      <c r="BA100" s="5"/>
      <c r="BB100" s="5"/>
      <c r="BC100" s="5"/>
      <c r="BD100" s="5"/>
    </row>
    <row r="101" spans="1:56" s="212" customFormat="1" ht="30" customHeight="1">
      <c r="A101" s="112">
        <f t="shared" si="1"/>
        <v>97</v>
      </c>
      <c r="B101" s="3">
        <f>'תקציב החברה לפיתוח 2025'!B101</f>
        <v>20098</v>
      </c>
      <c r="C101" s="202" t="str">
        <f>'תקציב החברה לפיתוח 2025'!C101</f>
        <v>פיתוח רחבת בניין העירייה שער העיר</v>
      </c>
      <c r="D101" s="112">
        <f>'תקציב החברה לפיתוח 2025'!D101</f>
        <v>500000</v>
      </c>
      <c r="E101" s="112">
        <f>'תקציב החברה לפיתוח 2025'!E101</f>
        <v>500000</v>
      </c>
      <c r="F101" s="112">
        <f>'תקציב החברה לפיתוח 2025'!F101</f>
        <v>0</v>
      </c>
      <c r="G101" s="112">
        <f>'תקציב החברה לפיתוח 2025'!G101</f>
        <v>250000</v>
      </c>
      <c r="H101" s="112">
        <f>'תקציב החברה לפיתוח 2025'!H101</f>
        <v>34258</v>
      </c>
      <c r="I101" s="112">
        <f>'תקציב החברה לפיתוח 2025'!I101</f>
        <v>0</v>
      </c>
      <c r="J101" s="112">
        <f>'תקציב החברה לפיתוח 2025'!J101</f>
        <v>114098</v>
      </c>
      <c r="K101" s="112">
        <f>'תקציב החברה לפיתוח 2025'!K101</f>
        <v>114098</v>
      </c>
      <c r="L101" s="112">
        <f>'תקציב החברה לפיתוח 2025'!L101</f>
        <v>148356</v>
      </c>
      <c r="M101" s="112">
        <f>'תקציב החברה לפיתוח 2025'!M101</f>
        <v>101644</v>
      </c>
      <c r="N101" s="112">
        <f>'תקציב החברה לפיתוח 2025'!N101</f>
        <v>250000</v>
      </c>
      <c r="O101" s="112">
        <f>'תקציב החברה לפיתוח 2025'!O101</f>
        <v>0</v>
      </c>
      <c r="P101" s="112">
        <f>'תקציב החברה לפיתוח 2025'!P101</f>
        <v>101644</v>
      </c>
      <c r="Q101" s="112">
        <f>'תקציב החברה לפיתוח 2025'!Q101</f>
        <v>0</v>
      </c>
      <c r="R101" s="112">
        <f>'תקציב החברה לפיתוח 2025'!R101</f>
        <v>0</v>
      </c>
      <c r="S101" s="112">
        <f>'תקציב החברה לפיתוח 2025'!S101</f>
        <v>0</v>
      </c>
      <c r="T101" s="112">
        <f>'תקציב החברה לפיתוח 2025'!T101</f>
        <v>0</v>
      </c>
      <c r="U101" s="257">
        <f>'תקציב החברה לפיתוח 2025'!U101</f>
        <v>250000</v>
      </c>
      <c r="V101" s="112">
        <f>'תקציב החברה לפיתוח 2025'!V101</f>
        <v>250000</v>
      </c>
      <c r="W101" s="112">
        <f>'תקציב החברה לפיתוח 2025'!W101</f>
        <v>0</v>
      </c>
      <c r="X101" s="112">
        <f>'תקציב החברה לפיתוח 2025'!X101</f>
        <v>0</v>
      </c>
      <c r="Y101" s="112">
        <f>'תקציב החברה לפיתוח 2025'!Y101</f>
        <v>0</v>
      </c>
      <c r="Z101" s="112">
        <f>'תקציב החברה לפיתוח 2025'!Z101</f>
        <v>0</v>
      </c>
      <c r="AA101" s="127">
        <f>'תקציב החברה לפיתוח 2025'!AA101</f>
        <v>0</v>
      </c>
      <c r="AB101" s="202" t="str">
        <f>'תקציב החברה לפיתוח 2025'!AB101</f>
        <v>תכנון נופי ראשוני למתחם רחבת בניין העיריה.</v>
      </c>
      <c r="AC101" s="3">
        <f>'תקציב החברה לפיתוח 2025'!AC101</f>
        <v>742000</v>
      </c>
      <c r="AD101" s="123"/>
      <c r="AE101" s="123"/>
      <c r="AF101" s="123"/>
      <c r="AG101" s="123"/>
      <c r="AH101" s="123"/>
      <c r="AI101" s="123"/>
      <c r="AJ101" s="123"/>
      <c r="AK101" s="505"/>
      <c r="AL101" s="505"/>
      <c r="AM101" s="505"/>
      <c r="AN101" s="505"/>
      <c r="AO101" s="505"/>
      <c r="AP101" s="505"/>
      <c r="AQ101" s="505"/>
      <c r="AR101" s="505"/>
      <c r="AS101" s="123"/>
      <c r="AT101" s="123"/>
      <c r="AU101" s="123"/>
      <c r="AV101" s="123"/>
      <c r="AW101" s="123"/>
      <c r="AX101" s="123"/>
      <c r="AY101" s="123"/>
      <c r="AZ101" s="5"/>
      <c r="BA101" s="5"/>
      <c r="BB101" s="5"/>
      <c r="BC101" s="5"/>
      <c r="BD101" s="5"/>
    </row>
    <row r="102" spans="1:56" s="126" customFormat="1" ht="30" customHeight="1">
      <c r="A102" s="112">
        <f t="shared" si="1"/>
        <v>98</v>
      </c>
      <c r="B102" s="19">
        <f>'תקציב החברה לפיתוח 2025'!B102</f>
        <v>20108</v>
      </c>
      <c r="C102" s="222" t="str">
        <f>'תקציב החברה לפיתוח 2025'!C102</f>
        <v>סקר מבני ציבור וחינוך לעמידות רעידות אדמה</v>
      </c>
      <c r="D102" s="112">
        <f>'תקציב החברה לפיתוח 2025'!D102</f>
        <v>3500000</v>
      </c>
      <c r="E102" s="112">
        <f>'תקציב החברה לפיתוח 2025'!E102</f>
        <v>3500000</v>
      </c>
      <c r="F102" s="257">
        <f>'תקציב החברה לפיתוח 2025'!F102</f>
        <v>0</v>
      </c>
      <c r="G102" s="112">
        <f>'תקציב החברה לפיתוח 2025'!G102</f>
        <v>0</v>
      </c>
      <c r="H102" s="112">
        <f>'תקציב החברה לפיתוח 2025'!H102</f>
        <v>0</v>
      </c>
      <c r="I102" s="112">
        <f>'תקציב החברה לפיתוח 2025'!I102</f>
        <v>0</v>
      </c>
      <c r="J102" s="112">
        <f>'תקציב החברה לפיתוח 2025'!J102</f>
        <v>0</v>
      </c>
      <c r="K102" s="112">
        <f>'תקציב החברה לפיתוח 2025'!K102</f>
        <v>0</v>
      </c>
      <c r="L102" s="112">
        <f>'תקציב החברה לפיתוח 2025'!L102</f>
        <v>0</v>
      </c>
      <c r="M102" s="495">
        <f>'תקציב החברה לפיתוח 2025'!M102</f>
        <v>350000</v>
      </c>
      <c r="N102" s="4">
        <f>'תקציב החברה לפיתוח 2025'!N102</f>
        <v>0</v>
      </c>
      <c r="O102" s="4">
        <f>'תקציב החברה לפיתוח 2025'!O102</f>
        <v>3150000</v>
      </c>
      <c r="P102" s="112">
        <f>'תקציב החברה לפיתוח 2025'!P102</f>
        <v>0</v>
      </c>
      <c r="Q102" s="112">
        <f>'תקציב החברה לפיתוח 2025'!Q102</f>
        <v>350000</v>
      </c>
      <c r="R102" s="112">
        <f>'תקציב החברה לפיתוח 2025'!R102</f>
        <v>0</v>
      </c>
      <c r="S102" s="112">
        <f>'תקציב החברה לפיתוח 2025'!S102</f>
        <v>350000</v>
      </c>
      <c r="T102" s="257">
        <f>'תקציב החברה לפיתוח 2025'!T102</f>
        <v>0</v>
      </c>
      <c r="U102" s="112">
        <f>'תקציב החברה לפיתוח 2025'!U102</f>
        <v>0</v>
      </c>
      <c r="V102" s="4">
        <f>'תקציב החברה לפיתוח 2025'!V102</f>
        <v>0</v>
      </c>
      <c r="W102" s="112">
        <f>'תקציב החברה לפיתוח 2025'!W102</f>
        <v>0</v>
      </c>
      <c r="X102" s="112">
        <f>'תקציב החברה לפיתוח 2025'!X102</f>
        <v>0</v>
      </c>
      <c r="Y102" s="112">
        <f>'תקציב החברה לפיתוח 2025'!Y102</f>
        <v>0</v>
      </c>
      <c r="Z102" s="112">
        <f>'תקציב החברה לפיתוח 2025'!Z102</f>
        <v>0</v>
      </c>
      <c r="AA102" s="112">
        <f>'תקציב החברה לפיתוח 2025'!AA102</f>
        <v>0</v>
      </c>
      <c r="AB102" s="660" t="str">
        <f>'תקציב החברה לפיתוח 2025'!AB102</f>
        <v>בדיקת מבנים לעמידות במקרה של רעידות אדמה.</v>
      </c>
      <c r="AC102" s="3">
        <f>'תקציב החברה לפיתוח 2025'!AC102</f>
        <v>732000</v>
      </c>
      <c r="AD102" s="123"/>
      <c r="AE102" s="123"/>
      <c r="AF102" s="123"/>
      <c r="AG102" s="123"/>
      <c r="AH102" s="123"/>
      <c r="AI102" s="123"/>
      <c r="AJ102" s="484"/>
      <c r="AK102" s="484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</row>
    <row r="103" spans="1:56" ht="30" customHeight="1">
      <c r="A103" s="112">
        <f t="shared" si="1"/>
        <v>99</v>
      </c>
      <c r="B103" s="19">
        <f>'תקציב החברה לפיתוח 2025'!B103</f>
        <v>20109</v>
      </c>
      <c r="C103" s="222" t="str">
        <f>'תקציב החברה לפיתוח 2025'!C103</f>
        <v>הסדרה והתקנת מעליות בית הורים</v>
      </c>
      <c r="D103" s="112">
        <f>'תקציב החברה לפיתוח 2025'!D103</f>
        <v>1500000</v>
      </c>
      <c r="E103" s="112">
        <f>'תקציב החברה לפיתוח 2025'!E103</f>
        <v>1500000</v>
      </c>
      <c r="F103" s="112">
        <f>'תקציב החברה לפיתוח 2025'!F103</f>
        <v>0</v>
      </c>
      <c r="G103" s="112">
        <f>'תקציב החברה לפיתוח 2025'!G103</f>
        <v>0</v>
      </c>
      <c r="H103" s="112">
        <f>'תקציב החברה לפיתוח 2025'!H103</f>
        <v>0</v>
      </c>
      <c r="I103" s="112">
        <f>'תקציב החברה לפיתוח 2025'!I103</f>
        <v>0</v>
      </c>
      <c r="J103" s="112">
        <f>'תקציב החברה לפיתוח 2025'!J103</f>
        <v>0</v>
      </c>
      <c r="K103" s="112">
        <f>'תקציב החברה לפיתוח 2025'!K103</f>
        <v>0</v>
      </c>
      <c r="L103" s="112">
        <f>'תקציב החברה לפיתוח 2025'!L103</f>
        <v>0</v>
      </c>
      <c r="M103" s="112">
        <f>'תקציב החברה לפיתוח 2025'!M103</f>
        <v>1500000</v>
      </c>
      <c r="N103" s="112">
        <f>'תקציב החברה לפיתוח 2025'!N103</f>
        <v>0</v>
      </c>
      <c r="O103" s="112">
        <f>'תקציב החברה לפיתוח 2025'!O103</f>
        <v>0</v>
      </c>
      <c r="P103" s="112">
        <f>'תקציב החברה לפיתוח 2025'!P103</f>
        <v>0</v>
      </c>
      <c r="Q103" s="112">
        <f>'תקציב החברה לפיתוח 2025'!Q103</f>
        <v>1500000</v>
      </c>
      <c r="R103" s="112">
        <f>'תקציב החברה לפיתוח 2025'!R103</f>
        <v>0</v>
      </c>
      <c r="S103" s="112">
        <f>'תקציב החברה לפיתוח 2025'!S103</f>
        <v>1500000</v>
      </c>
      <c r="T103" s="112">
        <f>'תקציב החברה לפיתוח 2025'!T103</f>
        <v>0</v>
      </c>
      <c r="U103" s="257">
        <f>'תקציב החברה לפיתוח 2025'!U103</f>
        <v>0</v>
      </c>
      <c r="V103" s="112">
        <f>'תקציב החברה לפיתוח 2025'!V103</f>
        <v>0</v>
      </c>
      <c r="W103" s="112">
        <f>'תקציב החברה לפיתוח 2025'!W103</f>
        <v>0</v>
      </c>
      <c r="X103" s="112">
        <f>'תקציב החברה לפיתוח 2025'!X103</f>
        <v>0</v>
      </c>
      <c r="Y103" s="112">
        <f>'תקציב החברה לפיתוח 2025'!Y103</f>
        <v>0</v>
      </c>
      <c r="Z103" s="112">
        <f>'תקציב החברה לפיתוח 2025'!Z103</f>
        <v>0</v>
      </c>
      <c r="AA103" s="112">
        <f>'תקציב החברה לפיתוח 2025'!AA103</f>
        <v>0</v>
      </c>
      <c r="AB103" s="202" t="str">
        <f>'תקציב החברה לפיתוח 2025'!AB103</f>
        <v>ההסדרה והתקנת מעליות בבית ההורים רח' אנה פרנק.</v>
      </c>
      <c r="AC103" s="3">
        <f>'תקציב החברה לפיתוח 2025'!AC103</f>
        <v>840000</v>
      </c>
    </row>
    <row r="104" spans="1:56" s="126" customFormat="1" ht="30" customHeight="1">
      <c r="A104" s="112">
        <f t="shared" si="1"/>
        <v>100</v>
      </c>
      <c r="B104" s="19">
        <f>'תקציב החברה לפיתוח 2025'!B104</f>
        <v>20110</v>
      </c>
      <c r="C104" s="222" t="str">
        <f>'תקציב החברה לפיתוח 2025'!C104</f>
        <v>בי"ס יסודי קרית השחקים הר' 1082</v>
      </c>
      <c r="D104" s="112">
        <f>'תקציב החברה לפיתוח 2025'!D104</f>
        <v>600000</v>
      </c>
      <c r="E104" s="112">
        <f>'תקציב החברה לפיתוח 2025'!E104</f>
        <v>600000</v>
      </c>
      <c r="F104" s="112">
        <f>'תקציב החברה לפיתוח 2025'!F104</f>
        <v>0</v>
      </c>
      <c r="G104" s="112">
        <f>'תקציב החברה לפיתוח 2025'!G104</f>
        <v>250000</v>
      </c>
      <c r="H104" s="112">
        <f>'תקציב החברה לפיתוח 2025'!H104</f>
        <v>14263</v>
      </c>
      <c r="I104" s="112">
        <f>'תקציב החברה לפיתוח 2025'!I104</f>
        <v>0</v>
      </c>
      <c r="J104" s="112">
        <f>'תקציב החברה לפיתוח 2025'!J104</f>
        <v>233777</v>
      </c>
      <c r="K104" s="112">
        <f>'תקציב החברה לפיתוח 2025'!K104</f>
        <v>233777</v>
      </c>
      <c r="L104" s="112">
        <f>'תקציב החברה לפיתוח 2025'!L104</f>
        <v>248040</v>
      </c>
      <c r="M104" s="112">
        <f>'תקציב החברה לפיתוח 2025'!M104</f>
        <v>251960</v>
      </c>
      <c r="N104" s="112">
        <f>'תקציב החברה לפיתוח 2025'!N104</f>
        <v>100000</v>
      </c>
      <c r="O104" s="112">
        <f>'תקציב החברה לפיתוח 2025'!O104</f>
        <v>0</v>
      </c>
      <c r="P104" s="112">
        <f>'תקציב החברה לפיתוח 2025'!P104</f>
        <v>1960</v>
      </c>
      <c r="Q104" s="112">
        <f>'תקציב החברה לפיתוח 2025'!Q104</f>
        <v>250000</v>
      </c>
      <c r="R104" s="112">
        <f>'תקציב החברה לפיתוח 2025'!R104</f>
        <v>0</v>
      </c>
      <c r="S104" s="112">
        <f>'תקציב החברה לפיתוח 2025'!S104</f>
        <v>250000</v>
      </c>
      <c r="T104" s="112">
        <f>'תקציב החברה לפיתוח 2025'!T104</f>
        <v>0</v>
      </c>
      <c r="U104" s="257">
        <f>'תקציב החברה לפיתוח 2025'!U104</f>
        <v>100000</v>
      </c>
      <c r="V104" s="112">
        <f>'תקציב החברה לפיתוח 2025'!V104</f>
        <v>0</v>
      </c>
      <c r="W104" s="112">
        <f>'תקציב החברה לפיתוח 2025'!W104</f>
        <v>0</v>
      </c>
      <c r="X104" s="112">
        <f>'תקציב החברה לפיתוח 2025'!X104</f>
        <v>0</v>
      </c>
      <c r="Y104" s="112">
        <f>'תקציב החברה לפיתוח 2025'!Y104</f>
        <v>100000</v>
      </c>
      <c r="Z104" s="112">
        <f>'תקציב החברה לפיתוח 2025'!Z104</f>
        <v>0</v>
      </c>
      <c r="AA104" s="112">
        <f>'תקציב החברה לפיתוח 2025'!AA104</f>
        <v>0</v>
      </c>
      <c r="AB104" s="202" t="str">
        <f>'תקציב החברה לפיתוח 2025'!AB104</f>
        <v>תכנון ראשוני. קרן ייעודית.</v>
      </c>
      <c r="AC104" s="3">
        <f>'תקציב החברה לפיתוח 2025'!AC104</f>
        <v>810000</v>
      </c>
      <c r="AD104" s="123"/>
      <c r="AE104" s="123"/>
      <c r="AF104" s="123"/>
      <c r="AG104" s="123"/>
      <c r="AH104" s="123"/>
      <c r="AI104" s="123"/>
      <c r="AJ104" s="123"/>
      <c r="AK104" s="505"/>
      <c r="AL104" s="505"/>
      <c r="AM104" s="505"/>
      <c r="AN104" s="505"/>
      <c r="AO104" s="505"/>
      <c r="AP104" s="505"/>
      <c r="AQ104" s="505"/>
      <c r="AR104" s="505"/>
      <c r="AS104" s="123"/>
      <c r="AT104" s="123"/>
      <c r="AU104" s="123"/>
      <c r="AV104" s="123"/>
      <c r="AW104" s="123"/>
      <c r="AX104" s="123"/>
      <c r="AY104" s="123"/>
      <c r="AZ104" s="5"/>
      <c r="BA104" s="5"/>
      <c r="BB104" s="5"/>
      <c r="BC104" s="5"/>
      <c r="BD104" s="5"/>
    </row>
    <row r="105" spans="1:56" s="126" customFormat="1" ht="30" customHeight="1">
      <c r="A105" s="112">
        <f t="shared" si="1"/>
        <v>101</v>
      </c>
      <c r="B105" s="19">
        <f>'תקציב החברה לפיתוח 2025'!B105</f>
        <v>20111</v>
      </c>
      <c r="C105" s="222" t="str">
        <f>'תקציב החברה לפיתוח 2025'!C105</f>
        <v>רחוב האסיף</v>
      </c>
      <c r="D105" s="112">
        <f>'תקציב החברה לפיתוח 2025'!D105</f>
        <v>3400000</v>
      </c>
      <c r="E105" s="112">
        <f>'תקציב החברה לפיתוח 2025'!E105</f>
        <v>3400000</v>
      </c>
      <c r="F105" s="112">
        <f>'תקציב החברה לפיתוח 2025'!F105</f>
        <v>0</v>
      </c>
      <c r="G105" s="112">
        <f>'תקציב החברה לפיתוח 2025'!G105</f>
        <v>0</v>
      </c>
      <c r="H105" s="112">
        <f>'תקציב החברה לפיתוח 2025'!H105</f>
        <v>0</v>
      </c>
      <c r="I105" s="112">
        <f>'תקציב החברה לפיתוח 2025'!I105</f>
        <v>0</v>
      </c>
      <c r="J105" s="112">
        <f>'תקציב החברה לפיתוח 2025'!J105</f>
        <v>0</v>
      </c>
      <c r="K105" s="112">
        <f>'תקציב החברה לפיתוח 2025'!K105</f>
        <v>0</v>
      </c>
      <c r="L105" s="112">
        <f>'תקציב החברה לפיתוח 2025'!L105</f>
        <v>0</v>
      </c>
      <c r="M105" s="112">
        <f>'תקציב החברה לפיתוח 2025'!M105</f>
        <v>0</v>
      </c>
      <c r="N105" s="112">
        <f>'תקציב החברה לפיתוח 2025'!N105</f>
        <v>0</v>
      </c>
      <c r="O105" s="112">
        <f>'תקציב החברה לפיתוח 2025'!O105</f>
        <v>3400000</v>
      </c>
      <c r="P105" s="112">
        <f>'תקציב החברה לפיתוח 2025'!P105</f>
        <v>0</v>
      </c>
      <c r="Q105" s="112">
        <f>'תקציב החברה לפיתוח 2025'!Q105</f>
        <v>0</v>
      </c>
      <c r="R105" s="112">
        <f>'תקציב החברה לפיתוח 2025'!R105</f>
        <v>0</v>
      </c>
      <c r="S105" s="112">
        <f>'תקציב החברה לפיתוח 2025'!S105</f>
        <v>0</v>
      </c>
      <c r="T105" s="112">
        <f>'תקציב החברה לפיתוח 2025'!T105</f>
        <v>0</v>
      </c>
      <c r="U105" s="257">
        <f>'תקציב החברה לפיתוח 2025'!U105</f>
        <v>0</v>
      </c>
      <c r="V105" s="112">
        <f>'תקציב החברה לפיתוח 2025'!V105</f>
        <v>0</v>
      </c>
      <c r="W105" s="112">
        <f>'תקציב החברה לפיתוח 2025'!W105</f>
        <v>0</v>
      </c>
      <c r="X105" s="112">
        <f>'תקציב החברה לפיתוח 2025'!X105</f>
        <v>0</v>
      </c>
      <c r="Y105" s="112">
        <f>'תקציב החברה לפיתוח 2025'!Y105</f>
        <v>0</v>
      </c>
      <c r="Z105" s="112">
        <f>'תקציב החברה לפיתוח 2025'!Z105</f>
        <v>0</v>
      </c>
      <c r="AA105" s="112">
        <f>'תקציב החברה לפיתוח 2025'!AA105</f>
        <v>0</v>
      </c>
      <c r="AB105" s="202" t="str">
        <f>'תקציב החברה לפיתוח 2025'!AB105</f>
        <v>שביל הולכי רגל מרחוב האסיף לרחוב האילנות.</v>
      </c>
      <c r="AC105" s="3">
        <f>'תקציב החברה לפיתוח 2025'!AC105</f>
        <v>742000</v>
      </c>
      <c r="AD105" s="123"/>
      <c r="AE105" s="123"/>
      <c r="AF105" s="123"/>
      <c r="AG105" s="123"/>
      <c r="AH105" s="123"/>
      <c r="AI105" s="123"/>
      <c r="AJ105" s="123"/>
      <c r="AK105" s="505"/>
      <c r="AL105" s="505"/>
      <c r="AM105" s="505"/>
      <c r="AN105" s="505"/>
      <c r="AO105" s="505"/>
      <c r="AP105" s="505"/>
      <c r="AQ105" s="505"/>
      <c r="AR105" s="505"/>
      <c r="AS105" s="123"/>
      <c r="AT105" s="123"/>
      <c r="AU105" s="123"/>
      <c r="AV105" s="123"/>
      <c r="AW105" s="123"/>
      <c r="AX105" s="123"/>
      <c r="AY105" s="123"/>
      <c r="AZ105" s="5"/>
      <c r="BA105" s="5"/>
      <c r="BB105" s="5"/>
      <c r="BC105" s="5"/>
      <c r="BD105" s="5"/>
    </row>
    <row r="106" spans="1:56" ht="45">
      <c r="A106" s="112">
        <f t="shared" si="1"/>
        <v>102</v>
      </c>
      <c r="B106" s="19">
        <f>'תקציב החברה לפיתוח 2025'!B106</f>
        <v>20112</v>
      </c>
      <c r="C106" s="222" t="str">
        <f>'תקציב החברה לפיתוח 2025'!C106</f>
        <v>גן ווריזלנד</v>
      </c>
      <c r="D106" s="112">
        <f>'תקציב החברה לפיתוח 2025'!D106</f>
        <v>4700000</v>
      </c>
      <c r="E106" s="112">
        <f>'תקציב החברה לפיתוח 2025'!E106</f>
        <v>4700000</v>
      </c>
      <c r="F106" s="112">
        <f>'תקציב החברה לפיתוח 2025'!F106</f>
        <v>0</v>
      </c>
      <c r="G106" s="112">
        <f>'תקציב החברה לפיתוח 2025'!G106</f>
        <v>0</v>
      </c>
      <c r="H106" s="112">
        <f>'תקציב החברה לפיתוח 2025'!H106</f>
        <v>0</v>
      </c>
      <c r="I106" s="112">
        <f>'תקציב החברה לפיתוח 2025'!I106</f>
        <v>0</v>
      </c>
      <c r="J106" s="112">
        <f>'תקציב החברה לפיתוח 2025'!J106</f>
        <v>0</v>
      </c>
      <c r="K106" s="112">
        <f>'תקציב החברה לפיתוח 2025'!K106</f>
        <v>0</v>
      </c>
      <c r="L106" s="112">
        <f>'תקציב החברה לפיתוח 2025'!L106</f>
        <v>0</v>
      </c>
      <c r="M106" s="112">
        <f>'תקציב החברה לפיתוח 2025'!M106</f>
        <v>0</v>
      </c>
      <c r="N106" s="112">
        <f>'תקציב החברה לפיתוח 2025'!N106</f>
        <v>0</v>
      </c>
      <c r="O106" s="112">
        <f>'תקציב החברה לפיתוח 2025'!O106</f>
        <v>4700000</v>
      </c>
      <c r="P106" s="112">
        <f>'תקציב החברה לפיתוח 2025'!P106</f>
        <v>0</v>
      </c>
      <c r="Q106" s="112">
        <f>'תקציב החברה לפיתוח 2025'!Q106</f>
        <v>0</v>
      </c>
      <c r="R106" s="112">
        <f>'תקציב החברה לפיתוח 2025'!R106</f>
        <v>0</v>
      </c>
      <c r="S106" s="112">
        <f>'תקציב החברה לפיתוח 2025'!S106</f>
        <v>0</v>
      </c>
      <c r="T106" s="112">
        <f>'תקציב החברה לפיתוח 2025'!T106</f>
        <v>0</v>
      </c>
      <c r="U106" s="257">
        <f>'תקציב החברה לפיתוח 2025'!U106</f>
        <v>0</v>
      </c>
      <c r="V106" s="112">
        <f>'תקציב החברה לפיתוח 2025'!V106</f>
        <v>0</v>
      </c>
      <c r="W106" s="112">
        <f>'תקציב החברה לפיתוח 2025'!W106</f>
        <v>0</v>
      </c>
      <c r="X106" s="112">
        <f>'תקציב החברה לפיתוח 2025'!X106</f>
        <v>0</v>
      </c>
      <c r="Y106" s="112">
        <f>'תקציב החברה לפיתוח 2025'!Y106</f>
        <v>0</v>
      </c>
      <c r="Z106" s="112">
        <f>'תקציב החברה לפיתוח 2025'!Z106</f>
        <v>0</v>
      </c>
      <c r="AA106" s="112">
        <f>'תקציב החברה לפיתוח 2025'!AA106</f>
        <v>0</v>
      </c>
      <c r="AB106" s="202" t="str">
        <f>'תקציב החברה לפיתוח 2025'!AB106</f>
        <v>עבודות פיתוח החלק הדרום מערבי של הפארק ייעודי לנוער בהתאם לתוכנית השימור של הפארק.</v>
      </c>
      <c r="AC106" s="3">
        <f>'תקציב החברה לפיתוח 2025'!AC106</f>
        <v>746000</v>
      </c>
      <c r="AZ106" s="5"/>
      <c r="BA106" s="5"/>
      <c r="BB106" s="5"/>
      <c r="BC106" s="5"/>
      <c r="BD106" s="5"/>
    </row>
    <row r="107" spans="1:56" ht="30" customHeight="1">
      <c r="A107" s="112">
        <f t="shared" si="1"/>
        <v>103</v>
      </c>
      <c r="B107" s="19">
        <f>'תקציב החברה לפיתוח 2025'!B107</f>
        <v>20113</v>
      </c>
      <c r="C107" s="222" t="str">
        <f>'תקציב החברה לפיתוח 2025'!C107</f>
        <v>נוף שדמות</v>
      </c>
      <c r="D107" s="112">
        <f>'תקציב החברה לפיתוח 2025'!D107</f>
        <v>2800000</v>
      </c>
      <c r="E107" s="112">
        <f>'תקציב החברה לפיתוח 2025'!E107</f>
        <v>2030000</v>
      </c>
      <c r="F107" s="112">
        <f>'תקציב החברה לפיתוח 2025'!F107</f>
        <v>770000</v>
      </c>
      <c r="G107" s="112">
        <f>'תקציב החברה לפיתוח 2025'!G107</f>
        <v>0</v>
      </c>
      <c r="H107" s="112">
        <f>'תקציב החברה לפיתוח 2025'!H107</f>
        <v>0</v>
      </c>
      <c r="I107" s="112">
        <f>'תקציב החברה לפיתוח 2025'!I107</f>
        <v>0</v>
      </c>
      <c r="J107" s="112">
        <f>'תקציב החברה לפיתוח 2025'!J107</f>
        <v>0</v>
      </c>
      <c r="K107" s="112">
        <f>'תקציב החברה לפיתוח 2025'!K107</f>
        <v>0</v>
      </c>
      <c r="L107" s="112">
        <f>'תקציב החברה לפיתוח 2025'!L107</f>
        <v>0</v>
      </c>
      <c r="M107" s="112">
        <f>'תקציב החברה לפיתוח 2025'!M107</f>
        <v>1000000</v>
      </c>
      <c r="N107" s="112">
        <f>'תקציב החברה לפיתוח 2025'!N107</f>
        <v>1000000</v>
      </c>
      <c r="O107" s="112">
        <f>'תקציב החברה לפיתוח 2025'!O107</f>
        <v>800000</v>
      </c>
      <c r="P107" s="112">
        <f>'תקציב החברה לפיתוח 2025'!P107</f>
        <v>0</v>
      </c>
      <c r="Q107" s="112">
        <f>'תקציב החברה לפיתוח 2025'!Q107</f>
        <v>1000000</v>
      </c>
      <c r="R107" s="112">
        <f>'תקציב החברה לפיתוח 2025'!R107</f>
        <v>0</v>
      </c>
      <c r="S107" s="112">
        <f>'תקציב החברה לפיתוח 2025'!S107</f>
        <v>1000000</v>
      </c>
      <c r="T107" s="112">
        <f>'תקציב החברה לפיתוח 2025'!T107</f>
        <v>0</v>
      </c>
      <c r="U107" s="257">
        <f>'תקציב החברה לפיתוח 2025'!U107</f>
        <v>1000000</v>
      </c>
      <c r="V107" s="112">
        <f>'תקציב החברה לפיתוח 2025'!V107</f>
        <v>1000000</v>
      </c>
      <c r="W107" s="112">
        <f>'תקציב החברה לפיתוח 2025'!W107</f>
        <v>0</v>
      </c>
      <c r="X107" s="112">
        <f>'תקציב החברה לפיתוח 2025'!X107</f>
        <v>0</v>
      </c>
      <c r="Y107" s="112">
        <f>'תקציב החברה לפיתוח 2025'!Y107</f>
        <v>0</v>
      </c>
      <c r="Z107" s="112">
        <f>'תקציב החברה לפיתוח 2025'!Z107</f>
        <v>0</v>
      </c>
      <c r="AA107" s="112">
        <f>'תקציב החברה לפיתוח 2025'!AA107</f>
        <v>0</v>
      </c>
      <c r="AB107" s="202" t="str">
        <f>'תקציב החברה לפיתוח 2025'!AB107</f>
        <v>עבודות פיתוח חשמל ותאורה נוף שדמות משולש המסילה.</v>
      </c>
      <c r="AC107" s="3">
        <f>'תקציב החברה לפיתוח 2025'!AC107</f>
        <v>742000</v>
      </c>
      <c r="AZ107" s="5"/>
      <c r="BA107" s="5"/>
      <c r="BB107" s="5"/>
      <c r="BC107" s="5"/>
      <c r="BD107" s="5"/>
    </row>
    <row r="108" spans="1:56" ht="60">
      <c r="A108" s="112">
        <f t="shared" si="1"/>
        <v>104</v>
      </c>
      <c r="B108" s="19">
        <f>'תקציב החברה לפיתוח 2025'!B108</f>
        <v>20114</v>
      </c>
      <c r="C108" s="222" t="str">
        <f>'תקציב החברה לפיתוח 2025'!C108</f>
        <v>גנ"י נוספים גליל ים</v>
      </c>
      <c r="D108" s="112">
        <f>'תקציב החברה לפיתוח 2025'!D108</f>
        <v>9000000</v>
      </c>
      <c r="E108" s="112">
        <f>'תקציב החברה לפיתוח 2025'!E108</f>
        <v>5000000</v>
      </c>
      <c r="F108" s="112">
        <f>'תקציב החברה לפיתוח 2025'!F108</f>
        <v>4000000</v>
      </c>
      <c r="G108" s="112">
        <f>'תקציב החברה לפיתוח 2025'!G108</f>
        <v>0</v>
      </c>
      <c r="H108" s="112">
        <f>'תקציב החברה לפיתוח 2025'!H108</f>
        <v>0</v>
      </c>
      <c r="I108" s="112">
        <f>'תקציב החברה לפיתוח 2025'!I108</f>
        <v>0</v>
      </c>
      <c r="J108" s="112">
        <f>'תקציב החברה לפיתוח 2025'!J108</f>
        <v>0</v>
      </c>
      <c r="K108" s="112">
        <f>'תקציב החברה לפיתוח 2025'!K108</f>
        <v>0</v>
      </c>
      <c r="L108" s="112">
        <f>'תקציב החברה לפיתוח 2025'!L108</f>
        <v>0</v>
      </c>
      <c r="M108" s="112">
        <f>'תקציב החברה לפיתוח 2025'!M108</f>
        <v>0</v>
      </c>
      <c r="N108" s="112">
        <f>'תקציב החברה לפיתוח 2025'!N108</f>
        <v>6000000</v>
      </c>
      <c r="O108" s="112">
        <f>'תקציב החברה לפיתוח 2025'!O108</f>
        <v>3000000</v>
      </c>
      <c r="P108" s="112">
        <f>'תקציב החברה לפיתוח 2025'!P108</f>
        <v>0</v>
      </c>
      <c r="Q108" s="112">
        <f>'תקציב החברה לפיתוח 2025'!Q108</f>
        <v>0</v>
      </c>
      <c r="R108" s="112">
        <f>'תקציב החברה לפיתוח 2025'!R108</f>
        <v>0</v>
      </c>
      <c r="S108" s="112">
        <f>'תקציב החברה לפיתוח 2025'!S108</f>
        <v>0</v>
      </c>
      <c r="T108" s="112">
        <f>'תקציב החברה לפיתוח 2025'!T108</f>
        <v>0</v>
      </c>
      <c r="U108" s="257">
        <f>'תקציב החברה לפיתוח 2025'!U108</f>
        <v>6000000</v>
      </c>
      <c r="V108" s="112">
        <f>'תקציב החברה לפיתוח 2025'!V108</f>
        <v>6000000</v>
      </c>
      <c r="W108" s="112">
        <f>'תקציב החברה לפיתוח 2025'!W108</f>
        <v>0</v>
      </c>
      <c r="X108" s="112">
        <f>'תקציב החברה לפיתוח 2025'!X108</f>
        <v>0</v>
      </c>
      <c r="Y108" s="112">
        <f>'תקציב החברה לפיתוח 2025'!Y108</f>
        <v>0</v>
      </c>
      <c r="Z108" s="112">
        <f>'תקציב החברה לפיתוח 2025'!Z108</f>
        <v>0</v>
      </c>
      <c r="AA108" s="112">
        <f>'תקציב החברה לפיתוח 2025'!AA108</f>
        <v>0</v>
      </c>
      <c r="AB108" s="202" t="str">
        <f>'תקציב החברה לפיתוח 2025'!AB108</f>
        <v>בניית 3 כיתות גן  נוספים כולל מרחבים מוגנים לאור הגידול באוכלוסיה . רח' התזמורת גליל ים ב'. צפי איכלוס 9/2025.</v>
      </c>
      <c r="AC108" s="3">
        <f>'תקציב החברה לפיתוח 2025'!AC108</f>
        <v>810000</v>
      </c>
      <c r="AZ108" s="5"/>
      <c r="BA108" s="5"/>
      <c r="BB108" s="5"/>
      <c r="BC108" s="5"/>
      <c r="BD108" s="5"/>
    </row>
    <row r="109" spans="1:56" ht="120">
      <c r="A109" s="112">
        <f t="shared" si="1"/>
        <v>105</v>
      </c>
      <c r="B109" s="19">
        <f>'תקציב החברה לפיתוח 2025'!B109</f>
        <v>20129</v>
      </c>
      <c r="C109" s="207" t="str">
        <f>'תקציב החברה לפיתוח 2025'!C109</f>
        <v>כיכר דה - שליט ומבואות השרון</v>
      </c>
      <c r="D109" s="112">
        <f>'תקציב החברה לפיתוח 2025'!D109</f>
        <v>117500000</v>
      </c>
      <c r="E109" s="112">
        <f>'תקציב החברה לפיתוח 2025'!E109</f>
        <v>117500000</v>
      </c>
      <c r="F109" s="112">
        <f>'תקציב החברה לפיתוח 2025'!F109</f>
        <v>0</v>
      </c>
      <c r="G109" s="112">
        <f>'תקציב החברה לפיתוח 2025'!G109</f>
        <v>0</v>
      </c>
      <c r="H109" s="112">
        <f>'תקציב החברה לפיתוח 2025'!H109</f>
        <v>0</v>
      </c>
      <c r="I109" s="112">
        <f>'תקציב החברה לפיתוח 2025'!I109</f>
        <v>0</v>
      </c>
      <c r="J109" s="112">
        <f>'תקציב החברה לפיתוח 2025'!J109</f>
        <v>0</v>
      </c>
      <c r="K109" s="112">
        <f>'תקציב החברה לפיתוח 2025'!K109</f>
        <v>0</v>
      </c>
      <c r="L109" s="112">
        <f>'תקציב החברה לפיתוח 2025'!L109</f>
        <v>0</v>
      </c>
      <c r="M109" s="112">
        <f>'תקציב החברה לפיתוח 2025'!M109</f>
        <v>0</v>
      </c>
      <c r="N109" s="112">
        <f>'תקציב החברה לפיתוח 2025'!N109</f>
        <v>700000</v>
      </c>
      <c r="O109" s="112">
        <f>'תקציב החברה לפיתוח 2025'!O109</f>
        <v>116800000</v>
      </c>
      <c r="P109" s="112">
        <f>'תקציב החברה לפיתוח 2025'!P109</f>
        <v>0</v>
      </c>
      <c r="Q109" s="112">
        <f>'תקציב החברה לפיתוח 2025'!Q109</f>
        <v>0</v>
      </c>
      <c r="R109" s="112">
        <f>'תקציב החברה לפיתוח 2025'!R109</f>
        <v>0</v>
      </c>
      <c r="S109" s="112">
        <f>'תקציב החברה לפיתוח 2025'!S109</f>
        <v>0</v>
      </c>
      <c r="T109" s="112">
        <f>'תקציב החברה לפיתוח 2025'!T109</f>
        <v>0</v>
      </c>
      <c r="U109" s="452">
        <f>'תקציב החברה לפיתוח 2025'!U109</f>
        <v>700000</v>
      </c>
      <c r="V109" s="112">
        <f>'תקציב החברה לפיתוח 2025'!V109</f>
        <v>700000</v>
      </c>
      <c r="W109" s="112">
        <f>'תקציב החברה לפיתוח 2025'!W109</f>
        <v>0</v>
      </c>
      <c r="X109" s="112">
        <f>'תקציב החברה לפיתוח 2025'!X109</f>
        <v>0</v>
      </c>
      <c r="Y109" s="112">
        <f>'תקציב החברה לפיתוח 2025'!Y109</f>
        <v>0</v>
      </c>
      <c r="Z109" s="112">
        <f>'תקציב החברה לפיתוח 2025'!Z109</f>
        <v>0</v>
      </c>
      <c r="AA109" s="112">
        <f>'תקציב החברה לפיתוח 2025'!AA109</f>
        <v>0</v>
      </c>
      <c r="AB109" s="202" t="str">
        <f>'תקציב החברה לפיתוח 2025'!AB109</f>
        <v>הפיכת הכיכר לחניון תת"ק הכולל תחנת שאיבה,  ומעליו שצ"פ. כחלק מהפיתוח הסביבתי הכולל הסדרת דרך הירידה לחוף.  ב - 2025 - הכנת נספח בינוי ופיתוח עד להיתר. מלון פאת ים נמצא בהליך היתר כמו גם מלון השרון, ופרויקטים של התחדשות עירונית סביב הכיכר.</v>
      </c>
      <c r="AC109" s="3">
        <f>'תקציב החברה לפיתוח 2025'!AC109</f>
        <v>742000</v>
      </c>
      <c r="AK109" s="123"/>
      <c r="AL109" s="123"/>
      <c r="AM109" s="123"/>
      <c r="AN109" s="123"/>
      <c r="AO109" s="123"/>
      <c r="AP109" s="123"/>
      <c r="AQ109" s="123"/>
      <c r="AR109" s="123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 ht="22.5" customHeight="1">
      <c r="A110" s="112">
        <f t="shared" si="1"/>
        <v>106</v>
      </c>
      <c r="B110" s="19">
        <f>'תקציב החברה לפיתוח 2025'!B110</f>
        <v>20139</v>
      </c>
      <c r="C110" s="222" t="str">
        <f>'תקציב החברה לפיתוח 2025'!C110</f>
        <v>שיפוצים מוס"ח</v>
      </c>
      <c r="D110" s="112">
        <f>'תקציב החברה לפיתוח 2025'!D110</f>
        <v>27500000</v>
      </c>
      <c r="E110" s="112">
        <f>'תקציב החברה לפיתוח 2025'!E110</f>
        <v>27500000</v>
      </c>
      <c r="F110" s="112">
        <f>'תקציב החברה לפיתוח 2025'!F110</f>
        <v>0</v>
      </c>
      <c r="G110" s="112">
        <f>'תקציב החברה לפיתוח 2025'!G110</f>
        <v>25500000</v>
      </c>
      <c r="H110" s="112">
        <f>'תקציב החברה לפיתוח 2025'!H110</f>
        <v>6086728</v>
      </c>
      <c r="I110" s="112">
        <f>'תקציב החברה לפיתוח 2025'!I110</f>
        <v>0</v>
      </c>
      <c r="J110" s="112">
        <f>'תקציב החברה לפיתוח 2025'!J110</f>
        <v>1214071</v>
      </c>
      <c r="K110" s="112">
        <f>'תקציב החברה לפיתוח 2025'!K110</f>
        <v>1214071</v>
      </c>
      <c r="L110" s="112">
        <f>'תקציב החברה לפיתוח 2025'!L110</f>
        <v>7300799</v>
      </c>
      <c r="M110" s="112">
        <f>'תקציב החברה לפיתוח 2025'!M110</f>
        <v>20199201</v>
      </c>
      <c r="N110" s="112">
        <f>'תקציב החברה לפיתוח 2025'!N110</f>
        <v>0</v>
      </c>
      <c r="O110" s="112">
        <f>'תקציב החברה לפיתוח 2025'!O110</f>
        <v>0</v>
      </c>
      <c r="P110" s="112">
        <f>'תקציב החברה לפיתוח 2025'!P110</f>
        <v>18199201</v>
      </c>
      <c r="Q110" s="112">
        <f>'תקציב החברה לפיתוח 2025'!Q110</f>
        <v>0</v>
      </c>
      <c r="R110" s="112">
        <f>'תקציב החברה לפיתוח 2025'!R110</f>
        <v>2000000</v>
      </c>
      <c r="S110" s="112">
        <f>'תקציב החברה לפיתוח 2025'!S110</f>
        <v>2000000</v>
      </c>
      <c r="T110" s="112">
        <f>'תקציב החברה לפיתוח 2025'!T110</f>
        <v>0</v>
      </c>
      <c r="U110" s="257">
        <f>'תקציב החברה לפיתוח 2025'!U110</f>
        <v>0</v>
      </c>
      <c r="V110" s="112">
        <f>'תקציב החברה לפיתוח 2025'!V110</f>
        <v>0</v>
      </c>
      <c r="W110" s="112">
        <f>'תקציב החברה לפיתוח 2025'!W110</f>
        <v>0</v>
      </c>
      <c r="X110" s="112">
        <f>'תקציב החברה לפיתוח 2025'!X110</f>
        <v>0</v>
      </c>
      <c r="Y110" s="112">
        <f>'תקציב החברה לפיתוח 2025'!Y110</f>
        <v>0</v>
      </c>
      <c r="Z110" s="112">
        <f>'תקציב החברה לפיתוח 2025'!Z110</f>
        <v>0</v>
      </c>
      <c r="AA110" s="112">
        <f>'תקציב החברה לפיתוח 2025'!AA110</f>
        <v>0</v>
      </c>
      <c r="AB110" s="202" t="str">
        <f>'תקציב החברה לפיתוח 2025'!AB110</f>
        <v>שיפוצים מוס"ח היערכות לשנה"ל.</v>
      </c>
      <c r="AC110" s="3">
        <f>'תקציב החברה לפיתוח 2025'!AC110</f>
        <v>810000</v>
      </c>
    </row>
    <row r="111" spans="1:56" s="5" customFormat="1" ht="45">
      <c r="A111" s="112">
        <f t="shared" si="1"/>
        <v>107</v>
      </c>
      <c r="B111" s="19">
        <f>'תקציב החברה לפיתוח 2025'!B111</f>
        <v>20148</v>
      </c>
      <c r="C111" s="222" t="str">
        <f>'תקציב החברה לפיתוח 2025'!C111</f>
        <v>גנ"י גליל ים ג'</v>
      </c>
      <c r="D111" s="112">
        <f>'תקציב החברה לפיתוח 2025'!D111</f>
        <v>500000</v>
      </c>
      <c r="E111" s="112">
        <f>'תקציב החברה לפיתוח 2025'!E111</f>
        <v>0</v>
      </c>
      <c r="F111" s="112">
        <f>'תקציב החברה לפיתוח 2025'!F111</f>
        <v>500000</v>
      </c>
      <c r="G111" s="112">
        <f>'תקציב החברה לפיתוח 2025'!G111</f>
        <v>0</v>
      </c>
      <c r="H111" s="112">
        <f>'תקציב החברה לפיתוח 2025'!H111</f>
        <v>0</v>
      </c>
      <c r="I111" s="112">
        <f>'תקציב החברה לפיתוח 2025'!I111</f>
        <v>0</v>
      </c>
      <c r="J111" s="112">
        <f>'תקציב החברה לפיתוח 2025'!J111</f>
        <v>0</v>
      </c>
      <c r="K111" s="112">
        <f>'תקציב החברה לפיתוח 2025'!K111</f>
        <v>0</v>
      </c>
      <c r="L111" s="112">
        <f>'תקציב החברה לפיתוח 2025'!L111</f>
        <v>0</v>
      </c>
      <c r="M111" s="112">
        <f>'תקציב החברה לפיתוח 2025'!M111</f>
        <v>0</v>
      </c>
      <c r="N111" s="257">
        <f>'תקציב החברה לפיתוח 2025'!N111</f>
        <v>500000</v>
      </c>
      <c r="O111" s="112">
        <f>'תקציב החברה לפיתוח 2025'!O111</f>
        <v>0</v>
      </c>
      <c r="P111" s="112">
        <f>'תקציב החברה לפיתוח 2025'!P111</f>
        <v>0</v>
      </c>
      <c r="Q111" s="112">
        <f>'תקציב החברה לפיתוח 2025'!Q111</f>
        <v>0</v>
      </c>
      <c r="R111" s="112">
        <f>'תקציב החברה לפיתוח 2025'!R111</f>
        <v>0</v>
      </c>
      <c r="S111" s="112">
        <f>'תקציב החברה לפיתוח 2025'!S111</f>
        <v>0</v>
      </c>
      <c r="T111" s="112">
        <f>'תקציב החברה לפיתוח 2025'!T111</f>
        <v>0</v>
      </c>
      <c r="U111" s="257">
        <f>'תקציב החברה לפיתוח 2025'!U111</f>
        <v>500000</v>
      </c>
      <c r="V111" s="112">
        <f>'תקציב החברה לפיתוח 2025'!V111</f>
        <v>0</v>
      </c>
      <c r="W111" s="112">
        <f>'תקציב החברה לפיתוח 2025'!W111</f>
        <v>0</v>
      </c>
      <c r="X111" s="112">
        <f>'תקציב החברה לפיתוח 2025'!X111</f>
        <v>0</v>
      </c>
      <c r="Y111" s="112">
        <f>'תקציב החברה לפיתוח 2025'!Y111</f>
        <v>500000</v>
      </c>
      <c r="Z111" s="112">
        <f>'תקציב החברה לפיתוח 2025'!Z111</f>
        <v>0</v>
      </c>
      <c r="AA111" s="112">
        <f>'תקציב החברה לפיתוח 2025'!AA111</f>
        <v>0</v>
      </c>
      <c r="AB111" s="202" t="str">
        <f>'תקציב החברה לפיתוח 2025'!AB111</f>
        <v>תכנון לגנ"י במגרשים גליל ים ג'. 200,201,205 לביצוע 2026. 202,204 לביצוע 2027.</v>
      </c>
      <c r="AC111" s="3">
        <f>'תקציב החברה לפיתוח 2025'!AC111</f>
        <v>810000</v>
      </c>
      <c r="AD111" s="123"/>
      <c r="AE111" s="123"/>
      <c r="AF111" s="123"/>
      <c r="AG111" s="123"/>
      <c r="AH111" s="123"/>
      <c r="AI111" s="123"/>
      <c r="AJ111" s="123"/>
      <c r="AK111" s="505"/>
      <c r="AL111" s="505"/>
      <c r="AM111" s="505"/>
      <c r="AN111" s="505"/>
      <c r="AO111" s="505"/>
      <c r="AP111" s="505"/>
      <c r="AQ111" s="505"/>
      <c r="AR111" s="505"/>
      <c r="AS111" s="123"/>
      <c r="AT111" s="123"/>
      <c r="AU111" s="123"/>
      <c r="AV111" s="123"/>
      <c r="AW111" s="123"/>
      <c r="AX111" s="123"/>
      <c r="AY111" s="123"/>
    </row>
    <row r="112" spans="1:56" s="5" customFormat="1" ht="60">
      <c r="A112" s="112">
        <f t="shared" si="1"/>
        <v>108</v>
      </c>
      <c r="B112" s="19">
        <f>'תקציב החברה לפיתוח 2025'!B112</f>
        <v>20149</v>
      </c>
      <c r="C112" s="222" t="str">
        <f>'תקציב החברה לפיתוח 2025'!C112</f>
        <v>עבודות שיקום והסטת הנחל -304</v>
      </c>
      <c r="D112" s="112">
        <f>'תקציב החברה לפיתוח 2025'!D112</f>
        <v>5000000</v>
      </c>
      <c r="E112" s="112">
        <f>'תקציב החברה לפיתוח 2025'!E112</f>
        <v>0</v>
      </c>
      <c r="F112" s="112">
        <f>'תקציב החברה לפיתוח 2025'!F112</f>
        <v>5000000</v>
      </c>
      <c r="G112" s="112">
        <f>'תקציב החברה לפיתוח 2025'!G112</f>
        <v>0</v>
      </c>
      <c r="H112" s="112">
        <f>'תקציב החברה לפיתוח 2025'!H112</f>
        <v>0</v>
      </c>
      <c r="I112" s="112">
        <f>'תקציב החברה לפיתוח 2025'!I112</f>
        <v>0</v>
      </c>
      <c r="J112" s="112">
        <f>'תקציב החברה לפיתוח 2025'!J112</f>
        <v>0</v>
      </c>
      <c r="K112" s="112">
        <f>'תקציב החברה לפיתוח 2025'!K112</f>
        <v>0</v>
      </c>
      <c r="L112" s="112">
        <f>'תקציב החברה לפיתוח 2025'!L112</f>
        <v>0</v>
      </c>
      <c r="M112" s="112">
        <f>'תקציב החברה לפיתוח 2025'!M112</f>
        <v>0</v>
      </c>
      <c r="N112" s="257">
        <f>'תקציב החברה לפיתוח 2025'!N112</f>
        <v>3200000</v>
      </c>
      <c r="O112" s="112">
        <f>'תקציב החברה לפיתוח 2025'!O112</f>
        <v>1800000</v>
      </c>
      <c r="P112" s="112">
        <f>'תקציב החברה לפיתוח 2025'!P112</f>
        <v>0</v>
      </c>
      <c r="Q112" s="112">
        <f>'תקציב החברה לפיתוח 2025'!Q112</f>
        <v>0</v>
      </c>
      <c r="R112" s="112">
        <f>'תקציב החברה לפיתוח 2025'!R112</f>
        <v>0</v>
      </c>
      <c r="S112" s="112">
        <f>'תקציב החברה לפיתוח 2025'!S112</f>
        <v>0</v>
      </c>
      <c r="T112" s="112">
        <f>'תקציב החברה לפיתוח 2025'!T112</f>
        <v>0</v>
      </c>
      <c r="U112" s="257">
        <f>'תקציב החברה לפיתוח 2025'!U112</f>
        <v>3200000</v>
      </c>
      <c r="V112" s="112">
        <f>'תקציב החברה לפיתוח 2025'!V112</f>
        <v>1000000</v>
      </c>
      <c r="W112" s="112">
        <f>'תקציב החברה לפיתוח 2025'!W112</f>
        <v>0</v>
      </c>
      <c r="X112" s="112">
        <f>'תקציב החברה לפיתוח 2025'!X112</f>
        <v>0</v>
      </c>
      <c r="Y112" s="112">
        <f>'תקציב החברה לפיתוח 2025'!Y112</f>
        <v>0</v>
      </c>
      <c r="Z112" s="112">
        <f>'תקציב החברה לפיתוח 2025'!Z112</f>
        <v>0</v>
      </c>
      <c r="AA112" s="112">
        <f>'תקציב החברה לפיתוח 2025'!AA112</f>
        <v>2200000</v>
      </c>
      <c r="AB112" s="202" t="str">
        <f>'תקציב החברה לפיתוח 2025'!AB112</f>
        <v>הסטה ושיקום אקולוגי של הנחל. הוגשה בקשה למימון הקרן לשמירת שטחים פתוחים ורשות ניקוז.</v>
      </c>
      <c r="AC112" s="3">
        <f>'תקציב החברה לפיתוח 2025'!AC112</f>
        <v>742000</v>
      </c>
      <c r="AD112" s="123"/>
      <c r="AE112" s="123"/>
      <c r="AF112" s="123"/>
      <c r="AG112" s="123"/>
      <c r="AH112" s="123"/>
      <c r="AI112" s="123"/>
      <c r="AJ112" s="123"/>
      <c r="AK112" s="505"/>
      <c r="AL112" s="505"/>
      <c r="AM112" s="505"/>
      <c r="AN112" s="505"/>
      <c r="AO112" s="505"/>
      <c r="AP112" s="505"/>
      <c r="AQ112" s="505"/>
      <c r="AR112" s="505"/>
      <c r="AS112" s="123"/>
      <c r="AT112" s="123"/>
      <c r="AU112" s="123"/>
      <c r="AV112" s="123"/>
      <c r="AW112" s="123"/>
      <c r="AX112" s="123"/>
      <c r="AY112" s="123"/>
    </row>
    <row r="113" spans="1:51" s="5" customFormat="1" ht="30" customHeight="1">
      <c r="A113" s="112">
        <f t="shared" si="1"/>
        <v>109</v>
      </c>
      <c r="B113" s="19">
        <f>'תקציב החברה לפיתוח 2025'!B113</f>
        <v>20150</v>
      </c>
      <c r="C113" s="222" t="str">
        <f>'תקציב החברה לפיתוח 2025'!C113</f>
        <v>פיתוח גבעת האלוהים</v>
      </c>
      <c r="D113" s="112">
        <f>'תקציב החברה לפיתוח 2025'!D113</f>
        <v>150000</v>
      </c>
      <c r="E113" s="112">
        <f>'תקציב החברה לפיתוח 2025'!E113</f>
        <v>0</v>
      </c>
      <c r="F113" s="112">
        <f>'תקציב החברה לפיתוח 2025'!F113</f>
        <v>150000</v>
      </c>
      <c r="G113" s="112">
        <f>'תקציב החברה לפיתוח 2025'!G113</f>
        <v>0</v>
      </c>
      <c r="H113" s="112">
        <f>'תקציב החברה לפיתוח 2025'!H113</f>
        <v>0</v>
      </c>
      <c r="I113" s="112">
        <f>'תקציב החברה לפיתוח 2025'!I113</f>
        <v>0</v>
      </c>
      <c r="J113" s="112">
        <f>'תקציב החברה לפיתוח 2025'!J113</f>
        <v>0</v>
      </c>
      <c r="K113" s="112">
        <f>'תקציב החברה לפיתוח 2025'!K113</f>
        <v>0</v>
      </c>
      <c r="L113" s="112">
        <f>'תקציב החברה לפיתוח 2025'!L113</f>
        <v>0</v>
      </c>
      <c r="M113" s="112">
        <f>'תקציב החברה לפיתוח 2025'!M113</f>
        <v>0</v>
      </c>
      <c r="N113" s="112">
        <f>'תקציב החברה לפיתוח 2025'!N113</f>
        <v>150000</v>
      </c>
      <c r="O113" s="112">
        <f>'תקציב החברה לפיתוח 2025'!O113</f>
        <v>0</v>
      </c>
      <c r="P113" s="112">
        <f>'תקציב החברה לפיתוח 2025'!P113</f>
        <v>0</v>
      </c>
      <c r="Q113" s="112">
        <f>'תקציב החברה לפיתוח 2025'!Q113</f>
        <v>0</v>
      </c>
      <c r="R113" s="112">
        <f>'תקציב החברה לפיתוח 2025'!R113</f>
        <v>0</v>
      </c>
      <c r="S113" s="112">
        <f>'תקציב החברה לפיתוח 2025'!S113</f>
        <v>0</v>
      </c>
      <c r="T113" s="112">
        <f>'תקציב החברה לפיתוח 2025'!T113</f>
        <v>0</v>
      </c>
      <c r="U113" s="257">
        <f>'תקציב החברה לפיתוח 2025'!U113</f>
        <v>150000</v>
      </c>
      <c r="V113" s="112">
        <f>'תקציב החברה לפיתוח 2025'!V113</f>
        <v>150000</v>
      </c>
      <c r="W113" s="112">
        <f>'תקציב החברה לפיתוח 2025'!W113</f>
        <v>0</v>
      </c>
      <c r="X113" s="112">
        <f>'תקציב החברה לפיתוח 2025'!X113</f>
        <v>0</v>
      </c>
      <c r="Y113" s="112">
        <f>'תקציב החברה לפיתוח 2025'!Y113</f>
        <v>0</v>
      </c>
      <c r="Z113" s="112">
        <f>'תקציב החברה לפיתוח 2025'!Z113</f>
        <v>0</v>
      </c>
      <c r="AA113" s="112">
        <f>'תקציב החברה לפיתוח 2025'!AA113</f>
        <v>0</v>
      </c>
      <c r="AB113" s="202" t="str">
        <f>'תקציב החברה לפיתוח 2025'!AB113</f>
        <v>תכנון פיתוח המתחם.</v>
      </c>
      <c r="AC113" s="3">
        <f>'תקציב החברה לפיתוח 2025'!AC113</f>
        <v>742000</v>
      </c>
      <c r="AD113" s="123"/>
      <c r="AE113" s="123"/>
      <c r="AF113" s="123"/>
      <c r="AG113" s="123"/>
      <c r="AH113" s="123"/>
      <c r="AI113" s="123"/>
      <c r="AJ113" s="123"/>
      <c r="AK113" s="505"/>
      <c r="AL113" s="505"/>
      <c r="AM113" s="505"/>
      <c r="AN113" s="505"/>
      <c r="AO113" s="505"/>
      <c r="AP113" s="505"/>
      <c r="AQ113" s="505"/>
      <c r="AR113" s="505"/>
      <c r="AS113" s="123"/>
      <c r="AT113" s="123"/>
      <c r="AU113" s="123"/>
      <c r="AV113" s="123"/>
      <c r="AW113" s="123"/>
      <c r="AX113" s="123"/>
      <c r="AY113" s="123"/>
    </row>
    <row r="114" spans="1:51" s="5" customFormat="1" ht="30" customHeight="1">
      <c r="A114" s="112">
        <f t="shared" si="1"/>
        <v>110</v>
      </c>
      <c r="B114" s="19">
        <f>'תקציב החברה לפיתוח 2025'!B114</f>
        <v>20151</v>
      </c>
      <c r="C114" s="222" t="str">
        <f>'תקציב החברה לפיתוח 2025'!C114</f>
        <v>חידוש ושדרוג מרכז יום לתשושי נפש</v>
      </c>
      <c r="D114" s="112">
        <f>'תקציב החברה לפיתוח 2025'!D114</f>
        <v>10500000</v>
      </c>
      <c r="E114" s="112">
        <f>'תקציב החברה לפיתוח 2025'!E114</f>
        <v>0</v>
      </c>
      <c r="F114" s="112">
        <f>'תקציב החברה לפיתוח 2025'!F114</f>
        <v>10500000</v>
      </c>
      <c r="G114" s="112">
        <f>'תקציב החברה לפיתוח 2025'!G114</f>
        <v>0</v>
      </c>
      <c r="H114" s="112">
        <f>'תקציב החברה לפיתוח 2025'!H114</f>
        <v>0</v>
      </c>
      <c r="I114" s="112">
        <f>'תקציב החברה לפיתוח 2025'!I114</f>
        <v>0</v>
      </c>
      <c r="J114" s="112">
        <f>'תקציב החברה לפיתוח 2025'!J114</f>
        <v>0</v>
      </c>
      <c r="K114" s="112">
        <f>'תקציב החברה לפיתוח 2025'!K114</f>
        <v>0</v>
      </c>
      <c r="L114" s="112">
        <f>'תקציב החברה לפיתוח 2025'!L114</f>
        <v>0</v>
      </c>
      <c r="M114" s="112">
        <f>'תקציב החברה לפיתוח 2025'!M114</f>
        <v>0</v>
      </c>
      <c r="N114" s="112">
        <f>'תקציב החברה לפיתוח 2025'!N114</f>
        <v>100000</v>
      </c>
      <c r="O114" s="112">
        <f>'תקציב החברה לפיתוח 2025'!O114</f>
        <v>10400000</v>
      </c>
      <c r="P114" s="112">
        <f>'תקציב החברה לפיתוח 2025'!P114</f>
        <v>0</v>
      </c>
      <c r="Q114" s="112">
        <f>'תקציב החברה לפיתוח 2025'!Q114</f>
        <v>0</v>
      </c>
      <c r="R114" s="112">
        <f>'תקציב החברה לפיתוח 2025'!R114</f>
        <v>0</v>
      </c>
      <c r="S114" s="112">
        <f>'תקציב החברה לפיתוח 2025'!S114</f>
        <v>0</v>
      </c>
      <c r="T114" s="112">
        <f>'תקציב החברה לפיתוח 2025'!T114</f>
        <v>0</v>
      </c>
      <c r="U114" s="257">
        <f>'תקציב החברה לפיתוח 2025'!U114</f>
        <v>100000</v>
      </c>
      <c r="V114" s="112">
        <f>'תקציב החברה לפיתוח 2025'!V114</f>
        <v>100000</v>
      </c>
      <c r="W114" s="112">
        <f>'תקציב החברה לפיתוח 2025'!W114</f>
        <v>0</v>
      </c>
      <c r="X114" s="112">
        <f>'תקציב החברה לפיתוח 2025'!X114</f>
        <v>0</v>
      </c>
      <c r="Y114" s="112">
        <f>'תקציב החברה לפיתוח 2025'!Y114</f>
        <v>0</v>
      </c>
      <c r="Z114" s="112">
        <f>'תקציב החברה לפיתוח 2025'!Z114</f>
        <v>0</v>
      </c>
      <c r="AA114" s="112">
        <f>'תקציב החברה לפיתוח 2025'!AA114</f>
        <v>0</v>
      </c>
      <c r="AB114" s="202" t="str">
        <f>'תקציב החברה לפיתוח 2025'!AB114</f>
        <v>מרכז יום לתשושי נפש צמרות הרצליה.</v>
      </c>
      <c r="AC114" s="3">
        <f>'תקציב החברה לפיתוח 2025'!AC114</f>
        <v>840000</v>
      </c>
      <c r="AD114" s="123"/>
      <c r="AE114" s="123"/>
      <c r="AF114" s="123"/>
      <c r="AG114" s="123"/>
      <c r="AH114" s="123"/>
      <c r="AI114" s="123"/>
      <c r="AJ114" s="123"/>
      <c r="AK114" s="505"/>
      <c r="AL114" s="505"/>
      <c r="AM114" s="505"/>
      <c r="AN114" s="505"/>
      <c r="AO114" s="505"/>
      <c r="AP114" s="505"/>
      <c r="AQ114" s="505"/>
      <c r="AR114" s="505"/>
      <c r="AS114" s="123"/>
      <c r="AT114" s="123"/>
      <c r="AU114" s="123"/>
      <c r="AV114" s="123"/>
      <c r="AW114" s="123"/>
      <c r="AX114" s="123"/>
      <c r="AY114" s="123"/>
    </row>
    <row r="115" spans="1:51" s="5" customFormat="1" ht="45">
      <c r="A115" s="112">
        <f t="shared" si="1"/>
        <v>111</v>
      </c>
      <c r="B115" s="19">
        <f>'תקציב החברה לפיתוח 2025'!B115</f>
        <v>20152</v>
      </c>
      <c r="C115" s="222" t="str">
        <f>'תקציב החברה לפיתוח 2025'!C115</f>
        <v>הקמת מתחם פודטראק ליד היכל אומנויות הבמה</v>
      </c>
      <c r="D115" s="112">
        <f>'תקציב החברה לפיתוח 2025'!D115</f>
        <v>200000</v>
      </c>
      <c r="E115" s="112">
        <f>'תקציב החברה לפיתוח 2025'!E115</f>
        <v>0</v>
      </c>
      <c r="F115" s="112">
        <f>'תקציב החברה לפיתוח 2025'!F115</f>
        <v>200000</v>
      </c>
      <c r="G115" s="112">
        <f>'תקציב החברה לפיתוח 2025'!G115</f>
        <v>0</v>
      </c>
      <c r="H115" s="112">
        <f>'תקציב החברה לפיתוח 2025'!H115</f>
        <v>0</v>
      </c>
      <c r="I115" s="112">
        <f>'תקציב החברה לפיתוח 2025'!I115</f>
        <v>0</v>
      </c>
      <c r="J115" s="112">
        <f>'תקציב החברה לפיתוח 2025'!J115</f>
        <v>0</v>
      </c>
      <c r="K115" s="112">
        <f>'תקציב החברה לפיתוח 2025'!K115</f>
        <v>0</v>
      </c>
      <c r="L115" s="112">
        <f>'תקציב החברה לפיתוח 2025'!L115</f>
        <v>0</v>
      </c>
      <c r="M115" s="112">
        <f>'תקציב החברה לפיתוח 2025'!M115</f>
        <v>0</v>
      </c>
      <c r="N115" s="112">
        <f>'תקציב החברה לפיתוח 2025'!N115</f>
        <v>200000</v>
      </c>
      <c r="O115" s="112">
        <f>'תקציב החברה לפיתוח 2025'!O115</f>
        <v>0</v>
      </c>
      <c r="P115" s="112">
        <f>'תקציב החברה לפיתוח 2025'!P115</f>
        <v>0</v>
      </c>
      <c r="Q115" s="112">
        <f>'תקציב החברה לפיתוח 2025'!Q115</f>
        <v>0</v>
      </c>
      <c r="R115" s="112">
        <f>'תקציב החברה לפיתוח 2025'!R115</f>
        <v>0</v>
      </c>
      <c r="S115" s="112">
        <f>'תקציב החברה לפיתוח 2025'!S115</f>
        <v>0</v>
      </c>
      <c r="T115" s="112">
        <f>'תקציב החברה לפיתוח 2025'!T115</f>
        <v>0</v>
      </c>
      <c r="U115" s="257">
        <f>'תקציב החברה לפיתוח 2025'!U115</f>
        <v>200000</v>
      </c>
      <c r="V115" s="112">
        <f>'תקציב החברה לפיתוח 2025'!V115</f>
        <v>200000</v>
      </c>
      <c r="W115" s="112">
        <f>'תקציב החברה לפיתוח 2025'!W115</f>
        <v>0</v>
      </c>
      <c r="X115" s="112">
        <f>'תקציב החברה לפיתוח 2025'!X115</f>
        <v>0</v>
      </c>
      <c r="Y115" s="112">
        <f>'תקציב החברה לפיתוח 2025'!Y115</f>
        <v>0</v>
      </c>
      <c r="Z115" s="112">
        <f>'תקציב החברה לפיתוח 2025'!Z115</f>
        <v>0</v>
      </c>
      <c r="AA115" s="112">
        <f>'תקציב החברה לפיתוח 2025'!AA115</f>
        <v>0</v>
      </c>
      <c r="AB115" s="202" t="str">
        <f>'תקציב החברה לפיתוח 2025'!AB115</f>
        <v>תכנון מתחם פודטראק .</v>
      </c>
      <c r="AC115" s="3">
        <f>'תקציב החברה לפיתוח 2025'!AC115</f>
        <v>848000</v>
      </c>
      <c r="AD115" s="123"/>
      <c r="AE115" s="123"/>
      <c r="AF115" s="123"/>
      <c r="AG115" s="123"/>
      <c r="AH115" s="123"/>
      <c r="AI115" s="123"/>
      <c r="AJ115" s="123"/>
      <c r="AK115" s="505"/>
      <c r="AL115" s="505"/>
      <c r="AM115" s="505"/>
      <c r="AN115" s="505"/>
      <c r="AO115" s="505"/>
      <c r="AP115" s="505"/>
      <c r="AQ115" s="505"/>
      <c r="AR115" s="505"/>
      <c r="AS115" s="123"/>
      <c r="AT115" s="123"/>
      <c r="AU115" s="123"/>
      <c r="AV115" s="123"/>
      <c r="AW115" s="123"/>
      <c r="AX115" s="123"/>
      <c r="AY115" s="123"/>
    </row>
    <row r="116" spans="1:51" s="5" customFormat="1" ht="30">
      <c r="A116" s="112">
        <f t="shared" si="1"/>
        <v>112</v>
      </c>
      <c r="B116" s="19">
        <f>'תקציב החברה לפיתוח 2025'!B116</f>
        <v>20153</v>
      </c>
      <c r="C116" s="222" t="str">
        <f>'תקציב החברה לפיתוח 2025'!C116</f>
        <v>תכנון תב"ע תחנת שאיבה בפארק</v>
      </c>
      <c r="D116" s="112">
        <f>'תקציב החברה לפיתוח 2025'!D116</f>
        <v>700000</v>
      </c>
      <c r="E116" s="112">
        <f>'תקציב החברה לפיתוח 2025'!E116</f>
        <v>0</v>
      </c>
      <c r="F116" s="112">
        <f>'תקציב החברה לפיתוח 2025'!F116</f>
        <v>700000</v>
      </c>
      <c r="G116" s="112">
        <f>'תקציב החברה לפיתוח 2025'!G116</f>
        <v>0</v>
      </c>
      <c r="H116" s="112">
        <f>'תקציב החברה לפיתוח 2025'!H116</f>
        <v>0</v>
      </c>
      <c r="I116" s="112">
        <f>'תקציב החברה לפיתוח 2025'!I116</f>
        <v>0</v>
      </c>
      <c r="J116" s="112">
        <f>'תקציב החברה לפיתוח 2025'!J116</f>
        <v>0</v>
      </c>
      <c r="K116" s="112">
        <f>'תקציב החברה לפיתוח 2025'!K116</f>
        <v>0</v>
      </c>
      <c r="L116" s="112">
        <f>'תקציב החברה לפיתוח 2025'!L116</f>
        <v>0</v>
      </c>
      <c r="M116" s="112">
        <f>'תקציב החברה לפיתוח 2025'!M116</f>
        <v>0</v>
      </c>
      <c r="N116" s="112">
        <f>'תקציב החברה לפיתוח 2025'!N116</f>
        <v>700000</v>
      </c>
      <c r="O116" s="112">
        <f>'תקציב החברה לפיתוח 2025'!O116</f>
        <v>0</v>
      </c>
      <c r="P116" s="112">
        <f>'תקציב החברה לפיתוח 2025'!P116</f>
        <v>0</v>
      </c>
      <c r="Q116" s="112">
        <f>'תקציב החברה לפיתוח 2025'!Q116</f>
        <v>0</v>
      </c>
      <c r="R116" s="112">
        <f>'תקציב החברה לפיתוח 2025'!R116</f>
        <v>0</v>
      </c>
      <c r="S116" s="112">
        <f>'תקציב החברה לפיתוח 2025'!S116</f>
        <v>0</v>
      </c>
      <c r="T116" s="112">
        <f>'תקציב החברה לפיתוח 2025'!T116</f>
        <v>0</v>
      </c>
      <c r="U116" s="257">
        <f>'תקציב החברה לפיתוח 2025'!U116</f>
        <v>700000</v>
      </c>
      <c r="V116" s="112">
        <f>'תקציב החברה לפיתוח 2025'!V116</f>
        <v>400000</v>
      </c>
      <c r="W116" s="112">
        <f>'תקציב החברה לפיתוח 2025'!W116</f>
        <v>0</v>
      </c>
      <c r="X116" s="112">
        <f>'תקציב החברה לפיתוח 2025'!X116</f>
        <v>0</v>
      </c>
      <c r="Y116" s="112">
        <f>'תקציב החברה לפיתוח 2025'!Y116</f>
        <v>0</v>
      </c>
      <c r="Z116" s="112">
        <f>'תקציב החברה לפיתוח 2025'!Z116</f>
        <v>0</v>
      </c>
      <c r="AA116" s="112">
        <f>'תקציב החברה לפיתוח 2025'!AA116</f>
        <v>300000</v>
      </c>
      <c r="AB116" s="202" t="str">
        <f>'תקציב החברה לפיתוח 2025'!AB116</f>
        <v>תכנון תב"ע תחנת שאיבה. מימון רמ"י ("קרית השחקים").</v>
      </c>
      <c r="AC116" s="3">
        <f>'תקציב החברה לפיתוח 2025'!AC116</f>
        <v>732000</v>
      </c>
      <c r="AD116" s="123"/>
      <c r="AE116" s="123"/>
      <c r="AF116" s="123"/>
      <c r="AG116" s="123"/>
      <c r="AH116" s="123"/>
      <c r="AI116" s="123"/>
      <c r="AJ116" s="123"/>
      <c r="AK116" s="505"/>
      <c r="AL116" s="505"/>
      <c r="AM116" s="505"/>
      <c r="AN116" s="505"/>
      <c r="AO116" s="505"/>
      <c r="AP116" s="505"/>
      <c r="AQ116" s="505"/>
      <c r="AR116" s="505"/>
      <c r="AS116" s="123"/>
      <c r="AT116" s="123"/>
      <c r="AU116" s="123"/>
      <c r="AV116" s="123"/>
      <c r="AW116" s="123"/>
      <c r="AX116" s="123"/>
      <c r="AY116" s="123"/>
    </row>
    <row r="117" spans="1:51" s="5" customFormat="1" ht="30" customHeight="1">
      <c r="A117" s="112">
        <f t="shared" si="1"/>
        <v>113</v>
      </c>
      <c r="B117" s="19">
        <f>'תקציב החברה לפיתוח 2025'!B117</f>
        <v>20154</v>
      </c>
      <c r="C117" s="222" t="str">
        <f>'תקציב החברה לפיתוח 2025'!C117</f>
        <v>בדיקת היתכנות לדיור בר השגה</v>
      </c>
      <c r="D117" s="112">
        <f>'תקציב החברה לפיתוח 2025'!D117</f>
        <v>750000</v>
      </c>
      <c r="E117" s="112">
        <f>'תקציב החברה לפיתוח 2025'!E117</f>
        <v>0</v>
      </c>
      <c r="F117" s="112">
        <f>'תקציב החברה לפיתוח 2025'!F117</f>
        <v>750000</v>
      </c>
      <c r="G117" s="112">
        <f>'תקציב החברה לפיתוח 2025'!G117</f>
        <v>0</v>
      </c>
      <c r="H117" s="112">
        <f>'תקציב החברה לפיתוח 2025'!H117</f>
        <v>0</v>
      </c>
      <c r="I117" s="112">
        <f>'תקציב החברה לפיתוח 2025'!I117</f>
        <v>0</v>
      </c>
      <c r="J117" s="112">
        <f>'תקציב החברה לפיתוח 2025'!J117</f>
        <v>0</v>
      </c>
      <c r="K117" s="112">
        <f>'תקציב החברה לפיתוח 2025'!K117</f>
        <v>0</v>
      </c>
      <c r="L117" s="112">
        <f>'תקציב החברה לפיתוח 2025'!L117</f>
        <v>0</v>
      </c>
      <c r="M117" s="112">
        <f>'תקציב החברה לפיתוח 2025'!M117</f>
        <v>0</v>
      </c>
      <c r="N117" s="112">
        <f>'תקציב החברה לפיתוח 2025'!N117</f>
        <v>750000</v>
      </c>
      <c r="O117" s="112">
        <f>'תקציב החברה לפיתוח 2025'!O117</f>
        <v>0</v>
      </c>
      <c r="P117" s="112">
        <f>'תקציב החברה לפיתוח 2025'!P117</f>
        <v>0</v>
      </c>
      <c r="Q117" s="112">
        <f>'תקציב החברה לפיתוח 2025'!Q117</f>
        <v>0</v>
      </c>
      <c r="R117" s="112">
        <f>'תקציב החברה לפיתוח 2025'!R117</f>
        <v>0</v>
      </c>
      <c r="S117" s="112">
        <f>'תקציב החברה לפיתוח 2025'!S117</f>
        <v>0</v>
      </c>
      <c r="T117" s="112">
        <f>'תקציב החברה לפיתוח 2025'!T117</f>
        <v>0</v>
      </c>
      <c r="U117" s="257">
        <f>'תקציב החברה לפיתוח 2025'!U117</f>
        <v>750000</v>
      </c>
      <c r="V117" s="112">
        <f>'תקציב החברה לפיתוח 2025'!V117</f>
        <v>750000</v>
      </c>
      <c r="W117" s="112">
        <f>'תקציב החברה לפיתוח 2025'!W117</f>
        <v>0</v>
      </c>
      <c r="X117" s="112">
        <f>'תקציב החברה לפיתוח 2025'!X117</f>
        <v>0</v>
      </c>
      <c r="Y117" s="112">
        <f>'תקציב החברה לפיתוח 2025'!Y117</f>
        <v>0</v>
      </c>
      <c r="Z117" s="112">
        <f>'תקציב החברה לפיתוח 2025'!Z117</f>
        <v>0</v>
      </c>
      <c r="AA117" s="112">
        <f>'תקציב החברה לפיתוח 2025'!AA117</f>
        <v>0</v>
      </c>
      <c r="AB117" s="202" t="str">
        <f>'תקציב החברה לפיתוח 2025'!AB117</f>
        <v>בדיקת היתכנות דיור בר השגה במתחמים ברחבי העיר.</v>
      </c>
      <c r="AC117" s="3">
        <f>'תקציב החברה לפיתוח 2025'!AC117</f>
        <v>732000</v>
      </c>
      <c r="AD117" s="123"/>
      <c r="AE117" s="123"/>
      <c r="AF117" s="123"/>
      <c r="AG117" s="123"/>
      <c r="AH117" s="123"/>
      <c r="AI117" s="123"/>
      <c r="AJ117" s="123"/>
      <c r="AK117" s="505"/>
      <c r="AL117" s="505"/>
      <c r="AM117" s="505"/>
      <c r="AN117" s="505"/>
      <c r="AO117" s="505"/>
      <c r="AP117" s="505"/>
      <c r="AQ117" s="505"/>
      <c r="AR117" s="505"/>
      <c r="AS117" s="123"/>
      <c r="AT117" s="123"/>
      <c r="AU117" s="123"/>
      <c r="AV117" s="123"/>
      <c r="AW117" s="123"/>
      <c r="AX117" s="123"/>
      <c r="AY117" s="123"/>
    </row>
    <row r="118" spans="1:51" s="5" customFormat="1" ht="30" customHeight="1">
      <c r="A118" s="112">
        <f t="shared" si="1"/>
        <v>114</v>
      </c>
      <c r="B118" s="19">
        <f>'תקציב החברה לפיתוח 2025'!B118</f>
        <v>20155</v>
      </c>
      <c r="C118" s="222" t="str">
        <f>'תקציב החברה לפיתוח 2025'!C118</f>
        <v>מגרש ספורט יבור ויצמן</v>
      </c>
      <c r="D118" s="112">
        <f>'תקציב החברה לפיתוח 2025'!D118</f>
        <v>150000</v>
      </c>
      <c r="E118" s="112">
        <f>'תקציב החברה לפיתוח 2025'!E118</f>
        <v>0</v>
      </c>
      <c r="F118" s="112">
        <f>'תקציב החברה לפיתוח 2025'!F118</f>
        <v>150000</v>
      </c>
      <c r="G118" s="112">
        <f>'תקציב החברה לפיתוח 2025'!G118</f>
        <v>0</v>
      </c>
      <c r="H118" s="112">
        <f>'תקציב החברה לפיתוח 2025'!H118</f>
        <v>0</v>
      </c>
      <c r="I118" s="112">
        <f>'תקציב החברה לפיתוח 2025'!I118</f>
        <v>0</v>
      </c>
      <c r="J118" s="112">
        <f>'תקציב החברה לפיתוח 2025'!J118</f>
        <v>0</v>
      </c>
      <c r="K118" s="112">
        <f>'תקציב החברה לפיתוח 2025'!K118</f>
        <v>0</v>
      </c>
      <c r="L118" s="112">
        <f>'תקציב החברה לפיתוח 2025'!L118</f>
        <v>0</v>
      </c>
      <c r="M118" s="112">
        <f>'תקציב החברה לפיתוח 2025'!M118</f>
        <v>0</v>
      </c>
      <c r="N118" s="112">
        <f>'תקציב החברה לפיתוח 2025'!N118</f>
        <v>150000</v>
      </c>
      <c r="O118" s="112">
        <f>'תקציב החברה לפיתוח 2025'!O118</f>
        <v>0</v>
      </c>
      <c r="P118" s="112">
        <f>'תקציב החברה לפיתוח 2025'!P118</f>
        <v>0</v>
      </c>
      <c r="Q118" s="112">
        <f>'תקציב החברה לפיתוח 2025'!Q118</f>
        <v>0</v>
      </c>
      <c r="R118" s="112">
        <f>'תקציב החברה לפיתוח 2025'!R118</f>
        <v>0</v>
      </c>
      <c r="S118" s="112">
        <f>'תקציב החברה לפיתוח 2025'!S118</f>
        <v>0</v>
      </c>
      <c r="T118" s="112">
        <f>'תקציב החברה לפיתוח 2025'!T118</f>
        <v>0</v>
      </c>
      <c r="U118" s="257">
        <f>'תקציב החברה לפיתוח 2025'!U118</f>
        <v>150000</v>
      </c>
      <c r="V118" s="112">
        <f>'תקציב החברה לפיתוח 2025'!V118</f>
        <v>150000</v>
      </c>
      <c r="W118" s="112">
        <f>'תקציב החברה לפיתוח 2025'!W118</f>
        <v>0</v>
      </c>
      <c r="X118" s="112">
        <f>'תקציב החברה לפיתוח 2025'!X118</f>
        <v>0</v>
      </c>
      <c r="Y118" s="112">
        <f>'תקציב החברה לפיתוח 2025'!Y118</f>
        <v>0</v>
      </c>
      <c r="Z118" s="112">
        <f>'תקציב החברה לפיתוח 2025'!Z118</f>
        <v>0</v>
      </c>
      <c r="AA118" s="112">
        <f>'תקציב החברה לפיתוח 2025'!AA118</f>
        <v>0</v>
      </c>
      <c r="AB118" s="202" t="str">
        <f>'תקציב החברה לפיתוח 2025'!AB118</f>
        <v>עבודות שיפוץ מגרש הספורט יבור שכונת ויצמן.</v>
      </c>
      <c r="AC118" s="3">
        <f>'תקציב החברה לפיתוח 2025'!AC118</f>
        <v>829000</v>
      </c>
      <c r="AD118" s="123"/>
      <c r="AE118" s="123"/>
      <c r="AF118" s="123"/>
      <c r="AG118" s="123"/>
      <c r="AH118" s="123"/>
      <c r="AI118" s="123"/>
      <c r="AJ118" s="123"/>
      <c r="AK118" s="505"/>
      <c r="AL118" s="505"/>
      <c r="AM118" s="505"/>
      <c r="AN118" s="505"/>
      <c r="AO118" s="505"/>
      <c r="AP118" s="505"/>
      <c r="AQ118" s="505"/>
      <c r="AR118" s="505"/>
      <c r="AS118" s="123"/>
      <c r="AT118" s="123"/>
      <c r="AU118" s="123"/>
      <c r="AV118" s="123"/>
      <c r="AW118" s="123"/>
      <c r="AX118" s="123"/>
      <c r="AY118" s="123"/>
    </row>
    <row r="119" spans="1:51" s="5" customFormat="1" ht="30" customHeight="1">
      <c r="A119" s="112">
        <f t="shared" si="1"/>
        <v>115</v>
      </c>
      <c r="B119" s="19">
        <f>'תקציב החברה לפיתוח 2025'!B119</f>
        <v>20156</v>
      </c>
      <c r="C119" s="222" t="str">
        <f>'תקציב החברה לפיתוח 2025'!C119</f>
        <v>שיפוץ מרכז ספורט אפולוניה</v>
      </c>
      <c r="D119" s="112">
        <f>'תקציב החברה לפיתוח 2025'!D119</f>
        <v>2000000</v>
      </c>
      <c r="E119" s="112">
        <f>'תקציב החברה לפיתוח 2025'!E119</f>
        <v>0</v>
      </c>
      <c r="F119" s="112">
        <f>'תקציב החברה לפיתוח 2025'!F119</f>
        <v>2000000</v>
      </c>
      <c r="G119" s="112">
        <f>'תקציב החברה לפיתוח 2025'!G119</f>
        <v>0</v>
      </c>
      <c r="H119" s="112">
        <f>'תקציב החברה לפיתוח 2025'!H119</f>
        <v>0</v>
      </c>
      <c r="I119" s="112">
        <f>'תקציב החברה לפיתוח 2025'!I119</f>
        <v>0</v>
      </c>
      <c r="J119" s="112">
        <f>'תקציב החברה לפיתוח 2025'!J119</f>
        <v>0</v>
      </c>
      <c r="K119" s="112">
        <f>'תקציב החברה לפיתוח 2025'!K119</f>
        <v>0</v>
      </c>
      <c r="L119" s="112">
        <f>'תקציב החברה לפיתוח 2025'!L119</f>
        <v>0</v>
      </c>
      <c r="M119" s="112">
        <f>'תקציב החברה לפיתוח 2025'!M119</f>
        <v>0</v>
      </c>
      <c r="N119" s="112">
        <f>'תקציב החברה לפיתוח 2025'!N119</f>
        <v>800000</v>
      </c>
      <c r="O119" s="112">
        <f>'תקציב החברה לפיתוח 2025'!O119</f>
        <v>1200000</v>
      </c>
      <c r="P119" s="112">
        <f>'תקציב החברה לפיתוח 2025'!P119</f>
        <v>0</v>
      </c>
      <c r="Q119" s="112">
        <f>'תקציב החברה לפיתוח 2025'!Q119</f>
        <v>0</v>
      </c>
      <c r="R119" s="112">
        <f>'תקציב החברה לפיתוח 2025'!R119</f>
        <v>0</v>
      </c>
      <c r="S119" s="112">
        <f>'תקציב החברה לפיתוח 2025'!S119</f>
        <v>0</v>
      </c>
      <c r="T119" s="112">
        <f>'תקציב החברה לפיתוח 2025'!T119</f>
        <v>0</v>
      </c>
      <c r="U119" s="257">
        <f>'תקציב החברה לפיתוח 2025'!U119</f>
        <v>800000</v>
      </c>
      <c r="V119" s="112">
        <f>'תקציב החברה לפיתוח 2025'!V119</f>
        <v>800000</v>
      </c>
      <c r="W119" s="112">
        <f>'תקציב החברה לפיתוח 2025'!W119</f>
        <v>0</v>
      </c>
      <c r="X119" s="112">
        <f>'תקציב החברה לפיתוח 2025'!X119</f>
        <v>0</v>
      </c>
      <c r="Y119" s="112">
        <f>'תקציב החברה לפיתוח 2025'!Y119</f>
        <v>0</v>
      </c>
      <c r="Z119" s="112">
        <f>'תקציב החברה לפיתוח 2025'!Z119</f>
        <v>0</v>
      </c>
      <c r="AA119" s="112">
        <f>'תקציב החברה לפיתוח 2025'!AA119</f>
        <v>0</v>
      </c>
      <c r="AB119" s="202" t="str">
        <f>'תקציב החברה לפיתוח 2025'!AB119</f>
        <v xml:space="preserve">עבודות שיפוץ מרכז הספורט אפולוניה. </v>
      </c>
      <c r="AC119" s="3">
        <f>'תקציב החברה לפיתוח 2025'!AC119</f>
        <v>829000</v>
      </c>
      <c r="AD119" s="123"/>
      <c r="AE119" s="123"/>
      <c r="AF119" s="123"/>
      <c r="AG119" s="123"/>
      <c r="AH119" s="123"/>
      <c r="AI119" s="123"/>
      <c r="AJ119" s="123"/>
      <c r="AK119" s="505"/>
      <c r="AL119" s="505"/>
      <c r="AM119" s="505"/>
      <c r="AN119" s="505"/>
      <c r="AO119" s="505"/>
      <c r="AP119" s="505"/>
      <c r="AQ119" s="505"/>
      <c r="AR119" s="505"/>
      <c r="AS119" s="123"/>
      <c r="AT119" s="123"/>
      <c r="AU119" s="123"/>
      <c r="AV119" s="123"/>
      <c r="AW119" s="123"/>
      <c r="AX119" s="123"/>
      <c r="AY119" s="123"/>
    </row>
    <row r="120" spans="1:51" s="5" customFormat="1" ht="30" customHeight="1">
      <c r="A120" s="112">
        <f t="shared" si="1"/>
        <v>116</v>
      </c>
      <c r="B120" s="19">
        <f>'תקציב החברה לפיתוח 2025'!B120</f>
        <v>20157</v>
      </c>
      <c r="C120" s="222" t="str">
        <f>'תקציב החברה לפיתוח 2025'!C120</f>
        <v>שיקום מרכז מסחרי נוף ים</v>
      </c>
      <c r="D120" s="112">
        <f>'תקציב החברה לפיתוח 2025'!D120</f>
        <v>1330000</v>
      </c>
      <c r="E120" s="112">
        <f>'תקציב החברה לפיתוח 2025'!E120</f>
        <v>0</v>
      </c>
      <c r="F120" s="112">
        <f>'תקציב החברה לפיתוח 2025'!F120</f>
        <v>1330000</v>
      </c>
      <c r="G120" s="112">
        <f>'תקציב החברה לפיתוח 2025'!G120</f>
        <v>0</v>
      </c>
      <c r="H120" s="112">
        <f>'תקציב החברה לפיתוח 2025'!H120</f>
        <v>0</v>
      </c>
      <c r="I120" s="112">
        <f>'תקציב החברה לפיתוח 2025'!I120</f>
        <v>0</v>
      </c>
      <c r="J120" s="112">
        <f>'תקציב החברה לפיתוח 2025'!J120</f>
        <v>0</v>
      </c>
      <c r="K120" s="112">
        <f>'תקציב החברה לפיתוח 2025'!K120</f>
        <v>0</v>
      </c>
      <c r="L120" s="112">
        <f>'תקציב החברה לפיתוח 2025'!L120</f>
        <v>0</v>
      </c>
      <c r="M120" s="112">
        <f>'תקציב החברה לפיתוח 2025'!M120</f>
        <v>0</v>
      </c>
      <c r="N120" s="112">
        <f>'תקציב החברה לפיתוח 2025'!N120</f>
        <v>330000</v>
      </c>
      <c r="O120" s="112">
        <f>'תקציב החברה לפיתוח 2025'!O120</f>
        <v>1000000</v>
      </c>
      <c r="P120" s="112">
        <f>'תקציב החברה לפיתוח 2025'!P120</f>
        <v>0</v>
      </c>
      <c r="Q120" s="112">
        <f>'תקציב החברה לפיתוח 2025'!Q120</f>
        <v>0</v>
      </c>
      <c r="R120" s="112">
        <f>'תקציב החברה לפיתוח 2025'!R120</f>
        <v>0</v>
      </c>
      <c r="S120" s="112">
        <f>'תקציב החברה לפיתוח 2025'!S120</f>
        <v>0</v>
      </c>
      <c r="T120" s="112">
        <f>'תקציב החברה לפיתוח 2025'!T120</f>
        <v>0</v>
      </c>
      <c r="U120" s="257">
        <f>'תקציב החברה לפיתוח 2025'!U120</f>
        <v>330000</v>
      </c>
      <c r="V120" s="112">
        <f>'תקציב החברה לפיתוח 2025'!V120</f>
        <v>330000</v>
      </c>
      <c r="W120" s="112">
        <f>'תקציב החברה לפיתוח 2025'!W120</f>
        <v>0</v>
      </c>
      <c r="X120" s="112">
        <f>'תקציב החברה לפיתוח 2025'!X120</f>
        <v>0</v>
      </c>
      <c r="Y120" s="112">
        <f>'תקציב החברה לפיתוח 2025'!Y120</f>
        <v>0</v>
      </c>
      <c r="Z120" s="112">
        <f>'תקציב החברה לפיתוח 2025'!Z120</f>
        <v>0</v>
      </c>
      <c r="AA120" s="112">
        <f>'תקציב החברה לפיתוח 2025'!AA120</f>
        <v>0</v>
      </c>
      <c r="AB120" s="202" t="str">
        <f>'תקציב החברה לפיתוח 2025'!AB120</f>
        <v>בדיקה ותכנון שיקום מתחם מרכז מסחרי נוף ים.</v>
      </c>
      <c r="AC120" s="3">
        <f>'תקציב החברה לפיתוח 2025'!AC120</f>
        <v>930000</v>
      </c>
      <c r="AD120" s="123"/>
      <c r="AE120" s="123"/>
      <c r="AF120" s="123"/>
      <c r="AG120" s="123"/>
      <c r="AH120" s="123"/>
      <c r="AI120" s="123"/>
      <c r="AJ120" s="123"/>
      <c r="AK120" s="505"/>
      <c r="AL120" s="505"/>
      <c r="AM120" s="505"/>
      <c r="AN120" s="505"/>
      <c r="AO120" s="505"/>
      <c r="AP120" s="505"/>
      <c r="AQ120" s="505"/>
      <c r="AR120" s="505"/>
      <c r="AS120" s="123"/>
      <c r="AT120" s="123"/>
      <c r="AU120" s="123"/>
      <c r="AV120" s="123"/>
      <c r="AW120" s="123"/>
      <c r="AX120" s="123"/>
      <c r="AY120" s="123"/>
    </row>
    <row r="121" spans="1:51" s="5" customFormat="1" ht="30" customHeight="1">
      <c r="A121" s="112">
        <f t="shared" si="1"/>
        <v>117</v>
      </c>
      <c r="B121" s="19">
        <f>'תקציב החברה לפיתוח 2025'!B121</f>
        <v>20158</v>
      </c>
      <c r="C121" s="222" t="str">
        <f>'תקציב החברה לפיתוח 2025'!C121</f>
        <v>הצללה ברחוב סוקולוב</v>
      </c>
      <c r="D121" s="112">
        <f>'תקציב החברה לפיתוח 2025'!D121</f>
        <v>40000000</v>
      </c>
      <c r="E121" s="112">
        <f>'תקציב החברה לפיתוח 2025'!E121</f>
        <v>0</v>
      </c>
      <c r="F121" s="112">
        <f>'תקציב החברה לפיתוח 2025'!F121</f>
        <v>40000000</v>
      </c>
      <c r="G121" s="112">
        <f>'תקציב החברה לפיתוח 2025'!G121</f>
        <v>0</v>
      </c>
      <c r="H121" s="112">
        <f>'תקציב החברה לפיתוח 2025'!H121</f>
        <v>0</v>
      </c>
      <c r="I121" s="112">
        <f>'תקציב החברה לפיתוח 2025'!I121</f>
        <v>0</v>
      </c>
      <c r="J121" s="112">
        <f>'תקציב החברה לפיתוח 2025'!J121</f>
        <v>0</v>
      </c>
      <c r="K121" s="112">
        <f>'תקציב החברה לפיתוח 2025'!K121</f>
        <v>0</v>
      </c>
      <c r="L121" s="112">
        <f>'תקציב החברה לפיתוח 2025'!L121</f>
        <v>0</v>
      </c>
      <c r="M121" s="112">
        <f>'תקציב החברה לפיתוח 2025'!M121</f>
        <v>0</v>
      </c>
      <c r="N121" s="112">
        <f>'תקציב החברה לפיתוח 2025'!N121</f>
        <v>500000</v>
      </c>
      <c r="O121" s="112">
        <f>'תקציב החברה לפיתוח 2025'!O121</f>
        <v>39500000</v>
      </c>
      <c r="P121" s="112">
        <f>'תקציב החברה לפיתוח 2025'!P121</f>
        <v>0</v>
      </c>
      <c r="Q121" s="112">
        <f>'תקציב החברה לפיתוח 2025'!Q121</f>
        <v>0</v>
      </c>
      <c r="R121" s="112">
        <f>'תקציב החברה לפיתוח 2025'!R121</f>
        <v>0</v>
      </c>
      <c r="S121" s="112">
        <f>'תקציב החברה לפיתוח 2025'!S121</f>
        <v>0</v>
      </c>
      <c r="T121" s="112">
        <f>'תקציב החברה לפיתוח 2025'!T121</f>
        <v>0</v>
      </c>
      <c r="U121" s="257">
        <f>'תקציב החברה לפיתוח 2025'!U121</f>
        <v>500000</v>
      </c>
      <c r="V121" s="112">
        <f>'תקציב החברה לפיתוח 2025'!V121</f>
        <v>500000</v>
      </c>
      <c r="W121" s="112">
        <f>'תקציב החברה לפיתוח 2025'!W121</f>
        <v>0</v>
      </c>
      <c r="X121" s="112">
        <f>'תקציב החברה לפיתוח 2025'!X121</f>
        <v>0</v>
      </c>
      <c r="Y121" s="112">
        <f>'תקציב החברה לפיתוח 2025'!Y121</f>
        <v>0</v>
      </c>
      <c r="Z121" s="112">
        <f>'תקציב החברה לפיתוח 2025'!Z121</f>
        <v>0</v>
      </c>
      <c r="AA121" s="112">
        <f>'תקציב החברה לפיתוח 2025'!AA121</f>
        <v>0</v>
      </c>
      <c r="AB121" s="202" t="str">
        <f>'תקציב החברה לפיתוח 2025'!AB121</f>
        <v>תוכנית להצללת רחוב סוקולוב.</v>
      </c>
      <c r="AC121" s="3">
        <f>'תקציב החברה לפיתוח 2025'!AC121</f>
        <v>870000</v>
      </c>
      <c r="AD121" s="123"/>
      <c r="AE121" s="123"/>
      <c r="AF121" s="123"/>
      <c r="AG121" s="123"/>
      <c r="AH121" s="123"/>
      <c r="AI121" s="123"/>
      <c r="AJ121" s="123"/>
      <c r="AK121" s="505"/>
      <c r="AL121" s="505"/>
      <c r="AM121" s="505"/>
      <c r="AN121" s="505"/>
      <c r="AO121" s="505"/>
      <c r="AP121" s="505"/>
      <c r="AQ121" s="505"/>
      <c r="AR121" s="505"/>
      <c r="AS121" s="123"/>
      <c r="AT121" s="123"/>
      <c r="AU121" s="123"/>
      <c r="AV121" s="123"/>
      <c r="AW121" s="123"/>
      <c r="AX121" s="123"/>
      <c r="AY121" s="123"/>
    </row>
    <row r="122" spans="1:51" s="5" customFormat="1" ht="22.5" customHeight="1">
      <c r="A122" s="112">
        <f t="shared" si="1"/>
        <v>118</v>
      </c>
      <c r="B122" s="19">
        <f>'תקציב החברה לפיתוח 2025'!B122</f>
        <v>20159</v>
      </c>
      <c r="C122" s="222" t="str">
        <f>'תקציב החברה לפיתוח 2025'!C122</f>
        <v>אולפני הרצליה</v>
      </c>
      <c r="D122" s="112">
        <f>'תקציב החברה לפיתוח 2025'!D122</f>
        <v>36000000</v>
      </c>
      <c r="E122" s="112">
        <f>'תקציב החברה לפיתוח 2025'!E122</f>
        <v>0</v>
      </c>
      <c r="F122" s="112">
        <f>'תקציב החברה לפיתוח 2025'!F122</f>
        <v>36000000</v>
      </c>
      <c r="G122" s="112">
        <f>'תקציב החברה לפיתוח 2025'!G122</f>
        <v>0</v>
      </c>
      <c r="H122" s="112">
        <f>'תקציב החברה לפיתוח 2025'!H122</f>
        <v>0</v>
      </c>
      <c r="I122" s="112">
        <f>'תקציב החברה לפיתוח 2025'!I122</f>
        <v>0</v>
      </c>
      <c r="J122" s="112">
        <f>'תקציב החברה לפיתוח 2025'!J122</f>
        <v>0</v>
      </c>
      <c r="K122" s="112">
        <f>'תקציב החברה לפיתוח 2025'!K122</f>
        <v>0</v>
      </c>
      <c r="L122" s="112">
        <f>'תקציב החברה לפיתוח 2025'!L122</f>
        <v>0</v>
      </c>
      <c r="M122" s="112">
        <f>'תקציב החברה לפיתוח 2025'!M122</f>
        <v>0</v>
      </c>
      <c r="N122" s="112">
        <f>'תקציב החברה לפיתוח 2025'!N122</f>
        <v>500000</v>
      </c>
      <c r="O122" s="112">
        <f>'תקציב החברה לפיתוח 2025'!O122</f>
        <v>35500000</v>
      </c>
      <c r="P122" s="112">
        <f>'תקציב החברה לפיתוח 2025'!P122</f>
        <v>0</v>
      </c>
      <c r="Q122" s="112">
        <f>'תקציב החברה לפיתוח 2025'!Q122</f>
        <v>0</v>
      </c>
      <c r="R122" s="112">
        <f>'תקציב החברה לפיתוח 2025'!R122</f>
        <v>0</v>
      </c>
      <c r="S122" s="112">
        <f>'תקציב החברה לפיתוח 2025'!S122</f>
        <v>0</v>
      </c>
      <c r="T122" s="112">
        <f>'תקציב החברה לפיתוח 2025'!T122</f>
        <v>0</v>
      </c>
      <c r="U122" s="257">
        <f>'תקציב החברה לפיתוח 2025'!U122</f>
        <v>500000</v>
      </c>
      <c r="V122" s="112">
        <f>'תקציב החברה לפיתוח 2025'!V122</f>
        <v>500000</v>
      </c>
      <c r="W122" s="112">
        <f>'תקציב החברה לפיתוח 2025'!W122</f>
        <v>0</v>
      </c>
      <c r="X122" s="112">
        <f>'תקציב החברה לפיתוח 2025'!X122</f>
        <v>0</v>
      </c>
      <c r="Y122" s="112">
        <f>'תקציב החברה לפיתוח 2025'!Y122</f>
        <v>0</v>
      </c>
      <c r="Z122" s="112">
        <f>'תקציב החברה לפיתוח 2025'!Z122</f>
        <v>0</v>
      </c>
      <c r="AA122" s="112">
        <f>'תקציב החברה לפיתוח 2025'!AA122</f>
        <v>0</v>
      </c>
      <c r="AB122" s="202" t="str">
        <f>'תקציב החברה לפיתוח 2025'!AB122</f>
        <v>פיתוח תב"ע אולפני הרצליה.</v>
      </c>
      <c r="AC122" s="3">
        <f>'תקציב החברה לפיתוח 2025'!AC122</f>
        <v>732000</v>
      </c>
      <c r="AD122" s="123"/>
      <c r="AE122" s="123"/>
      <c r="AF122" s="123"/>
      <c r="AG122" s="123"/>
      <c r="AH122" s="123"/>
      <c r="AI122" s="123"/>
      <c r="AJ122" s="123"/>
      <c r="AK122" s="505"/>
      <c r="AL122" s="505"/>
      <c r="AM122" s="505"/>
      <c r="AN122" s="505"/>
      <c r="AO122" s="505"/>
      <c r="AP122" s="505"/>
      <c r="AQ122" s="505"/>
      <c r="AR122" s="505"/>
      <c r="AS122" s="123"/>
      <c r="AT122" s="123"/>
      <c r="AU122" s="123"/>
      <c r="AV122" s="123"/>
      <c r="AW122" s="123"/>
      <c r="AX122" s="123"/>
      <c r="AY122" s="123"/>
    </row>
    <row r="123" spans="1:51" s="5" customFormat="1" ht="22.5" customHeight="1">
      <c r="A123" s="112">
        <f t="shared" si="1"/>
        <v>119</v>
      </c>
      <c r="B123" s="19">
        <f>'תקציב החברה לפיתוח 2025'!B123</f>
        <v>20160</v>
      </c>
      <c r="C123" s="222" t="str">
        <f>'תקציב החברה לפיתוח 2025'!C123</f>
        <v>פיתוח מתחם הבוסתן</v>
      </c>
      <c r="D123" s="112">
        <f>'תקציב החברה לפיתוח 2025'!D123</f>
        <v>16000000</v>
      </c>
      <c r="E123" s="112">
        <f>'תקציב החברה לפיתוח 2025'!E123</f>
        <v>0</v>
      </c>
      <c r="F123" s="112">
        <f>'תקציב החברה לפיתוח 2025'!F123</f>
        <v>16000000</v>
      </c>
      <c r="G123" s="112">
        <f>'תקציב החברה לפיתוח 2025'!G123</f>
        <v>0</v>
      </c>
      <c r="H123" s="112">
        <f>'תקציב החברה לפיתוח 2025'!H123</f>
        <v>0</v>
      </c>
      <c r="I123" s="112">
        <f>'תקציב החברה לפיתוח 2025'!I123</f>
        <v>0</v>
      </c>
      <c r="J123" s="112">
        <f>'תקציב החברה לפיתוח 2025'!J123</f>
        <v>0</v>
      </c>
      <c r="K123" s="112">
        <f>'תקציב החברה לפיתוח 2025'!K123</f>
        <v>0</v>
      </c>
      <c r="L123" s="112">
        <f>'תקציב החברה לפיתוח 2025'!L123</f>
        <v>0</v>
      </c>
      <c r="M123" s="112">
        <f>'תקציב החברה לפיתוח 2025'!M123</f>
        <v>0</v>
      </c>
      <c r="N123" s="112">
        <f>'תקציב החברה לפיתוח 2025'!N123</f>
        <v>200000</v>
      </c>
      <c r="O123" s="112">
        <f>'תקציב החברה לפיתוח 2025'!O123</f>
        <v>15800000</v>
      </c>
      <c r="P123" s="112">
        <f>'תקציב החברה לפיתוח 2025'!P123</f>
        <v>0</v>
      </c>
      <c r="Q123" s="112">
        <f>'תקציב החברה לפיתוח 2025'!Q123</f>
        <v>0</v>
      </c>
      <c r="R123" s="112">
        <f>'תקציב החברה לפיתוח 2025'!R123</f>
        <v>0</v>
      </c>
      <c r="S123" s="112">
        <f>'תקציב החברה לפיתוח 2025'!S123</f>
        <v>0</v>
      </c>
      <c r="T123" s="112">
        <f>'תקציב החברה לפיתוח 2025'!T123</f>
        <v>0</v>
      </c>
      <c r="U123" s="257">
        <f>'תקציב החברה לפיתוח 2025'!U123</f>
        <v>200000</v>
      </c>
      <c r="V123" s="112">
        <f>'תקציב החברה לפיתוח 2025'!V123</f>
        <v>200000</v>
      </c>
      <c r="W123" s="112">
        <f>'תקציב החברה לפיתוח 2025'!W123</f>
        <v>0</v>
      </c>
      <c r="X123" s="112">
        <f>'תקציב החברה לפיתוח 2025'!X123</f>
        <v>0</v>
      </c>
      <c r="Y123" s="112">
        <f>'תקציב החברה לפיתוח 2025'!Y123</f>
        <v>0</v>
      </c>
      <c r="Z123" s="112">
        <f>'תקציב החברה לפיתוח 2025'!Z123</f>
        <v>0</v>
      </c>
      <c r="AA123" s="112">
        <f>'תקציב החברה לפיתוח 2025'!AA123</f>
        <v>0</v>
      </c>
      <c r="AB123" s="202" t="str">
        <f>'תקציב החברה לפיתוח 2025'!AB123</f>
        <v>פיתוח מתחם הבוסתן.</v>
      </c>
      <c r="AC123" s="3">
        <f>'תקציב החברה לפיתוח 2025'!AC123</f>
        <v>742000</v>
      </c>
      <c r="AD123" s="123"/>
      <c r="AE123" s="123"/>
      <c r="AF123" s="123"/>
      <c r="AG123" s="123"/>
      <c r="AH123" s="123"/>
      <c r="AI123" s="123"/>
      <c r="AJ123" s="123"/>
      <c r="AK123" s="505"/>
      <c r="AL123" s="505"/>
      <c r="AM123" s="505"/>
      <c r="AN123" s="505"/>
      <c r="AO123" s="505"/>
      <c r="AP123" s="505"/>
      <c r="AQ123" s="505"/>
      <c r="AR123" s="505"/>
      <c r="AS123" s="123"/>
      <c r="AT123" s="123"/>
      <c r="AU123" s="123"/>
      <c r="AV123" s="123"/>
      <c r="AW123" s="123"/>
      <c r="AX123" s="123"/>
      <c r="AY123" s="123"/>
    </row>
    <row r="124" spans="1:51" s="272" customFormat="1" ht="30" customHeight="1">
      <c r="A124" s="236">
        <f>COUNT(A5:A123)</f>
        <v>119</v>
      </c>
      <c r="B124" s="233"/>
      <c r="C124" s="237"/>
      <c r="D124" s="236">
        <f>SUM(D5:D123)</f>
        <v>4118637003</v>
      </c>
      <c r="E124" s="236">
        <f t="shared" ref="E124:AA124" si="2">SUM(E5:E123)</f>
        <v>3841650091</v>
      </c>
      <c r="F124" s="236">
        <f t="shared" si="2"/>
        <v>276986912</v>
      </c>
      <c r="G124" s="236">
        <f t="shared" si="2"/>
        <v>2011508764</v>
      </c>
      <c r="H124" s="236">
        <f t="shared" si="2"/>
        <v>1878585888</v>
      </c>
      <c r="I124" s="236">
        <f t="shared" si="2"/>
        <v>449944</v>
      </c>
      <c r="J124" s="236">
        <f t="shared" si="2"/>
        <v>55753908</v>
      </c>
      <c r="K124" s="236">
        <f t="shared" si="2"/>
        <v>56203852</v>
      </c>
      <c r="L124" s="236">
        <f t="shared" si="2"/>
        <v>1934789740</v>
      </c>
      <c r="M124" s="236">
        <f t="shared" si="2"/>
        <v>211266781</v>
      </c>
      <c r="N124" s="236">
        <f t="shared" si="2"/>
        <v>246349008</v>
      </c>
      <c r="O124" s="236">
        <f t="shared" si="2"/>
        <v>1726231474</v>
      </c>
      <c r="P124" s="236">
        <f t="shared" si="2"/>
        <v>76719024</v>
      </c>
      <c r="Q124" s="236">
        <f t="shared" si="2"/>
        <v>106337757</v>
      </c>
      <c r="R124" s="236">
        <f t="shared" si="2"/>
        <v>30300000</v>
      </c>
      <c r="S124" s="236">
        <f t="shared" si="2"/>
        <v>136637757</v>
      </c>
      <c r="T124" s="236">
        <f t="shared" si="2"/>
        <v>2090000</v>
      </c>
      <c r="U124" s="236">
        <f t="shared" si="2"/>
        <v>244259008</v>
      </c>
      <c r="V124" s="236">
        <f t="shared" si="2"/>
        <v>182259851</v>
      </c>
      <c r="W124" s="236">
        <f t="shared" si="2"/>
        <v>0</v>
      </c>
      <c r="X124" s="236">
        <f t="shared" si="2"/>
        <v>0</v>
      </c>
      <c r="Y124" s="236">
        <f t="shared" si="2"/>
        <v>29200000</v>
      </c>
      <c r="Z124" s="236">
        <f t="shared" si="2"/>
        <v>0</v>
      </c>
      <c r="AA124" s="236">
        <f t="shared" si="2"/>
        <v>32799157</v>
      </c>
      <c r="AB124" s="389"/>
      <c r="AC124" s="271"/>
      <c r="AD124" s="123"/>
      <c r="AE124" s="123"/>
      <c r="AF124" s="123"/>
      <c r="AG124" s="123"/>
      <c r="AH124" s="123"/>
      <c r="AI124" s="123"/>
      <c r="AJ124" s="123"/>
      <c r="AK124" s="609"/>
      <c r="AL124" s="505"/>
      <c r="AM124" s="505"/>
      <c r="AN124" s="505"/>
      <c r="AO124" s="505"/>
      <c r="AP124" s="505"/>
      <c r="AQ124" s="505"/>
      <c r="AR124" s="505"/>
      <c r="AS124" s="123"/>
      <c r="AT124" s="123"/>
      <c r="AU124" s="123"/>
      <c r="AV124" s="123"/>
      <c r="AW124" s="123"/>
      <c r="AX124" s="123"/>
      <c r="AY124" s="123"/>
    </row>
    <row r="125" spans="1:51" s="560" customFormat="1" ht="40.15" hidden="1" customHeight="1">
      <c r="C125" s="668"/>
      <c r="D125" s="647">
        <f>SUM(L124:O124)</f>
        <v>4118637003</v>
      </c>
      <c r="E125" s="647"/>
      <c r="F125" s="647">
        <f>D124-E124</f>
        <v>276986912</v>
      </c>
      <c r="G125" s="647"/>
      <c r="H125" s="647"/>
      <c r="I125" s="647"/>
      <c r="J125" s="647"/>
      <c r="K125" s="647"/>
      <c r="L125" s="647">
        <f>H124+K124</f>
        <v>1934789740</v>
      </c>
      <c r="M125" s="647">
        <f>P124+S124</f>
        <v>213356781</v>
      </c>
      <c r="N125" s="647"/>
      <c r="O125" s="647"/>
      <c r="P125" s="647">
        <f>G124-L125</f>
        <v>76719024</v>
      </c>
      <c r="Q125" s="647">
        <f>'ריכוז אגפים 2024'!AV8</f>
        <v>105987757</v>
      </c>
      <c r="R125" s="647">
        <f>'עדכוני תקציב 2024'!AE80</f>
        <v>30300000</v>
      </c>
      <c r="S125" s="647"/>
      <c r="T125" s="647">
        <f>P125+S124-M124</f>
        <v>2090000</v>
      </c>
      <c r="U125" s="647">
        <f>N124-T125</f>
        <v>244259008</v>
      </c>
      <c r="V125" s="647"/>
      <c r="W125" s="647"/>
      <c r="X125" s="647"/>
      <c r="Y125" s="647"/>
      <c r="Z125" s="647"/>
      <c r="AA125" s="647"/>
      <c r="AB125" s="670"/>
      <c r="AC125" s="647"/>
      <c r="AD125" s="123"/>
      <c r="AE125" s="559"/>
      <c r="AF125" s="559"/>
      <c r="AG125" s="559"/>
      <c r="AH125" s="559"/>
      <c r="AI125" s="559"/>
      <c r="AJ125" s="559"/>
      <c r="AK125" s="648"/>
      <c r="AL125" s="648"/>
      <c r="AM125" s="648"/>
      <c r="AN125" s="648"/>
      <c r="AO125" s="648"/>
      <c r="AP125" s="648"/>
      <c r="AQ125" s="648"/>
      <c r="AR125" s="648"/>
      <c r="AS125" s="559"/>
      <c r="AT125" s="559"/>
      <c r="AU125" s="559"/>
      <c r="AV125" s="559"/>
      <c r="AW125" s="559"/>
      <c r="AX125" s="559"/>
      <c r="AY125" s="559"/>
    </row>
    <row r="126" spans="1:51">
      <c r="Q126" s="124">
        <f>Q124-Q125</f>
        <v>350000</v>
      </c>
    </row>
  </sheetData>
  <sheetProtection formatCells="0" formatColumns="0" formatRows="0" insertColumns="0" insertRows="0" insertHyperlinks="0" deleteColumns="0" deleteRows="0" sort="0" autoFilter="0" pivotTables="0"/>
  <conditionalFormatting sqref="O17">
    <cfRule type="cellIs" dxfId="422" priority="4" operator="lessThan">
      <formula>0</formula>
    </cfRule>
  </conditionalFormatting>
  <conditionalFormatting sqref="AB4:AB5 AK4:AK5">
    <cfRule type="cellIs" dxfId="421" priority="5" operator="equal">
      <formula>0</formula>
    </cfRule>
  </conditionalFormatting>
  <conditionalFormatting sqref="AP6">
    <cfRule type="cellIs" dxfId="420" priority="3" operator="equal">
      <formula>0</formula>
    </cfRule>
  </conditionalFormatting>
  <conditionalFormatting sqref="AQ6:AR6">
    <cfRule type="cellIs" dxfId="419" priority="2" operator="equal">
      <formula>0</formula>
    </cfRule>
  </conditionalFormatting>
  <conditionalFormatting sqref="U93 AK93 AM93 AO93 AQ93">
    <cfRule type="cellIs" dxfId="418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926E-7CAD-4DF3-924D-480113D27DD3}">
  <dimension ref="A1:BD150"/>
  <sheetViews>
    <sheetView showZeros="0" rightToLeft="1" zoomScaleNormal="100" workbookViewId="0">
      <pane xSplit="6" ySplit="4" topLeftCell="G138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9.140625" defaultRowHeight="18.75"/>
  <cols>
    <col min="1" max="1" width="5" style="123" customWidth="1"/>
    <col min="2" max="2" width="6.7109375" style="205" customWidth="1"/>
    <col min="3" max="3" width="19.7109375" style="221" customWidth="1"/>
    <col min="4" max="4" width="12.7109375" style="124" customWidth="1"/>
    <col min="5" max="5" width="12.7109375" style="124" hidden="1" customWidth="1"/>
    <col min="6" max="6" width="11.42578125" style="124" hidden="1" customWidth="1"/>
    <col min="7" max="8" width="12.7109375" style="124" hidden="1" customWidth="1"/>
    <col min="9" max="10" width="10.140625" style="124" hidden="1" customWidth="1"/>
    <col min="11" max="11" width="12.7109375" style="124" hidden="1" customWidth="1"/>
    <col min="12" max="12" width="12.7109375" style="124" customWidth="1"/>
    <col min="13" max="13" width="11.140625" style="124" customWidth="1"/>
    <col min="14" max="14" width="11.28515625" style="124" customWidth="1"/>
    <col min="15" max="15" width="12.5703125" style="124" customWidth="1"/>
    <col min="16" max="18" width="11.140625" style="124" hidden="1" customWidth="1"/>
    <col min="19" max="19" width="11.7109375" style="124" hidden="1" customWidth="1"/>
    <col min="20" max="20" width="9.28515625" style="124" customWidth="1"/>
    <col min="21" max="21" width="11.140625" style="559" bestFit="1" customWidth="1"/>
    <col min="22" max="22" width="11.42578125" style="123" customWidth="1"/>
    <col min="23" max="24" width="10.140625" style="123" hidden="1" customWidth="1"/>
    <col min="25" max="25" width="10.140625" style="123" customWidth="1"/>
    <col min="26" max="26" width="10.140625" style="123" hidden="1" customWidth="1"/>
    <col min="27" max="27" width="10.28515625" style="123" customWidth="1"/>
    <col min="28" max="28" width="31" style="221" customWidth="1"/>
    <col min="29" max="29" width="7.7109375" style="123" customWidth="1"/>
    <col min="30" max="30" width="10.5703125" style="123" customWidth="1"/>
    <col min="31" max="31" width="16.5703125" style="123" customWidth="1"/>
    <col min="32" max="33" width="12.42578125" style="123" customWidth="1"/>
    <col min="34" max="35" width="16.5703125" style="123" customWidth="1"/>
    <col min="36" max="36" width="11.140625" style="123" bestFit="1" customWidth="1"/>
    <col min="37" max="37" width="37" style="505" customWidth="1"/>
    <col min="38" max="38" width="12.7109375" style="505" customWidth="1"/>
    <col min="39" max="39" width="7.28515625" style="505" customWidth="1"/>
    <col min="40" max="40" width="15.140625" style="505" customWidth="1"/>
    <col min="41" max="41" width="17.140625" style="505" customWidth="1"/>
    <col min="42" max="42" width="19.28515625" style="505" customWidth="1"/>
    <col min="43" max="43" width="35.85546875" style="505" customWidth="1"/>
    <col min="44" max="44" width="40.5703125" style="505" customWidth="1"/>
    <col min="45" max="45" width="12.42578125" style="123" customWidth="1"/>
    <col min="46" max="46" width="16.5703125" style="123" customWidth="1"/>
    <col min="47" max="47" width="12.42578125" style="123" customWidth="1"/>
    <col min="48" max="48" width="16.5703125" style="123" customWidth="1"/>
    <col min="49" max="49" width="12.42578125" style="123" customWidth="1"/>
    <col min="50" max="50" width="16.5703125" style="123" customWidth="1"/>
    <col min="51" max="51" width="12.42578125" style="123" customWidth="1"/>
    <col min="52" max="16384" width="9.140625" style="123"/>
  </cols>
  <sheetData>
    <row r="1" spans="1:56" s="132" customFormat="1">
      <c r="A1" s="145"/>
      <c r="B1" s="145"/>
      <c r="C1" s="667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582"/>
      <c r="V1" s="145"/>
      <c r="W1" s="145"/>
      <c r="X1" s="145"/>
      <c r="Y1" s="123"/>
      <c r="Z1" s="123"/>
      <c r="AA1" s="123" t="s">
        <v>1234</v>
      </c>
      <c r="AB1" s="505"/>
      <c r="AD1" s="123"/>
      <c r="AE1" s="123"/>
      <c r="AF1" s="123"/>
      <c r="AG1" s="123"/>
      <c r="AH1" s="123"/>
      <c r="AI1" s="123"/>
      <c r="AJ1" s="123"/>
      <c r="AK1" s="505"/>
      <c r="AL1" s="505"/>
      <c r="AM1" s="505"/>
      <c r="AN1" s="505"/>
      <c r="AO1" s="505"/>
      <c r="AP1" s="505"/>
      <c r="AQ1" s="505"/>
      <c r="AR1" s="505"/>
      <c r="AS1" s="123"/>
      <c r="AT1" s="123"/>
      <c r="AU1" s="123"/>
      <c r="AV1" s="123"/>
      <c r="AW1" s="123"/>
      <c r="AX1" s="123"/>
      <c r="AY1" s="123"/>
    </row>
    <row r="2" spans="1:56">
      <c r="A2" s="145" t="s">
        <v>145</v>
      </c>
      <c r="B2" s="145"/>
      <c r="C2" s="667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408"/>
      <c r="AB2" s="669"/>
    </row>
    <row r="3" spans="1:56">
      <c r="U3" s="576"/>
      <c r="V3" s="145"/>
      <c r="W3" s="145"/>
      <c r="X3" s="145"/>
      <c r="Y3" s="145"/>
      <c r="Z3" s="145"/>
      <c r="AA3" s="145"/>
    </row>
    <row r="4" spans="1:56" s="206" customFormat="1" ht="75">
      <c r="A4" s="292" t="s">
        <v>443</v>
      </c>
      <c r="B4" s="125" t="s">
        <v>1</v>
      </c>
      <c r="C4" s="125" t="s">
        <v>2</v>
      </c>
      <c r="D4" s="125" t="s">
        <v>3</v>
      </c>
      <c r="E4" s="125" t="s">
        <v>4</v>
      </c>
      <c r="F4" s="125" t="s">
        <v>5</v>
      </c>
      <c r="G4" s="125" t="s">
        <v>6</v>
      </c>
      <c r="H4" s="125" t="s">
        <v>7</v>
      </c>
      <c r="I4" s="125" t="s">
        <v>9</v>
      </c>
      <c r="J4" s="125" t="s">
        <v>101</v>
      </c>
      <c r="K4" s="125" t="s">
        <v>10</v>
      </c>
      <c r="L4" s="275" t="s">
        <v>11</v>
      </c>
      <c r="M4" s="125" t="s">
        <v>793</v>
      </c>
      <c r="N4" s="125" t="s">
        <v>794</v>
      </c>
      <c r="O4" s="2" t="s">
        <v>795</v>
      </c>
      <c r="P4" s="2" t="s">
        <v>12</v>
      </c>
      <c r="Q4" s="2" t="s">
        <v>796</v>
      </c>
      <c r="R4" s="2" t="s">
        <v>797</v>
      </c>
      <c r="S4" s="2" t="s">
        <v>798</v>
      </c>
      <c r="T4" s="2" t="s">
        <v>799</v>
      </c>
      <c r="U4" s="2" t="s">
        <v>800</v>
      </c>
      <c r="V4" s="13" t="s">
        <v>13</v>
      </c>
      <c r="W4" s="13" t="s">
        <v>14</v>
      </c>
      <c r="X4" s="125" t="s">
        <v>15</v>
      </c>
      <c r="Y4" s="125" t="s">
        <v>185</v>
      </c>
      <c r="Z4" s="125" t="s">
        <v>385</v>
      </c>
      <c r="AA4" s="125" t="s">
        <v>67</v>
      </c>
      <c r="AB4" s="506" t="s">
        <v>207</v>
      </c>
      <c r="AC4" s="125" t="s">
        <v>16</v>
      </c>
      <c r="AD4" s="123"/>
      <c r="AE4" s="123"/>
      <c r="AF4" s="123"/>
      <c r="AG4" s="123"/>
      <c r="AH4" s="123"/>
      <c r="AI4" s="123"/>
      <c r="AJ4" s="123"/>
      <c r="AK4" s="505"/>
      <c r="AL4" s="505"/>
      <c r="AM4" s="505"/>
      <c r="AN4" s="505"/>
      <c r="AO4" s="505"/>
      <c r="AP4" s="505"/>
      <c r="AQ4" s="505"/>
      <c r="AR4" s="505"/>
      <c r="AS4" s="123"/>
      <c r="AT4" s="123"/>
      <c r="AU4" s="123"/>
      <c r="AV4" s="123"/>
      <c r="AW4" s="123"/>
      <c r="AX4" s="123"/>
      <c r="AY4" s="123"/>
    </row>
    <row r="5" spans="1:56" s="206" customFormat="1">
      <c r="A5" s="292"/>
      <c r="B5" s="125"/>
      <c r="C5" s="130">
        <v>73</v>
      </c>
      <c r="D5" s="125"/>
      <c r="E5" s="125"/>
      <c r="F5" s="125"/>
      <c r="G5" s="125"/>
      <c r="H5" s="125"/>
      <c r="I5" s="125"/>
      <c r="J5" s="125"/>
      <c r="K5" s="125"/>
      <c r="L5" s="275"/>
      <c r="M5" s="125"/>
      <c r="N5" s="125"/>
      <c r="O5" s="2"/>
      <c r="P5" s="2"/>
      <c r="Q5" s="2"/>
      <c r="R5" s="2"/>
      <c r="S5" s="2"/>
      <c r="T5" s="2"/>
      <c r="U5" s="2"/>
      <c r="V5" s="13"/>
      <c r="W5" s="13"/>
      <c r="X5" s="125"/>
      <c r="Y5" s="125"/>
      <c r="Z5" s="125"/>
      <c r="AA5" s="125"/>
      <c r="AB5" s="506"/>
      <c r="AC5" s="125"/>
      <c r="AD5" s="123"/>
      <c r="AE5" s="123"/>
      <c r="AF5" s="123"/>
      <c r="AG5" s="123"/>
      <c r="AH5" s="123"/>
      <c r="AI5" s="123"/>
      <c r="AJ5" s="123"/>
      <c r="AK5" s="505"/>
      <c r="AL5" s="505"/>
      <c r="AM5" s="505"/>
      <c r="AN5" s="505"/>
      <c r="AO5" s="505"/>
      <c r="AP5" s="505"/>
      <c r="AQ5" s="505"/>
      <c r="AR5" s="505"/>
      <c r="AS5" s="123"/>
      <c r="AT5" s="123"/>
      <c r="AU5" s="123"/>
      <c r="AV5" s="123"/>
      <c r="AW5" s="123"/>
      <c r="AX5" s="123"/>
      <c r="AY5" s="123"/>
    </row>
    <row r="6" spans="1:56" s="206" customFormat="1" ht="90">
      <c r="A6" s="112">
        <v>1</v>
      </c>
      <c r="B6" s="3">
        <f>'תקציב החברה לפיתוח 2025'!B17</f>
        <v>1620</v>
      </c>
      <c r="C6" s="496" t="str">
        <f>'תקציב החברה לפיתוח 2025'!C17</f>
        <v xml:space="preserve">תכנון חיבוריות בין מזרח למערב </v>
      </c>
      <c r="D6" s="4">
        <f>'תקציב החברה לפיתוח 2025'!D17</f>
        <v>4200000</v>
      </c>
      <c r="E6" s="4">
        <f>'תקציב החברה לפיתוח 2025'!E17</f>
        <v>4200000</v>
      </c>
      <c r="F6" s="112">
        <f>'תקציב החברה לפיתוח 2025'!F17</f>
        <v>0</v>
      </c>
      <c r="G6" s="4">
        <f>'תקציב החברה לפיתוח 2025'!G17</f>
        <v>500000</v>
      </c>
      <c r="H6" s="4">
        <f>'תקציב החברה לפיתוח 2025'!H17</f>
        <v>0</v>
      </c>
      <c r="I6" s="4">
        <f>'תקציב החברה לפיתוח 2025'!I17</f>
        <v>0</v>
      </c>
      <c r="J6" s="4">
        <f>'תקציב החברה לפיתוח 2025'!J17</f>
        <v>0</v>
      </c>
      <c r="K6" s="4">
        <f>'תקציב החברה לפיתוח 2025'!K17</f>
        <v>0</v>
      </c>
      <c r="L6" s="4">
        <f>'תקציב החברה לפיתוח 2025'!L17</f>
        <v>0</v>
      </c>
      <c r="M6" s="112">
        <f>'תקציב החברה לפיתוח 2025'!M17</f>
        <v>500000</v>
      </c>
      <c r="N6" s="112">
        <f>'תקציב החברה לפיתוח 2025'!N17</f>
        <v>500000</v>
      </c>
      <c r="O6" s="4">
        <f>'תקציב החברה לפיתוח 2025'!O17</f>
        <v>3200000</v>
      </c>
      <c r="P6" s="4">
        <f>'תקציב החברה לפיתוח 2025'!P17</f>
        <v>500000</v>
      </c>
      <c r="Q6" s="4">
        <f>'תקציב החברה לפיתוח 2025'!Q17</f>
        <v>0</v>
      </c>
      <c r="R6" s="4">
        <f>'תקציב החברה לפיתוח 2025'!R17</f>
        <v>0</v>
      </c>
      <c r="S6" s="4">
        <f>'תקציב החברה לפיתוח 2025'!S17</f>
        <v>0</v>
      </c>
      <c r="T6" s="4">
        <f>'תקציב החברה לפיתוח 2025'!T17</f>
        <v>0</v>
      </c>
      <c r="U6" s="495">
        <f>'תקציב החברה לפיתוח 2025'!U17</f>
        <v>500000</v>
      </c>
      <c r="V6" s="4">
        <f>'תקציב החברה לפיתוח 2025'!V17</f>
        <v>500000</v>
      </c>
      <c r="W6" s="4">
        <f>'תקציב החברה לפיתוח 2025'!W17</f>
        <v>0</v>
      </c>
      <c r="X6" s="4">
        <f>'תקציב החברה לפיתוח 2025'!X17</f>
        <v>0</v>
      </c>
      <c r="Y6" s="4">
        <f>'תקציב החברה לפיתוח 2025'!Y17</f>
        <v>0</v>
      </c>
      <c r="Z6" s="4">
        <f>'תקציב החברה לפיתוח 2025'!Z17</f>
        <v>0</v>
      </c>
      <c r="AA6" s="3">
        <f>'תקציב החברה לפיתוח 2025'!AA17</f>
        <v>0</v>
      </c>
      <c r="AB6" s="202" t="str">
        <f>'תקציב החברה לפיתוח 2025'!AB17</f>
        <v>תכנון כולל לסוגיית חיזוק הקשר בין מזרח העיר למערבה באמצעות תוספות של גשרים להולכי רגל ורכב דו גלגלי. הגשרים מהווים תנאים לקידום העצמת זכויות באיזור התעסוקה.</v>
      </c>
      <c r="AC6" s="3">
        <f>'תקציב החברה לפיתוח 2025'!AC17</f>
        <v>732000</v>
      </c>
      <c r="AD6" s="123"/>
      <c r="AE6" s="123"/>
      <c r="AF6" s="123"/>
      <c r="AG6" s="123"/>
      <c r="AH6" s="123"/>
      <c r="AI6" s="123"/>
      <c r="AJ6" s="123"/>
      <c r="AK6" s="505"/>
      <c r="AL6" s="505"/>
      <c r="AM6" s="505"/>
      <c r="AN6" s="505"/>
      <c r="AO6" s="505"/>
      <c r="AP6" s="505"/>
      <c r="AQ6" s="505"/>
      <c r="AR6" s="505"/>
      <c r="AS6" s="123"/>
      <c r="AT6" s="123"/>
      <c r="AU6" s="123"/>
      <c r="AV6" s="123"/>
      <c r="AW6" s="123"/>
      <c r="AX6" s="123"/>
      <c r="AY6" s="123"/>
      <c r="AZ6" s="5"/>
      <c r="BA6" s="5"/>
      <c r="BB6" s="5"/>
      <c r="BC6" s="5"/>
      <c r="BD6" s="5"/>
    </row>
    <row r="7" spans="1:56" s="126" customFormat="1" ht="45">
      <c r="A7" s="112">
        <f t="shared" ref="A7:A15" si="0">1+A6</f>
        <v>2</v>
      </c>
      <c r="B7" s="3">
        <f>'תקציב החברה לפיתוח 2025'!B20</f>
        <v>1693</v>
      </c>
      <c r="C7" s="202" t="str">
        <f>'תקציב החברה לפיתוח 2025'!C20</f>
        <v xml:space="preserve">פינוי בינוי צומת כדורי </v>
      </c>
      <c r="D7" s="112">
        <f>'תקציב החברה לפיתוח 2025'!D20</f>
        <v>4500000</v>
      </c>
      <c r="E7" s="112">
        <f>'תקציב החברה לפיתוח 2025'!E20</f>
        <v>4500000</v>
      </c>
      <c r="F7" s="112">
        <f>'תקציב החברה לפיתוח 2025'!F20</f>
        <v>0</v>
      </c>
      <c r="G7" s="112">
        <f>'תקציב החברה לפיתוח 2025'!G20</f>
        <v>2416703</v>
      </c>
      <c r="H7" s="112">
        <f>'תקציב החברה לפיתוח 2025'!H20</f>
        <v>716630</v>
      </c>
      <c r="I7" s="112">
        <f>'תקציב החברה לפיתוח 2025'!I20</f>
        <v>449944</v>
      </c>
      <c r="J7" s="112">
        <f>'תקציב החברה לפיתוח 2025'!J20</f>
        <v>159045</v>
      </c>
      <c r="K7" s="112">
        <f>'תקציב החברה לפיתוח 2025'!K20</f>
        <v>608989</v>
      </c>
      <c r="L7" s="112">
        <f>'תקציב החברה לפיתוח 2025'!L20</f>
        <v>1325619</v>
      </c>
      <c r="M7" s="112">
        <f>'תקציב החברה לפיתוח 2025'!M20</f>
        <v>1084</v>
      </c>
      <c r="N7" s="112">
        <f>'תקציב החברה לפיתוח 2025'!N20</f>
        <v>1090000</v>
      </c>
      <c r="O7" s="112">
        <f>'תקציב החברה לפיתוח 2025'!O20</f>
        <v>2083297</v>
      </c>
      <c r="P7" s="112">
        <f>'תקציב החברה לפיתוח 2025'!P20</f>
        <v>1091084</v>
      </c>
      <c r="Q7" s="112">
        <f>'תקציב החברה לפיתוח 2025'!Q20</f>
        <v>0</v>
      </c>
      <c r="R7" s="112">
        <f>'תקציב החברה לפיתוח 2025'!R20</f>
        <v>0</v>
      </c>
      <c r="S7" s="112">
        <f>'תקציב החברה לפיתוח 2025'!S20</f>
        <v>0</v>
      </c>
      <c r="T7" s="112">
        <f>'תקציב החברה לפיתוח 2025'!T20</f>
        <v>1090000</v>
      </c>
      <c r="U7" s="257">
        <f>'תקציב החברה לפיתוח 2025'!U20</f>
        <v>0</v>
      </c>
      <c r="V7" s="112">
        <f>'תקציב החברה לפיתוח 2025'!V20</f>
        <v>0</v>
      </c>
      <c r="W7" s="112">
        <f>'תקציב החברה לפיתוח 2025'!W20</f>
        <v>0</v>
      </c>
      <c r="X7" s="112">
        <f>'תקציב החברה לפיתוח 2025'!X20</f>
        <v>0</v>
      </c>
      <c r="Y7" s="112">
        <f>'תקציב החברה לפיתוח 2025'!Y20</f>
        <v>0</v>
      </c>
      <c r="Z7" s="112">
        <f>'תקציב החברה לפיתוח 2025'!Z20</f>
        <v>0</v>
      </c>
      <c r="AA7" s="127">
        <f>'תקציב החברה לפיתוח 2025'!AA20</f>
        <v>0</v>
      </c>
      <c r="AB7" s="202" t="str">
        <f>'תקציב החברה לפיתוח 2025'!AB20</f>
        <v>תכנון מתחם צומת כדורי לפינוי ובינוי.בשלב הנעת התכנון לשלב סטטוטורי. מימון מ. הבינוי.</v>
      </c>
      <c r="AC7" s="3">
        <f>'תקציב החברה לפיתוח 2025'!AC20</f>
        <v>732000</v>
      </c>
      <c r="AD7" s="123"/>
      <c r="AE7" s="123"/>
      <c r="AF7" s="123"/>
      <c r="AG7" s="123"/>
      <c r="AH7" s="123"/>
      <c r="AI7" s="123"/>
      <c r="AJ7" s="123"/>
      <c r="AK7" s="505"/>
      <c r="AL7" s="505"/>
      <c r="AM7" s="505"/>
      <c r="AN7" s="505"/>
      <c r="AO7" s="505"/>
      <c r="AP7" s="505"/>
      <c r="AQ7" s="505"/>
      <c r="AR7" s="505"/>
      <c r="AS7" s="123"/>
      <c r="AT7" s="123"/>
      <c r="AU7" s="123"/>
      <c r="AV7" s="123"/>
      <c r="AW7" s="123"/>
      <c r="AX7" s="123"/>
      <c r="AY7" s="123"/>
      <c r="AZ7" s="5"/>
      <c r="BA7" s="5"/>
      <c r="BB7" s="5"/>
      <c r="BC7" s="5"/>
      <c r="BD7" s="5"/>
    </row>
    <row r="8" spans="1:56" s="128" customFormat="1" ht="24.95" customHeight="1">
      <c r="A8" s="112">
        <f t="shared" si="0"/>
        <v>3</v>
      </c>
      <c r="B8" s="127">
        <f>'תקציב החברה לפיתוח 2025'!B21</f>
        <v>1723</v>
      </c>
      <c r="C8" s="222" t="str">
        <f>'תקציב החברה לפיתוח 2025'!C21</f>
        <v>מרכז תחבורה חדש</v>
      </c>
      <c r="D8" s="112">
        <f>'תקציב החברה לפיתוח 2025'!D21</f>
        <v>1778521</v>
      </c>
      <c r="E8" s="112">
        <f>'תקציב החברה לפיתוח 2025'!E21</f>
        <v>1978521</v>
      </c>
      <c r="F8" s="112">
        <f>'תקציב החברה לפיתוח 2025'!F21</f>
        <v>-200000</v>
      </c>
      <c r="G8" s="112">
        <f>'תקציב החברה לפיתוח 2025'!G21</f>
        <v>1778521</v>
      </c>
      <c r="H8" s="112">
        <f>'תקציב החברה לפיתוח 2025'!H21</f>
        <v>1651128</v>
      </c>
      <c r="I8" s="112">
        <f>'תקציב החברה לפיתוח 2025'!I21</f>
        <v>0</v>
      </c>
      <c r="J8" s="112">
        <f>'תקציב החברה לפיתוח 2025'!J21</f>
        <v>0</v>
      </c>
      <c r="K8" s="112">
        <f>'תקציב החברה לפיתוח 2025'!K21</f>
        <v>0</v>
      </c>
      <c r="L8" s="112">
        <f>'תקציב החברה לפיתוח 2025'!L21</f>
        <v>1651128</v>
      </c>
      <c r="M8" s="112">
        <f>'תקציב החברה לפיתוח 2025'!M21</f>
        <v>127393</v>
      </c>
      <c r="N8" s="112">
        <f>'תקציב החברה לפיתוח 2025'!N21</f>
        <v>0</v>
      </c>
      <c r="O8" s="112">
        <f>'תקציב החברה לפיתוח 2025'!O21</f>
        <v>0</v>
      </c>
      <c r="P8" s="112">
        <f>'תקציב החברה לפיתוח 2025'!P21</f>
        <v>127393</v>
      </c>
      <c r="Q8" s="112">
        <f>'תקציב החברה לפיתוח 2025'!Q21</f>
        <v>0</v>
      </c>
      <c r="R8" s="112">
        <f>'תקציב החברה לפיתוח 2025'!R21</f>
        <v>0</v>
      </c>
      <c r="S8" s="112">
        <f>'תקציב החברה לפיתוח 2025'!S21</f>
        <v>0</v>
      </c>
      <c r="T8" s="112">
        <f>'תקציב החברה לפיתוח 2025'!T21</f>
        <v>0</v>
      </c>
      <c r="U8" s="257">
        <f>'תקציב החברה לפיתוח 2025'!U21</f>
        <v>0</v>
      </c>
      <c r="V8" s="112">
        <f>'תקציב החברה לפיתוח 2025'!V21</f>
        <v>0</v>
      </c>
      <c r="W8" s="112">
        <f>'תקציב החברה לפיתוח 2025'!W21</f>
        <v>0</v>
      </c>
      <c r="X8" s="112">
        <f>'תקציב החברה לפיתוח 2025'!X21</f>
        <v>0</v>
      </c>
      <c r="Y8" s="112">
        <f>'תקציב החברה לפיתוח 2025'!Y21</f>
        <v>0</v>
      </c>
      <c r="Z8" s="112">
        <f>'תקציב החברה לפיתוח 2025'!Z21</f>
        <v>0</v>
      </c>
      <c r="AA8" s="127">
        <f>'תקציב החברה לפיתוח 2025'!AA21</f>
        <v>0</v>
      </c>
      <c r="AB8" s="222" t="str">
        <f>'תקציב החברה לפיתוח 2025'!AB21</f>
        <v>השלמת תכנון עד להיתר לחניון אוטובוסים.</v>
      </c>
      <c r="AC8" s="127">
        <f>'תקציב החברה לפיתוח 2025'!AC21</f>
        <v>732000</v>
      </c>
      <c r="AD8" s="123"/>
      <c r="AE8" s="123"/>
      <c r="AF8" s="123"/>
      <c r="AG8" s="123"/>
      <c r="AH8" s="123"/>
      <c r="AI8" s="123"/>
      <c r="AJ8" s="123"/>
      <c r="AK8" s="505"/>
      <c r="AL8" s="505"/>
      <c r="AM8" s="505"/>
      <c r="AN8" s="505"/>
      <c r="AO8" s="505"/>
      <c r="AP8" s="505"/>
      <c r="AQ8" s="505"/>
      <c r="AR8" s="505"/>
      <c r="AS8" s="123"/>
      <c r="AT8" s="123"/>
      <c r="AU8" s="123"/>
      <c r="AV8" s="123"/>
      <c r="AW8" s="123"/>
      <c r="AX8" s="123"/>
      <c r="AY8" s="123"/>
      <c r="AZ8" s="5"/>
      <c r="BA8" s="5"/>
      <c r="BB8" s="5"/>
      <c r="BC8" s="5"/>
      <c r="BD8" s="5"/>
    </row>
    <row r="9" spans="1:56" s="126" customFormat="1" ht="75">
      <c r="A9" s="112">
        <f t="shared" si="0"/>
        <v>4</v>
      </c>
      <c r="B9" s="19">
        <f>'תקציב החברה לפיתוח 2025'!B56</f>
        <v>2115</v>
      </c>
      <c r="C9" s="202" t="str">
        <f>'תקציב החברה לפיתוח 2025'!C56</f>
        <v>תוכנית מתאר איזור התעסוקה הר/2440</v>
      </c>
      <c r="D9" s="112">
        <f>'תקציב החברה לפיתוח 2025'!D56</f>
        <v>4700000</v>
      </c>
      <c r="E9" s="112">
        <f>'תקציב החברה לפיתוח 2025'!E56</f>
        <v>3700000</v>
      </c>
      <c r="F9" s="112">
        <f>'תקציב החברה לפיתוח 2025'!F56</f>
        <v>1000000</v>
      </c>
      <c r="G9" s="112">
        <f>'תקציב החברה לפיתוח 2025'!G56</f>
        <v>2600000</v>
      </c>
      <c r="H9" s="112">
        <f>'תקציב החברה לפיתוח 2025'!H56</f>
        <v>2581220</v>
      </c>
      <c r="I9" s="112">
        <f>'תקציב החברה לפיתוח 2025'!I56</f>
        <v>0</v>
      </c>
      <c r="J9" s="112">
        <f>'תקציב החברה לפיתוח 2025'!J56</f>
        <v>13880</v>
      </c>
      <c r="K9" s="112">
        <f>'תקציב החברה לפיתוח 2025'!K56</f>
        <v>13880</v>
      </c>
      <c r="L9" s="112">
        <f>'תקציב החברה לפיתוח 2025'!L56</f>
        <v>2595100</v>
      </c>
      <c r="M9" s="112">
        <f>'תקציב החברה לפיתוח 2025'!M56</f>
        <v>804900</v>
      </c>
      <c r="N9" s="112">
        <f>'תקציב החברה לפיתוח 2025'!N56</f>
        <v>300000</v>
      </c>
      <c r="O9" s="112">
        <f>'תקציב החברה לפיתוח 2025'!O56</f>
        <v>1000000</v>
      </c>
      <c r="P9" s="112">
        <f>'תקציב החברה לפיתוח 2025'!P56</f>
        <v>4900</v>
      </c>
      <c r="Q9" s="112">
        <f>'תקציב החברה לפיתוח 2025'!Q56</f>
        <v>800000</v>
      </c>
      <c r="R9" s="112">
        <f>'תקציב החברה לפיתוח 2025'!R56</f>
        <v>0</v>
      </c>
      <c r="S9" s="112">
        <f>'תקציב החברה לפיתוח 2025'!S56</f>
        <v>800000</v>
      </c>
      <c r="T9" s="112">
        <f>'תקציב החברה לפיתוח 2025'!T56</f>
        <v>0</v>
      </c>
      <c r="U9" s="257">
        <f>'תקציב החברה לפיתוח 2025'!U56</f>
        <v>300000</v>
      </c>
      <c r="V9" s="112">
        <f>'תקציב החברה לפיתוח 2025'!V56</f>
        <v>300000</v>
      </c>
      <c r="W9" s="112">
        <f>'תקציב החברה לפיתוח 2025'!W56</f>
        <v>0</v>
      </c>
      <c r="X9" s="112">
        <f>'תקציב החברה לפיתוח 2025'!X56</f>
        <v>0</v>
      </c>
      <c r="Y9" s="112">
        <f>'תקציב החברה לפיתוח 2025'!Y56</f>
        <v>0</v>
      </c>
      <c r="Z9" s="112">
        <f>'תקציב החברה לפיתוח 2025'!Z56</f>
        <v>0</v>
      </c>
      <c r="AA9" s="127">
        <f>'תקציב החברה לפיתוח 2025'!AA56</f>
        <v>0</v>
      </c>
      <c r="AB9" s="202" t="str">
        <f>'תקציב החברה לפיתוח 2025'!AB56</f>
        <v>הפיכת תוכ. אסטרטגית  לתוכ.  סטטוטורית, לתוכ. מתאר בועדה המחוזית בהתאם ליו"ר הועדה המחוזית וליווי מימושה של התוכ. שקיבלה תוקף.</v>
      </c>
      <c r="AC9" s="3">
        <f>'תקציב החברה לפיתוח 2025'!AC56</f>
        <v>732000</v>
      </c>
      <c r="AD9" s="123"/>
      <c r="AE9" s="123"/>
      <c r="AF9" s="123"/>
      <c r="AG9" s="123"/>
      <c r="AH9" s="123"/>
      <c r="AI9" s="123"/>
      <c r="AJ9" s="123"/>
      <c r="AK9" s="505"/>
      <c r="AL9" s="505"/>
      <c r="AM9" s="505"/>
      <c r="AN9" s="505"/>
      <c r="AO9" s="505"/>
      <c r="AP9" s="505"/>
      <c r="AQ9" s="505"/>
      <c r="AR9" s="505"/>
      <c r="AS9" s="123"/>
      <c r="AT9" s="123"/>
      <c r="AU9" s="123"/>
      <c r="AV9" s="123"/>
      <c r="AW9" s="123"/>
      <c r="AX9" s="123"/>
      <c r="AY9" s="123"/>
      <c r="AZ9" s="5"/>
      <c r="BA9" s="5"/>
      <c r="BB9" s="5"/>
      <c r="BC9" s="5"/>
      <c r="BD9" s="5"/>
    </row>
    <row r="10" spans="1:56" s="128" customFormat="1" ht="60">
      <c r="A10" s="112">
        <f t="shared" si="0"/>
        <v>5</v>
      </c>
      <c r="B10" s="19">
        <f>'תקציב החברה לפיתוח 2025'!B66</f>
        <v>2180</v>
      </c>
      <c r="C10" s="202" t="str">
        <f>'תקציב החברה לפיתוח 2025'!C66</f>
        <v>ליווי פרויקטים פינוי בינוי</v>
      </c>
      <c r="D10" s="112">
        <f>'תקציב החברה לפיתוח 2025'!D66</f>
        <v>2600000</v>
      </c>
      <c r="E10" s="112">
        <f>'תקציב החברה לפיתוח 2025'!E66</f>
        <v>2600000</v>
      </c>
      <c r="F10" s="112">
        <f>'תקציב החברה לפיתוח 2025'!F66</f>
        <v>0</v>
      </c>
      <c r="G10" s="112">
        <f>'תקציב החברה לפיתוח 2025'!G66</f>
        <v>1000000</v>
      </c>
      <c r="H10" s="112">
        <f>'תקציב החברה לפיתוח 2025'!H66</f>
        <v>648959</v>
      </c>
      <c r="I10" s="112">
        <f>'תקציב החברה לפיתוח 2025'!I66</f>
        <v>0</v>
      </c>
      <c r="J10" s="112">
        <f>'תקציב החברה לפיתוח 2025'!J66</f>
        <v>81010</v>
      </c>
      <c r="K10" s="112">
        <f>'תקציב החברה לפיתוח 2025'!K66</f>
        <v>81010</v>
      </c>
      <c r="L10" s="112">
        <f>'תקציב החברה לפיתוח 2025'!L66</f>
        <v>729969</v>
      </c>
      <c r="M10" s="112">
        <f>'תקציב החברה לפיתוח 2025'!M66</f>
        <v>270031</v>
      </c>
      <c r="N10" s="112">
        <f>'תקציב החברה לפיתוח 2025'!N66</f>
        <v>500000</v>
      </c>
      <c r="O10" s="112">
        <f>'תקציב החברה לפיתוח 2025'!O66</f>
        <v>1100000</v>
      </c>
      <c r="P10" s="112">
        <f>'תקציב החברה לפיתוח 2025'!P66</f>
        <v>270031</v>
      </c>
      <c r="Q10" s="112">
        <f>'תקציב החברה לפיתוח 2025'!Q66</f>
        <v>0</v>
      </c>
      <c r="R10" s="112">
        <f>'תקציב החברה לפיתוח 2025'!R66</f>
        <v>0</v>
      </c>
      <c r="S10" s="112">
        <f>'תקציב החברה לפיתוח 2025'!S66</f>
        <v>0</v>
      </c>
      <c r="T10" s="112">
        <f>'תקציב החברה לפיתוח 2025'!T66</f>
        <v>0</v>
      </c>
      <c r="U10" s="257">
        <f>'תקציב החברה לפיתוח 2025'!U66</f>
        <v>500000</v>
      </c>
      <c r="V10" s="112">
        <f>'תקציב החברה לפיתוח 2025'!V66</f>
        <v>500000</v>
      </c>
      <c r="W10" s="112">
        <f>'תקציב החברה לפיתוח 2025'!W66</f>
        <v>0</v>
      </c>
      <c r="X10" s="112">
        <f>'תקציב החברה לפיתוח 2025'!X66</f>
        <v>0</v>
      </c>
      <c r="Y10" s="112">
        <f>'תקציב החברה לפיתוח 2025'!Y66</f>
        <v>0</v>
      </c>
      <c r="Z10" s="112">
        <f>'תקציב החברה לפיתוח 2025'!Z66</f>
        <v>0</v>
      </c>
      <c r="AA10" s="127">
        <f>'תקציב החברה לפיתוח 2025'!AA66</f>
        <v>0</v>
      </c>
      <c r="AB10" s="202" t="str">
        <f>'תקציב החברה לפיתוח 2025'!AB66</f>
        <v>ליווי הסכמי פיתוח וביצוע תשתיות של  שטחים ציבוריים המפותחים ע"י חב' יזמיות במתחמי התחדשות עירונית.</v>
      </c>
      <c r="AC10" s="3">
        <f>'תקציב החברה לפיתוח 2025'!AC66</f>
        <v>732000</v>
      </c>
      <c r="AD10" s="123"/>
      <c r="AE10" s="123"/>
      <c r="AF10" s="123"/>
      <c r="AG10" s="123"/>
      <c r="AH10" s="123"/>
      <c r="AI10" s="123"/>
      <c r="AJ10" s="123"/>
      <c r="AK10" s="505"/>
      <c r="AL10" s="505"/>
      <c r="AM10" s="505"/>
      <c r="AN10" s="505"/>
      <c r="AO10" s="505"/>
      <c r="AP10" s="505"/>
      <c r="AQ10" s="505"/>
      <c r="AR10" s="505"/>
      <c r="AS10" s="123"/>
      <c r="AT10" s="123"/>
      <c r="AU10" s="123"/>
      <c r="AV10" s="123"/>
      <c r="AW10" s="123"/>
      <c r="AX10" s="123"/>
      <c r="AY10" s="123"/>
      <c r="AZ10" s="5"/>
      <c r="BA10" s="5"/>
      <c r="BB10" s="5"/>
      <c r="BC10" s="5"/>
      <c r="BD10" s="5"/>
    </row>
    <row r="11" spans="1:56" s="128" customFormat="1" ht="60">
      <c r="A11" s="112">
        <f t="shared" si="0"/>
        <v>6</v>
      </c>
      <c r="B11" s="19">
        <f>'תקציב החברה לפיתוח 2025'!B85</f>
        <v>20009</v>
      </c>
      <c r="C11" s="202" t="str">
        <f>'תקציב החברה לפיתוח 2025'!C85</f>
        <v>תכנון תב"ע מתחם הנופש "אקספורט"</v>
      </c>
      <c r="D11" s="4">
        <f>'תקציב החברה לפיתוח 2025'!D85</f>
        <v>2150000</v>
      </c>
      <c r="E11" s="4">
        <f>'תקציב החברה לפיתוח 2025'!E85</f>
        <v>2150000</v>
      </c>
      <c r="F11" s="4">
        <f>'תקציב החברה לפיתוח 2025'!F85</f>
        <v>0</v>
      </c>
      <c r="G11" s="4">
        <f>'תקציב החברה לפיתוח 2025'!G85</f>
        <v>250000</v>
      </c>
      <c r="H11" s="4">
        <f>'תקציב החברה לפיתוח 2025'!H85</f>
        <v>162220</v>
      </c>
      <c r="I11" s="4">
        <f>'תקציב החברה לפיתוח 2025'!I85</f>
        <v>0</v>
      </c>
      <c r="J11" s="4">
        <f>'תקציב החברה לפיתוח 2025'!J85</f>
        <v>86814</v>
      </c>
      <c r="K11" s="4">
        <f>'תקציב החברה לפיתוח 2025'!K85</f>
        <v>86814</v>
      </c>
      <c r="L11" s="4">
        <f>'תקציב החברה לפיתוח 2025'!L85</f>
        <v>249034</v>
      </c>
      <c r="M11" s="112">
        <f>'תקציב החברה לפיתוח 2025'!M85</f>
        <v>250966</v>
      </c>
      <c r="N11" s="112">
        <f>'תקציב החברה לפיתוח 2025'!N85</f>
        <v>200000</v>
      </c>
      <c r="O11" s="4">
        <f>'תקציב החברה לפיתוח 2025'!O85</f>
        <v>1450000</v>
      </c>
      <c r="P11" s="4">
        <f>'תקציב החברה לפיתוח 2025'!P85</f>
        <v>966</v>
      </c>
      <c r="Q11" s="4">
        <f>'תקציב החברה לפיתוח 2025'!Q85</f>
        <v>250000</v>
      </c>
      <c r="R11" s="4">
        <f>'תקציב החברה לפיתוח 2025'!R85</f>
        <v>0</v>
      </c>
      <c r="S11" s="112">
        <f>'תקציב החברה לפיתוח 2025'!S85</f>
        <v>250000</v>
      </c>
      <c r="T11" s="4">
        <f>'תקציב החברה לפיתוח 2025'!T85</f>
        <v>0</v>
      </c>
      <c r="U11" s="495">
        <f>'תקציב החברה לפיתוח 2025'!U85</f>
        <v>200000</v>
      </c>
      <c r="V11" s="4">
        <f>'תקציב החברה לפיתוח 2025'!V85</f>
        <v>200000</v>
      </c>
      <c r="W11" s="4">
        <f>'תקציב החברה לפיתוח 2025'!W85</f>
        <v>0</v>
      </c>
      <c r="X11" s="4">
        <f>'תקציב החברה לפיתוח 2025'!X85</f>
        <v>0</v>
      </c>
      <c r="Y11" s="4">
        <f>'תקציב החברה לפיתוח 2025'!Y85</f>
        <v>0</v>
      </c>
      <c r="Z11" s="4">
        <f>'תקציב החברה לפיתוח 2025'!Z85</f>
        <v>0</v>
      </c>
      <c r="AA11" s="3">
        <f>'תקציב החברה לפיתוח 2025'!AA85</f>
        <v>0</v>
      </c>
      <c r="AB11" s="202" t="str">
        <f>'תקציב החברה לפיתוח 2025'!AB85</f>
        <v xml:space="preserve">תכנון והיערכות להכנת תוכנית סטטוטורית לאישור הועדה המחוזית בעתודת קרקע בין הרחובות יוסף נבו , ז'בוטינסקי ובן ציון מיכאלי. </v>
      </c>
      <c r="AC11" s="3">
        <f>'תקציב החברה לפיתוח 2025'!AC85</f>
        <v>732000</v>
      </c>
      <c r="AD11" s="123"/>
      <c r="AE11" s="123"/>
      <c r="AF11" s="123"/>
      <c r="AG11" s="123"/>
      <c r="AH11" s="123"/>
      <c r="AI11" s="123"/>
      <c r="AJ11" s="123"/>
      <c r="AK11" s="505"/>
      <c r="AL11" s="505"/>
      <c r="AM11" s="505"/>
      <c r="AN11" s="505"/>
      <c r="AO11" s="505"/>
      <c r="AP11" s="505"/>
      <c r="AQ11" s="505"/>
      <c r="AR11" s="505"/>
      <c r="AS11" s="123"/>
      <c r="AT11" s="123"/>
      <c r="AU11" s="123"/>
      <c r="AV11" s="123"/>
      <c r="AW11" s="123"/>
      <c r="AX11" s="123"/>
      <c r="AY11" s="123"/>
      <c r="AZ11" s="5"/>
      <c r="BA11" s="5"/>
      <c r="BB11" s="5"/>
      <c r="BC11" s="5"/>
      <c r="BD11" s="5"/>
    </row>
    <row r="12" spans="1:56" s="128" customFormat="1" ht="30">
      <c r="A12" s="112">
        <f t="shared" si="0"/>
        <v>7</v>
      </c>
      <c r="B12" s="3">
        <f>'תקציב החברה לפיתוח 2025'!B93</f>
        <v>20064</v>
      </c>
      <c r="C12" s="202" t="str">
        <f>'תקציב החברה לפיתוח 2025'!C93</f>
        <v>תב"עות פרויקטים מניבים</v>
      </c>
      <c r="D12" s="112">
        <f>'תקציב החברה לפיתוח 2025'!D93</f>
        <v>2000000</v>
      </c>
      <c r="E12" s="112">
        <f>'תקציב החברה לפיתוח 2025'!E93</f>
        <v>2000000</v>
      </c>
      <c r="F12" s="112">
        <f>'תקציב החברה לפיתוח 2025'!F93</f>
        <v>0</v>
      </c>
      <c r="G12" s="112">
        <f>'תקציב החברה לפיתוח 2025'!G93</f>
        <v>500000</v>
      </c>
      <c r="H12" s="112">
        <f>'תקציב החברה לפיתוח 2025'!H93</f>
        <v>363833</v>
      </c>
      <c r="I12" s="112">
        <f>'תקציב החברה לפיתוח 2025'!I93</f>
        <v>0</v>
      </c>
      <c r="J12" s="112">
        <f>'תקציב החברה לפיתוח 2025'!J93</f>
        <v>133512</v>
      </c>
      <c r="K12" s="112">
        <f>'תקציב החברה לפיתוח 2025'!K93</f>
        <v>133512</v>
      </c>
      <c r="L12" s="112">
        <f>'תקציב החברה לפיתוח 2025'!L93</f>
        <v>497345</v>
      </c>
      <c r="M12" s="112">
        <f>'תקציב החברה לפיתוח 2025'!M93</f>
        <v>102655</v>
      </c>
      <c r="N12" s="112">
        <f>'תקציב החברה לפיתוח 2025'!N93</f>
        <v>200000</v>
      </c>
      <c r="O12" s="112">
        <f>'תקציב החברה לפיתוח 2025'!O93</f>
        <v>1200000</v>
      </c>
      <c r="P12" s="112">
        <f>'תקציב החברה לפיתוח 2025'!P93</f>
        <v>2655</v>
      </c>
      <c r="Q12" s="112">
        <f>'תקציב החברה לפיתוח 2025'!Q93</f>
        <v>100000</v>
      </c>
      <c r="R12" s="112">
        <f>'תקציב החברה לפיתוח 2025'!R93</f>
        <v>0</v>
      </c>
      <c r="S12" s="112">
        <f>'תקציב החברה לפיתוח 2025'!S93</f>
        <v>100000</v>
      </c>
      <c r="T12" s="112">
        <f>'תקציב החברה לפיתוח 2025'!T93</f>
        <v>0</v>
      </c>
      <c r="U12" s="257">
        <f>'תקציב החברה לפיתוח 2025'!U93</f>
        <v>200000</v>
      </c>
      <c r="V12" s="112">
        <f>'תקציב החברה לפיתוח 2025'!V93</f>
        <v>200000</v>
      </c>
      <c r="W12" s="112">
        <f>'תקציב החברה לפיתוח 2025'!W93</f>
        <v>0</v>
      </c>
      <c r="X12" s="112">
        <f>'תקציב החברה לפיתוח 2025'!X93</f>
        <v>0</v>
      </c>
      <c r="Y12" s="112">
        <f>'תקציב החברה לפיתוח 2025'!Y93</f>
        <v>0</v>
      </c>
      <c r="Z12" s="112">
        <f>'תקציב החברה לפיתוח 2025'!Z93</f>
        <v>0</v>
      </c>
      <c r="AA12" s="127">
        <f>'תקציב החברה לפיתוח 2025'!AA93</f>
        <v>0</v>
      </c>
      <c r="AB12" s="202" t="str">
        <f>'תקציב החברה לפיתוח 2025'!AB93</f>
        <v>תכנון תב"עות פרויקטים מניבים.</v>
      </c>
      <c r="AC12" s="3">
        <f>'תקציב החברה לפיתוח 2025'!AC93</f>
        <v>732000</v>
      </c>
      <c r="AD12" s="123"/>
      <c r="AE12" s="123"/>
      <c r="AF12" s="123"/>
      <c r="AG12" s="123"/>
      <c r="AH12" s="123"/>
      <c r="AI12" s="123"/>
      <c r="AJ12" s="123"/>
      <c r="AK12" s="505"/>
      <c r="AL12" s="505"/>
      <c r="AM12" s="505"/>
      <c r="AN12" s="505"/>
      <c r="AO12" s="505"/>
      <c r="AP12" s="505"/>
      <c r="AQ12" s="505"/>
      <c r="AR12" s="505"/>
      <c r="AS12" s="123"/>
      <c r="AT12" s="123"/>
      <c r="AU12" s="123"/>
      <c r="AV12" s="123"/>
      <c r="AW12" s="123"/>
      <c r="AX12" s="123"/>
      <c r="AY12" s="123"/>
      <c r="AZ12" s="5"/>
      <c r="BA12" s="5"/>
      <c r="BB12" s="5"/>
      <c r="BC12" s="5"/>
      <c r="BD12" s="5"/>
    </row>
    <row r="13" spans="1:56" s="5" customFormat="1" ht="30" customHeight="1">
      <c r="A13" s="112">
        <f t="shared" si="0"/>
        <v>8</v>
      </c>
      <c r="B13" s="19">
        <f>'תקציב החברה לפיתוח 2025'!B102</f>
        <v>20108</v>
      </c>
      <c r="C13" s="222" t="str">
        <f>'תקציב החברה לפיתוח 2025'!C102</f>
        <v>סקר מבני ציבור וחינוך לעמידות רעידות אדמה</v>
      </c>
      <c r="D13" s="112">
        <f>'תקציב החברה לפיתוח 2025'!D102</f>
        <v>3500000</v>
      </c>
      <c r="E13" s="112">
        <f>'תקציב החברה לפיתוח 2025'!E102</f>
        <v>3500000</v>
      </c>
      <c r="F13" s="257">
        <f>'תקציב החברה לפיתוח 2025'!F102</f>
        <v>0</v>
      </c>
      <c r="G13" s="112">
        <f>'תקציב החברה לפיתוח 2025'!G102</f>
        <v>0</v>
      </c>
      <c r="H13" s="112">
        <f>'תקציב החברה לפיתוח 2025'!H102</f>
        <v>0</v>
      </c>
      <c r="I13" s="112">
        <f>'תקציב החברה לפיתוח 2025'!I102</f>
        <v>0</v>
      </c>
      <c r="J13" s="112">
        <f>'תקציב החברה לפיתוח 2025'!J102</f>
        <v>0</v>
      </c>
      <c r="K13" s="112">
        <f>'תקציב החברה לפיתוח 2025'!K102</f>
        <v>0</v>
      </c>
      <c r="L13" s="112">
        <f>'תקציב החברה לפיתוח 2025'!L102</f>
        <v>0</v>
      </c>
      <c r="M13" s="495">
        <f>'תקציב החברה לפיתוח 2025'!M102</f>
        <v>350000</v>
      </c>
      <c r="N13" s="4">
        <f>'תקציב החברה לפיתוח 2025'!N102</f>
        <v>0</v>
      </c>
      <c r="O13" s="4">
        <f>'תקציב החברה לפיתוח 2025'!O102</f>
        <v>3150000</v>
      </c>
      <c r="P13" s="112">
        <f>'תקציב החברה לפיתוח 2025'!P102</f>
        <v>0</v>
      </c>
      <c r="Q13" s="112">
        <f>'תקציב החברה לפיתוח 2025'!Q102</f>
        <v>350000</v>
      </c>
      <c r="R13" s="112">
        <f>'תקציב החברה לפיתוח 2025'!R102</f>
        <v>0</v>
      </c>
      <c r="S13" s="112">
        <f>'תקציב החברה לפיתוח 2025'!S102</f>
        <v>350000</v>
      </c>
      <c r="T13" s="257">
        <f>'תקציב החברה לפיתוח 2025'!T102</f>
        <v>0</v>
      </c>
      <c r="U13" s="112">
        <f>'תקציב החברה לפיתוח 2025'!U102</f>
        <v>0</v>
      </c>
      <c r="V13" s="4">
        <f>'תקציב החברה לפיתוח 2025'!V102</f>
        <v>0</v>
      </c>
      <c r="W13" s="112">
        <f>'תקציב החברה לפיתוח 2025'!W102</f>
        <v>0</v>
      </c>
      <c r="X13" s="112">
        <f>'תקציב החברה לפיתוח 2025'!X102</f>
        <v>0</v>
      </c>
      <c r="Y13" s="112">
        <f>'תקציב החברה לפיתוח 2025'!Y102</f>
        <v>0</v>
      </c>
      <c r="Z13" s="112">
        <f>'תקציב החברה לפיתוח 2025'!Z102</f>
        <v>0</v>
      </c>
      <c r="AA13" s="112">
        <f>'תקציב החברה לפיתוח 2025'!AA102</f>
        <v>0</v>
      </c>
      <c r="AB13" s="660" t="str">
        <f>'תקציב החברה לפיתוח 2025'!AB102</f>
        <v>בדיקת מבנים לעמידות במקרה של רעידות אדמה.</v>
      </c>
      <c r="AC13" s="3">
        <f>'תקציב החברה לפיתוח 2025'!AC102</f>
        <v>732000</v>
      </c>
      <c r="AD13" s="123"/>
      <c r="AE13" s="123"/>
      <c r="AF13" s="123"/>
      <c r="AG13" s="123"/>
      <c r="AH13" s="123"/>
      <c r="AI13" s="123"/>
      <c r="AJ13" s="484"/>
      <c r="AK13" s="484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</row>
    <row r="14" spans="1:56" s="5" customFormat="1" ht="30">
      <c r="A14" s="112">
        <f t="shared" si="0"/>
        <v>9</v>
      </c>
      <c r="B14" s="19">
        <f>'תקציב החברה לפיתוח 2025'!B116</f>
        <v>20153</v>
      </c>
      <c r="C14" s="222" t="str">
        <f>'תקציב החברה לפיתוח 2025'!C116</f>
        <v>תכנון תב"ע תחנת שאיבה בפארק</v>
      </c>
      <c r="D14" s="112">
        <f>'תקציב החברה לפיתוח 2025'!D116</f>
        <v>700000</v>
      </c>
      <c r="E14" s="112">
        <f>'תקציב החברה לפיתוח 2025'!E116</f>
        <v>0</v>
      </c>
      <c r="F14" s="112">
        <f>'תקציב החברה לפיתוח 2025'!F116</f>
        <v>700000</v>
      </c>
      <c r="G14" s="112">
        <f>'תקציב החברה לפיתוח 2025'!G116</f>
        <v>0</v>
      </c>
      <c r="H14" s="112">
        <f>'תקציב החברה לפיתוח 2025'!H116</f>
        <v>0</v>
      </c>
      <c r="I14" s="112">
        <f>'תקציב החברה לפיתוח 2025'!I116</f>
        <v>0</v>
      </c>
      <c r="J14" s="112">
        <f>'תקציב החברה לפיתוח 2025'!J116</f>
        <v>0</v>
      </c>
      <c r="K14" s="112">
        <f>'תקציב החברה לפיתוח 2025'!K116</f>
        <v>0</v>
      </c>
      <c r="L14" s="112">
        <f>'תקציב החברה לפיתוח 2025'!L116</f>
        <v>0</v>
      </c>
      <c r="M14" s="112">
        <f>'תקציב החברה לפיתוח 2025'!M116</f>
        <v>0</v>
      </c>
      <c r="N14" s="112">
        <f>'תקציב החברה לפיתוח 2025'!N116</f>
        <v>700000</v>
      </c>
      <c r="O14" s="112">
        <f>'תקציב החברה לפיתוח 2025'!O116</f>
        <v>0</v>
      </c>
      <c r="P14" s="112">
        <f>'תקציב החברה לפיתוח 2025'!P116</f>
        <v>0</v>
      </c>
      <c r="Q14" s="112">
        <f>'תקציב החברה לפיתוח 2025'!Q116</f>
        <v>0</v>
      </c>
      <c r="R14" s="112">
        <f>'תקציב החברה לפיתוח 2025'!R116</f>
        <v>0</v>
      </c>
      <c r="S14" s="112">
        <f>'תקציב החברה לפיתוח 2025'!S116</f>
        <v>0</v>
      </c>
      <c r="T14" s="112">
        <f>'תקציב החברה לפיתוח 2025'!T116</f>
        <v>0</v>
      </c>
      <c r="U14" s="257">
        <f>'תקציב החברה לפיתוח 2025'!U116</f>
        <v>700000</v>
      </c>
      <c r="V14" s="112">
        <f>'תקציב החברה לפיתוח 2025'!V116</f>
        <v>400000</v>
      </c>
      <c r="W14" s="112">
        <f>'תקציב החברה לפיתוח 2025'!W116</f>
        <v>0</v>
      </c>
      <c r="X14" s="112">
        <f>'תקציב החברה לפיתוח 2025'!X116</f>
        <v>0</v>
      </c>
      <c r="Y14" s="112">
        <f>'תקציב החברה לפיתוח 2025'!Y116</f>
        <v>0</v>
      </c>
      <c r="Z14" s="112">
        <f>'תקציב החברה לפיתוח 2025'!Z116</f>
        <v>0</v>
      </c>
      <c r="AA14" s="112">
        <f>'תקציב החברה לפיתוח 2025'!AA116</f>
        <v>300000</v>
      </c>
      <c r="AB14" s="202" t="str">
        <f>'תקציב החברה לפיתוח 2025'!AB116</f>
        <v>תכנון תב"ע תחנת שאיבה. מימון רמ"י ("קרית השחקים").</v>
      </c>
      <c r="AC14" s="3">
        <f>'תקציב החברה לפיתוח 2025'!AC116</f>
        <v>732000</v>
      </c>
      <c r="AD14" s="123"/>
      <c r="AE14" s="123"/>
      <c r="AF14" s="123"/>
      <c r="AG14" s="123"/>
      <c r="AH14" s="123"/>
      <c r="AI14" s="123"/>
      <c r="AJ14" s="123"/>
      <c r="AK14" s="505"/>
      <c r="AL14" s="505"/>
      <c r="AM14" s="505"/>
      <c r="AN14" s="505"/>
      <c r="AO14" s="505"/>
      <c r="AP14" s="505"/>
      <c r="AQ14" s="505"/>
      <c r="AR14" s="505"/>
      <c r="AS14" s="123"/>
      <c r="AT14" s="123"/>
      <c r="AU14" s="123"/>
      <c r="AV14" s="123"/>
      <c r="AW14" s="123"/>
      <c r="AX14" s="123"/>
      <c r="AY14" s="123"/>
    </row>
    <row r="15" spans="1:56" s="126" customFormat="1" ht="30">
      <c r="A15" s="112">
        <f t="shared" si="0"/>
        <v>10</v>
      </c>
      <c r="B15" s="19">
        <f>'תקציב החברה לפיתוח 2025'!B117</f>
        <v>20154</v>
      </c>
      <c r="C15" s="222" t="str">
        <f>'תקציב החברה לפיתוח 2025'!C117</f>
        <v>בדיקת היתכנות לדיור בר השגה</v>
      </c>
      <c r="D15" s="112">
        <f>'תקציב החברה לפיתוח 2025'!D117</f>
        <v>750000</v>
      </c>
      <c r="E15" s="112">
        <f>'תקציב החברה לפיתוח 2025'!E117</f>
        <v>0</v>
      </c>
      <c r="F15" s="112">
        <f>'תקציב החברה לפיתוח 2025'!F117</f>
        <v>750000</v>
      </c>
      <c r="G15" s="112">
        <f>'תקציב החברה לפיתוח 2025'!G117</f>
        <v>0</v>
      </c>
      <c r="H15" s="112">
        <f>'תקציב החברה לפיתוח 2025'!H117</f>
        <v>0</v>
      </c>
      <c r="I15" s="112">
        <f>'תקציב החברה לפיתוח 2025'!I117</f>
        <v>0</v>
      </c>
      <c r="J15" s="112">
        <f>'תקציב החברה לפיתוח 2025'!J117</f>
        <v>0</v>
      </c>
      <c r="K15" s="112">
        <f>'תקציב החברה לפיתוח 2025'!K117</f>
        <v>0</v>
      </c>
      <c r="L15" s="112">
        <f>'תקציב החברה לפיתוח 2025'!L117</f>
        <v>0</v>
      </c>
      <c r="M15" s="112">
        <f>'תקציב החברה לפיתוח 2025'!M117</f>
        <v>0</v>
      </c>
      <c r="N15" s="112">
        <f>'תקציב החברה לפיתוח 2025'!N117</f>
        <v>750000</v>
      </c>
      <c r="O15" s="112">
        <f>'תקציב החברה לפיתוח 2025'!O117</f>
        <v>0</v>
      </c>
      <c r="P15" s="112">
        <f>'תקציב החברה לפיתוח 2025'!P117</f>
        <v>0</v>
      </c>
      <c r="Q15" s="112">
        <f>'תקציב החברה לפיתוח 2025'!Q117</f>
        <v>0</v>
      </c>
      <c r="R15" s="112">
        <f>'תקציב החברה לפיתוח 2025'!R117</f>
        <v>0</v>
      </c>
      <c r="S15" s="112">
        <f>'תקציב החברה לפיתוח 2025'!S117</f>
        <v>0</v>
      </c>
      <c r="T15" s="112">
        <f>'תקציב החברה לפיתוח 2025'!T117</f>
        <v>0</v>
      </c>
      <c r="U15" s="257">
        <f>'תקציב החברה לפיתוח 2025'!U117</f>
        <v>750000</v>
      </c>
      <c r="V15" s="112">
        <f>'תקציב החברה לפיתוח 2025'!V117</f>
        <v>750000</v>
      </c>
      <c r="W15" s="112">
        <f>'תקציב החברה לפיתוח 2025'!W117</f>
        <v>0</v>
      </c>
      <c r="X15" s="112">
        <f>'תקציב החברה לפיתוח 2025'!X117</f>
        <v>0</v>
      </c>
      <c r="Y15" s="112">
        <f>'תקציב החברה לפיתוח 2025'!Y117</f>
        <v>0</v>
      </c>
      <c r="Z15" s="112">
        <f>'תקציב החברה לפיתוח 2025'!Z117</f>
        <v>0</v>
      </c>
      <c r="AA15" s="112">
        <f>'תקציב החברה לפיתוח 2025'!AA117</f>
        <v>0</v>
      </c>
      <c r="AB15" s="202" t="str">
        <f>'תקציב החברה לפיתוח 2025'!AB117</f>
        <v>בדיקת היתכנות דיור בר השגה במתחמים ברחבי העיר.</v>
      </c>
      <c r="AC15" s="3">
        <f>'תקציב החברה לפיתוח 2025'!AC117</f>
        <v>732000</v>
      </c>
      <c r="AD15" s="123"/>
      <c r="AE15" s="123"/>
      <c r="AF15" s="123"/>
      <c r="AG15" s="123"/>
      <c r="AH15" s="123"/>
      <c r="AI15" s="123"/>
      <c r="AJ15" s="123"/>
      <c r="AK15" s="505"/>
      <c r="AL15" s="505"/>
      <c r="AM15" s="505"/>
      <c r="AN15" s="505"/>
      <c r="AO15" s="505"/>
      <c r="AP15" s="505"/>
      <c r="AQ15" s="505"/>
      <c r="AR15" s="505"/>
      <c r="AS15" s="123"/>
      <c r="AT15" s="123"/>
      <c r="AU15" s="123"/>
      <c r="AV15" s="123"/>
      <c r="AW15" s="123"/>
      <c r="AX15" s="123"/>
      <c r="AY15" s="123"/>
      <c r="AZ15" s="5"/>
      <c r="BA15" s="5"/>
      <c r="BB15" s="5"/>
      <c r="BC15" s="5"/>
      <c r="BD15" s="5"/>
    </row>
    <row r="16" spans="1:56" s="126" customFormat="1">
      <c r="A16" s="112">
        <f t="shared" ref="A16:A20" si="1">1+A15</f>
        <v>11</v>
      </c>
      <c r="B16" s="19">
        <f>'תקציב החברה לפיתוח 2025'!B122</f>
        <v>20159</v>
      </c>
      <c r="C16" s="222" t="str">
        <f>'תקציב החברה לפיתוח 2025'!C122</f>
        <v>אולפני הרצליה</v>
      </c>
      <c r="D16" s="112">
        <f>'תקציב החברה לפיתוח 2025'!D122</f>
        <v>36000000</v>
      </c>
      <c r="E16" s="112">
        <f>'תקציב החברה לפיתוח 2025'!E122</f>
        <v>0</v>
      </c>
      <c r="F16" s="112">
        <f>'תקציב החברה לפיתוח 2025'!F122</f>
        <v>36000000</v>
      </c>
      <c r="G16" s="112">
        <f>'תקציב החברה לפיתוח 2025'!G122</f>
        <v>0</v>
      </c>
      <c r="H16" s="112">
        <f>'תקציב החברה לפיתוח 2025'!H122</f>
        <v>0</v>
      </c>
      <c r="I16" s="112">
        <f>'תקציב החברה לפיתוח 2025'!I122</f>
        <v>0</v>
      </c>
      <c r="J16" s="112">
        <f>'תקציב החברה לפיתוח 2025'!J122</f>
        <v>0</v>
      </c>
      <c r="K16" s="112">
        <f>'תקציב החברה לפיתוח 2025'!K122</f>
        <v>0</v>
      </c>
      <c r="L16" s="112">
        <f>'תקציב החברה לפיתוח 2025'!L122</f>
        <v>0</v>
      </c>
      <c r="M16" s="112">
        <f>'תקציב החברה לפיתוח 2025'!M122</f>
        <v>0</v>
      </c>
      <c r="N16" s="112">
        <f>'תקציב החברה לפיתוח 2025'!N122</f>
        <v>500000</v>
      </c>
      <c r="O16" s="112">
        <f>'תקציב החברה לפיתוח 2025'!O122</f>
        <v>35500000</v>
      </c>
      <c r="P16" s="112">
        <f>'תקציב החברה לפיתוח 2025'!P122</f>
        <v>0</v>
      </c>
      <c r="Q16" s="112">
        <f>'תקציב החברה לפיתוח 2025'!Q122</f>
        <v>0</v>
      </c>
      <c r="R16" s="112">
        <f>'תקציב החברה לפיתוח 2025'!R122</f>
        <v>0</v>
      </c>
      <c r="S16" s="112">
        <f>'תקציב החברה לפיתוח 2025'!S122</f>
        <v>0</v>
      </c>
      <c r="T16" s="112">
        <f>'תקציב החברה לפיתוח 2025'!T122</f>
        <v>0</v>
      </c>
      <c r="U16" s="257">
        <f>'תקציב החברה לפיתוח 2025'!U122</f>
        <v>500000</v>
      </c>
      <c r="V16" s="112">
        <f>'תקציב החברה לפיתוח 2025'!V122</f>
        <v>500000</v>
      </c>
      <c r="W16" s="112">
        <f>'תקציב החברה לפיתוח 2025'!W122</f>
        <v>0</v>
      </c>
      <c r="X16" s="112">
        <f>'תקציב החברה לפיתוח 2025'!X122</f>
        <v>0</v>
      </c>
      <c r="Y16" s="112">
        <f>'תקציב החברה לפיתוח 2025'!Y122</f>
        <v>0</v>
      </c>
      <c r="Z16" s="112">
        <f>'תקציב החברה לפיתוח 2025'!Z122</f>
        <v>0</v>
      </c>
      <c r="AA16" s="112">
        <f>'תקציב החברה לפיתוח 2025'!AA122</f>
        <v>0</v>
      </c>
      <c r="AB16" s="202" t="str">
        <f>'תקציב החברה לפיתוח 2025'!AB122</f>
        <v>פיתוח תב"ע אולפני הרצליה.</v>
      </c>
      <c r="AC16" s="3">
        <f>'תקציב החברה לפיתוח 2025'!AC122</f>
        <v>732000</v>
      </c>
      <c r="AD16" s="123"/>
      <c r="AE16" s="123"/>
      <c r="AF16" s="123"/>
      <c r="AG16" s="123"/>
      <c r="AH16" s="123"/>
      <c r="AI16" s="123"/>
      <c r="AJ16" s="123"/>
      <c r="AK16" s="505"/>
      <c r="AL16" s="505"/>
      <c r="AM16" s="505"/>
      <c r="AN16" s="505"/>
      <c r="AO16" s="505"/>
      <c r="AP16" s="505"/>
      <c r="AQ16" s="505"/>
      <c r="AR16" s="505"/>
      <c r="AS16" s="123"/>
      <c r="AT16" s="123"/>
      <c r="AU16" s="123"/>
      <c r="AV16" s="123"/>
      <c r="AW16" s="123"/>
      <c r="AX16" s="123"/>
      <c r="AY16" s="123"/>
      <c r="AZ16" s="5"/>
      <c r="BA16" s="5"/>
      <c r="BB16" s="5"/>
      <c r="BC16" s="5"/>
      <c r="BD16" s="5"/>
    </row>
    <row r="17" spans="1:56" s="225" customFormat="1">
      <c r="A17" s="236"/>
      <c r="B17" s="20"/>
      <c r="C17" s="270" t="s">
        <v>1330</v>
      </c>
      <c r="D17" s="236">
        <f>SUM(D6:D16)</f>
        <v>62878521</v>
      </c>
      <c r="E17" s="236">
        <f t="shared" ref="E17:AA17" si="2">SUM(E6:E16)</f>
        <v>24628521</v>
      </c>
      <c r="F17" s="236">
        <f t="shared" si="2"/>
        <v>38250000</v>
      </c>
      <c r="G17" s="236">
        <f t="shared" si="2"/>
        <v>9045224</v>
      </c>
      <c r="H17" s="236">
        <f t="shared" si="2"/>
        <v>6123990</v>
      </c>
      <c r="I17" s="236">
        <f t="shared" si="2"/>
        <v>449944</v>
      </c>
      <c r="J17" s="236">
        <f t="shared" si="2"/>
        <v>474261</v>
      </c>
      <c r="K17" s="236">
        <f t="shared" si="2"/>
        <v>924205</v>
      </c>
      <c r="L17" s="236">
        <f t="shared" si="2"/>
        <v>7048195</v>
      </c>
      <c r="M17" s="236">
        <f t="shared" si="2"/>
        <v>2407029</v>
      </c>
      <c r="N17" s="236">
        <f t="shared" si="2"/>
        <v>4740000</v>
      </c>
      <c r="O17" s="236">
        <f t="shared" si="2"/>
        <v>48683297</v>
      </c>
      <c r="P17" s="236">
        <f t="shared" si="2"/>
        <v>1997029</v>
      </c>
      <c r="Q17" s="236">
        <f t="shared" si="2"/>
        <v>1500000</v>
      </c>
      <c r="R17" s="236">
        <f t="shared" si="2"/>
        <v>0</v>
      </c>
      <c r="S17" s="236">
        <f t="shared" si="2"/>
        <v>1500000</v>
      </c>
      <c r="T17" s="236">
        <f t="shared" si="2"/>
        <v>1090000</v>
      </c>
      <c r="U17" s="236">
        <f t="shared" si="2"/>
        <v>3650000</v>
      </c>
      <c r="V17" s="236">
        <f t="shared" si="2"/>
        <v>3350000</v>
      </c>
      <c r="W17" s="236">
        <f t="shared" si="2"/>
        <v>0</v>
      </c>
      <c r="X17" s="236">
        <f t="shared" si="2"/>
        <v>0</v>
      </c>
      <c r="Y17" s="236">
        <f t="shared" si="2"/>
        <v>0</v>
      </c>
      <c r="Z17" s="236">
        <f t="shared" si="2"/>
        <v>0</v>
      </c>
      <c r="AA17" s="236">
        <f t="shared" si="2"/>
        <v>300000</v>
      </c>
      <c r="AB17" s="263"/>
      <c r="AC17" s="20"/>
      <c r="AD17" s="232"/>
      <c r="AE17" s="232"/>
      <c r="AF17" s="232"/>
      <c r="AG17" s="232"/>
      <c r="AH17" s="232"/>
      <c r="AI17" s="232"/>
      <c r="AJ17" s="232"/>
      <c r="AK17" s="671"/>
      <c r="AL17" s="671"/>
      <c r="AM17" s="671"/>
      <c r="AN17" s="671"/>
      <c r="AO17" s="671"/>
      <c r="AP17" s="671"/>
      <c r="AQ17" s="671"/>
      <c r="AR17" s="671"/>
      <c r="AS17" s="232"/>
      <c r="AT17" s="232"/>
      <c r="AU17" s="232"/>
      <c r="AV17" s="232"/>
      <c r="AW17" s="232"/>
      <c r="AX17" s="232"/>
      <c r="AY17" s="232"/>
      <c r="AZ17" s="40"/>
      <c r="BA17" s="40"/>
      <c r="BB17" s="40"/>
      <c r="BC17" s="40"/>
      <c r="BD17" s="40"/>
    </row>
    <row r="18" spans="1:56" s="225" customFormat="1">
      <c r="A18" s="236"/>
      <c r="B18" s="20"/>
      <c r="C18" s="208">
        <v>74</v>
      </c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63"/>
      <c r="AC18" s="20"/>
      <c r="AD18" s="232"/>
      <c r="AE18" s="232"/>
      <c r="AF18" s="232"/>
      <c r="AG18" s="232"/>
      <c r="AH18" s="232"/>
      <c r="AI18" s="232"/>
      <c r="AJ18" s="232"/>
      <c r="AK18" s="671"/>
      <c r="AL18" s="671"/>
      <c r="AM18" s="671"/>
      <c r="AN18" s="671"/>
      <c r="AO18" s="671"/>
      <c r="AP18" s="671"/>
      <c r="AQ18" s="671"/>
      <c r="AR18" s="671"/>
      <c r="AS18" s="232"/>
      <c r="AT18" s="232"/>
      <c r="AU18" s="232"/>
      <c r="AV18" s="232"/>
      <c r="AW18" s="232"/>
      <c r="AX18" s="232"/>
      <c r="AY18" s="232"/>
      <c r="AZ18" s="40"/>
      <c r="BA18" s="40"/>
      <c r="BB18" s="40"/>
      <c r="BC18" s="40"/>
      <c r="BD18" s="40"/>
    </row>
    <row r="19" spans="1:56" s="126" customFormat="1" ht="30">
      <c r="A19" s="112">
        <f>1+A16</f>
        <v>12</v>
      </c>
      <c r="B19" s="127">
        <f>'תקציב החברה לפיתוח 2025'!B5</f>
        <v>382</v>
      </c>
      <c r="C19" s="222" t="str">
        <f>'תקציב החברה לפיתוח 2025'!C5</f>
        <v xml:space="preserve">מערכת כבישים   באזור תעשייה מערבי </v>
      </c>
      <c r="D19" s="112">
        <f>'תקציב החברה לפיתוח 2025'!D5</f>
        <v>111381330</v>
      </c>
      <c r="E19" s="112">
        <f>'תקציב החברה לפיתוח 2025'!E5</f>
        <v>111381330</v>
      </c>
      <c r="F19" s="112">
        <f>'תקציב החברה לפיתוח 2025'!F5</f>
        <v>0</v>
      </c>
      <c r="G19" s="112">
        <f>'תקציב החברה לפיתוח 2025'!G5</f>
        <v>72381330</v>
      </c>
      <c r="H19" s="112">
        <f>'תקציב החברה לפיתוח 2025'!H5</f>
        <v>67060829</v>
      </c>
      <c r="I19" s="112">
        <f>'תקציב החברה לפיתוח 2025'!I5</f>
        <v>0</v>
      </c>
      <c r="J19" s="112">
        <f>'תקציב החברה לפיתוח 2025'!J5</f>
        <v>3766894</v>
      </c>
      <c r="K19" s="112">
        <f>'תקציב החברה לפיתוח 2025'!K5</f>
        <v>3766894</v>
      </c>
      <c r="L19" s="112">
        <f>'תקציב החברה לפיתוח 2025'!L5</f>
        <v>70827723</v>
      </c>
      <c r="M19" s="112">
        <f>'תקציב החברה לפיתוח 2025'!M5</f>
        <v>1553607</v>
      </c>
      <c r="N19" s="112">
        <f>'תקציב החברה לפיתוח 2025'!N5</f>
        <v>6100000</v>
      </c>
      <c r="O19" s="112">
        <f>'תקציב החברה לפיתוח 2025'!O5</f>
        <v>32900000</v>
      </c>
      <c r="P19" s="112">
        <f>'תקציב החברה לפיתוח 2025'!P5</f>
        <v>1553607</v>
      </c>
      <c r="Q19" s="112">
        <f>'תקציב החברה לפיתוח 2025'!Q5</f>
        <v>0</v>
      </c>
      <c r="R19" s="112">
        <f>'תקציב החברה לפיתוח 2025'!R5</f>
        <v>0</v>
      </c>
      <c r="S19" s="112">
        <f>'תקציב החברה לפיתוח 2025'!S5</f>
        <v>0</v>
      </c>
      <c r="T19" s="112">
        <f>'תקציב החברה לפיתוח 2025'!T5</f>
        <v>0</v>
      </c>
      <c r="U19" s="257">
        <f>'תקציב החברה לפיתוח 2025'!U5</f>
        <v>6100000</v>
      </c>
      <c r="V19" s="112">
        <f>'תקציב החברה לפיתוח 2025'!V5</f>
        <v>500000</v>
      </c>
      <c r="W19" s="112">
        <f>'תקציב החברה לפיתוח 2025'!W5</f>
        <v>0</v>
      </c>
      <c r="X19" s="112">
        <f>'תקציב החברה לפיתוח 2025'!X5</f>
        <v>0</v>
      </c>
      <c r="Y19" s="112">
        <f>'תקציב החברה לפיתוח 2025'!Y5</f>
        <v>5600000</v>
      </c>
      <c r="Z19" s="112">
        <f>'תקציב החברה לפיתוח 2025'!Z5</f>
        <v>0</v>
      </c>
      <c r="AA19" s="112">
        <f>'תקציב החברה לפיתוח 2025'!AA5</f>
        <v>0</v>
      </c>
      <c r="AB19" s="207" t="str">
        <f>'תקציב החברה לפיתוח 2025'!AB5</f>
        <v>המשך ביצוע עבודות במתחם.  2025 : משכית.</v>
      </c>
      <c r="AC19" s="127">
        <f>'תקציב החברה לפיתוח 2025'!AC5</f>
        <v>742000</v>
      </c>
      <c r="AD19" s="123"/>
      <c r="AE19" s="123"/>
      <c r="AF19" s="123"/>
      <c r="AG19" s="123"/>
      <c r="AH19" s="123"/>
      <c r="AI19" s="123"/>
      <c r="AJ19" s="123"/>
      <c r="AK19" s="505"/>
      <c r="AL19" s="505"/>
      <c r="AM19" s="505"/>
      <c r="AN19" s="505"/>
      <c r="AO19" s="505"/>
      <c r="AP19" s="505"/>
      <c r="AQ19" s="505"/>
      <c r="AR19" s="505"/>
      <c r="AS19" s="123"/>
      <c r="AT19" s="123"/>
      <c r="AU19" s="123"/>
      <c r="AV19" s="123"/>
      <c r="AW19" s="123"/>
      <c r="AX19" s="123"/>
      <c r="AY19" s="123"/>
      <c r="AZ19" s="206"/>
      <c r="BA19" s="206"/>
      <c r="BB19" s="206"/>
      <c r="BC19" s="206"/>
      <c r="BD19" s="206"/>
    </row>
    <row r="20" spans="1:56" s="5" customFormat="1">
      <c r="A20" s="112">
        <f t="shared" si="1"/>
        <v>13</v>
      </c>
      <c r="B20" s="127">
        <f>'תקציב החברה לפיתוח 2025'!B7</f>
        <v>1067</v>
      </c>
      <c r="C20" s="222" t="str">
        <f>'תקציב החברה לפיתוח 2025'!C7</f>
        <v>עבודות פיתוח קטנות</v>
      </c>
      <c r="D20" s="112">
        <f>'תקציב החברה לפיתוח 2025'!D7</f>
        <v>5675000</v>
      </c>
      <c r="E20" s="112">
        <f>'תקציב החברה לפיתוח 2025'!E7</f>
        <v>5475000</v>
      </c>
      <c r="F20" s="112">
        <f>'תקציב החברה לפיתוח 2025'!F7</f>
        <v>200000</v>
      </c>
      <c r="G20" s="112">
        <f>'תקציב החברה לפיתוח 2025'!G7</f>
        <v>4975000</v>
      </c>
      <c r="H20" s="112">
        <f>'תקציב החברה לפיתוח 2025'!H7</f>
        <v>4792332</v>
      </c>
      <c r="I20" s="112">
        <f>'תקציב החברה לפיתוח 2025'!I7</f>
        <v>0</v>
      </c>
      <c r="J20" s="112">
        <f>'תקציב החברה לפיתוח 2025'!J7</f>
        <v>113500</v>
      </c>
      <c r="K20" s="112">
        <f>'תקציב החברה לפיתוח 2025'!K7</f>
        <v>113500</v>
      </c>
      <c r="L20" s="112">
        <f>'תקציב החברה לפיתוח 2025'!L7</f>
        <v>4905832</v>
      </c>
      <c r="M20" s="112">
        <f>'תקציב החברה לפיתוח 2025'!M7</f>
        <v>269168</v>
      </c>
      <c r="N20" s="112">
        <f>'תקציב החברה לפיתוח 2025'!N7</f>
        <v>500000</v>
      </c>
      <c r="O20" s="112">
        <f>'תקציב החברה לפיתוח 2025'!O7</f>
        <v>0</v>
      </c>
      <c r="P20" s="112">
        <f>'תקציב החברה לפיתוח 2025'!P7</f>
        <v>69168</v>
      </c>
      <c r="Q20" s="112">
        <f>'תקציב החברה לפיתוח 2025'!Q7</f>
        <v>200000</v>
      </c>
      <c r="R20" s="112">
        <f>'תקציב החברה לפיתוח 2025'!R7</f>
        <v>0</v>
      </c>
      <c r="S20" s="112">
        <f>'תקציב החברה לפיתוח 2025'!S7</f>
        <v>200000</v>
      </c>
      <c r="T20" s="112">
        <f>'תקציב החברה לפיתוח 2025'!T7</f>
        <v>0</v>
      </c>
      <c r="U20" s="257">
        <f>'תקציב החברה לפיתוח 2025'!U7</f>
        <v>500000</v>
      </c>
      <c r="V20" s="112">
        <f>'תקציב החברה לפיתוח 2025'!V7</f>
        <v>500000</v>
      </c>
      <c r="W20" s="112">
        <f>'תקציב החברה לפיתוח 2025'!W7</f>
        <v>0</v>
      </c>
      <c r="X20" s="112">
        <f>'תקציב החברה לפיתוח 2025'!X7</f>
        <v>0</v>
      </c>
      <c r="Y20" s="112">
        <f>'תקציב החברה לפיתוח 2025'!Y7</f>
        <v>0</v>
      </c>
      <c r="Z20" s="112">
        <f>'תקציב החברה לפיתוח 2025'!Z7</f>
        <v>0</v>
      </c>
      <c r="AA20" s="127">
        <f>'תקציב החברה לפיתוח 2025'!AA7</f>
        <v>0</v>
      </c>
      <c r="AB20" s="210" t="str">
        <f>'תקציב החברה לפיתוח 2025'!AB7</f>
        <v>סל עבודות קטנות עפ"י דרישה.</v>
      </c>
      <c r="AC20" s="127">
        <f>'תקציב החברה לפיתוח 2025'!AC7</f>
        <v>742000</v>
      </c>
      <c r="AD20" s="123"/>
      <c r="AE20" s="123"/>
      <c r="AF20" s="123"/>
      <c r="AG20" s="123"/>
      <c r="AH20" s="123"/>
      <c r="AI20" s="123"/>
      <c r="AJ20" s="123"/>
      <c r="AK20" s="505"/>
      <c r="AL20" s="505"/>
      <c r="AM20" s="505"/>
      <c r="AN20" s="505"/>
      <c r="AO20" s="505"/>
      <c r="AP20" s="505"/>
      <c r="AQ20" s="505"/>
      <c r="AR20" s="505"/>
      <c r="AS20" s="123"/>
      <c r="AT20" s="123"/>
      <c r="AU20" s="123"/>
      <c r="AV20" s="123"/>
      <c r="AW20" s="123"/>
      <c r="AX20" s="123"/>
      <c r="AY20" s="123"/>
    </row>
    <row r="21" spans="1:56" s="126" customFormat="1" ht="30">
      <c r="A21" s="112">
        <f t="shared" ref="A21:A67" si="3">1+A20</f>
        <v>14</v>
      </c>
      <c r="B21" s="127">
        <f>'תקציב החברה לפיתוח 2025'!B8</f>
        <v>1207</v>
      </c>
      <c r="C21" s="222" t="str">
        <f>'תקציב החברה לפיתוח 2025'!C8</f>
        <v>מתחם זרובבל</v>
      </c>
      <c r="D21" s="112">
        <f>'תקציב החברה לפיתוח 2025'!D8</f>
        <v>45650000</v>
      </c>
      <c r="E21" s="112">
        <f>'תקציב החברה לפיתוח 2025'!E8</f>
        <v>45650000</v>
      </c>
      <c r="F21" s="112">
        <f>'תקציב החברה לפיתוח 2025'!F8</f>
        <v>0</v>
      </c>
      <c r="G21" s="112">
        <f>'תקציב החברה לפיתוח 2025'!G8</f>
        <v>43370000</v>
      </c>
      <c r="H21" s="112">
        <f>'תקציב החברה לפיתוח 2025'!H8</f>
        <v>43349903</v>
      </c>
      <c r="I21" s="112">
        <f>'תקציב החברה לפיתוח 2025'!I8</f>
        <v>0</v>
      </c>
      <c r="J21" s="112">
        <f>'תקציב החברה לפיתוח 2025'!J8</f>
        <v>0</v>
      </c>
      <c r="K21" s="112">
        <f>'תקציב החברה לפיתוח 2025'!K8</f>
        <v>0</v>
      </c>
      <c r="L21" s="112">
        <f>'תקציב החברה לפיתוח 2025'!L8</f>
        <v>43349903</v>
      </c>
      <c r="M21" s="112">
        <f>'תקציב החברה לפיתוח 2025'!M8</f>
        <v>20097</v>
      </c>
      <c r="N21" s="112">
        <f>'תקציב החברה לפיתוח 2025'!N8</f>
        <v>0</v>
      </c>
      <c r="O21" s="112">
        <f>'תקציב החברה לפיתוח 2025'!O8</f>
        <v>2280000</v>
      </c>
      <c r="P21" s="112">
        <f>'תקציב החברה לפיתוח 2025'!P8</f>
        <v>20097</v>
      </c>
      <c r="Q21" s="112">
        <f>'תקציב החברה לפיתוח 2025'!Q8</f>
        <v>0</v>
      </c>
      <c r="R21" s="112">
        <f>'תקציב החברה לפיתוח 2025'!R8</f>
        <v>0</v>
      </c>
      <c r="S21" s="112">
        <f>'תקציב החברה לפיתוח 2025'!S8</f>
        <v>0</v>
      </c>
      <c r="T21" s="112">
        <f>'תקציב החברה לפיתוח 2025'!T8</f>
        <v>0</v>
      </c>
      <c r="U21" s="257">
        <f>'תקציב החברה לפיתוח 2025'!U8</f>
        <v>0</v>
      </c>
      <c r="V21" s="112">
        <f>'תקציב החברה לפיתוח 2025'!V8</f>
        <v>0</v>
      </c>
      <c r="W21" s="112">
        <f>'תקציב החברה לפיתוח 2025'!W8</f>
        <v>0</v>
      </c>
      <c r="X21" s="112">
        <f>'תקציב החברה לפיתוח 2025'!X8</f>
        <v>0</v>
      </c>
      <c r="Y21" s="112">
        <f>'תקציב החברה לפיתוח 2025'!Y8</f>
        <v>0</v>
      </c>
      <c r="Z21" s="112">
        <f>'תקציב החברה לפיתוח 2025'!Z8</f>
        <v>0</v>
      </c>
      <c r="AA21" s="127">
        <f>'תקציב החברה לפיתוח 2025'!AA8</f>
        <v>0</v>
      </c>
      <c r="AB21" s="210" t="str">
        <f>'תקציב החברה לפיתוח 2025'!AB8</f>
        <v xml:space="preserve">המשך עבודות פיתוח במתחם. פיתוח השצ"פ. </v>
      </c>
      <c r="AC21" s="127">
        <f>'תקציב החברה לפיתוח 2025'!AC8</f>
        <v>742000</v>
      </c>
      <c r="AD21" s="123"/>
      <c r="AE21" s="123"/>
      <c r="AF21" s="123"/>
      <c r="AG21" s="123"/>
      <c r="AH21" s="123"/>
      <c r="AI21" s="123"/>
      <c r="AJ21" s="123"/>
      <c r="AK21" s="505"/>
      <c r="AL21" s="505"/>
      <c r="AM21" s="505"/>
      <c r="AN21" s="505"/>
      <c r="AO21" s="505"/>
      <c r="AP21" s="505"/>
      <c r="AQ21" s="505"/>
      <c r="AR21" s="505"/>
      <c r="AS21" s="123"/>
      <c r="AT21" s="123"/>
      <c r="AU21" s="123"/>
      <c r="AV21" s="123"/>
      <c r="AW21" s="123"/>
      <c r="AX21" s="123"/>
      <c r="AY21" s="123"/>
      <c r="AZ21" s="5"/>
      <c r="BA21" s="5"/>
      <c r="BB21" s="5"/>
      <c r="BC21" s="5"/>
      <c r="BD21" s="5"/>
    </row>
    <row r="22" spans="1:56" s="5" customFormat="1" ht="45">
      <c r="A22" s="112">
        <f t="shared" si="3"/>
        <v>15</v>
      </c>
      <c r="B22" s="127">
        <f>'תקציב החברה לפיתוח 2025'!B9</f>
        <v>1238</v>
      </c>
      <c r="C22" s="222" t="str">
        <f>'תקציב החברה לפיתוח 2025'!C9</f>
        <v xml:space="preserve">פיתוח   פארק רבין </v>
      </c>
      <c r="D22" s="112">
        <f>'תקציב החברה לפיתוח 2025'!D9</f>
        <v>40500000</v>
      </c>
      <c r="E22" s="112">
        <f>'תקציב החברה לפיתוח 2025'!E9</f>
        <v>40500000</v>
      </c>
      <c r="F22" s="112">
        <f>'תקציב החברה לפיתוח 2025'!F9</f>
        <v>0</v>
      </c>
      <c r="G22" s="112">
        <f>'תקציב החברה לפיתוח 2025'!G9</f>
        <v>29000000</v>
      </c>
      <c r="H22" s="112">
        <f>'תקציב החברה לפיתוח 2025'!H9</f>
        <v>28114558</v>
      </c>
      <c r="I22" s="112">
        <f>'תקציב החברה לפיתוח 2025'!I9</f>
        <v>0</v>
      </c>
      <c r="J22" s="112">
        <f>'תקציב החברה לפיתוח 2025'!J9</f>
        <v>657578</v>
      </c>
      <c r="K22" s="112">
        <f>'תקציב החברה לפיתוח 2025'!K9</f>
        <v>657578</v>
      </c>
      <c r="L22" s="112">
        <f>'תקציב החברה לפיתוח 2025'!L9</f>
        <v>28772136</v>
      </c>
      <c r="M22" s="112">
        <f>'תקציב החברה לפיתוח 2025'!M9</f>
        <v>4227864</v>
      </c>
      <c r="N22" s="112">
        <f>'תקציב החברה לפיתוח 2025'!N9</f>
        <v>5500000</v>
      </c>
      <c r="O22" s="112">
        <f>'תקציב החברה לפיתוח 2025'!O9</f>
        <v>2000000</v>
      </c>
      <c r="P22" s="112">
        <f>'תקציב החברה לפיתוח 2025'!P9</f>
        <v>227864</v>
      </c>
      <c r="Q22" s="112">
        <f>'תקציב החברה לפיתוח 2025'!Q9</f>
        <v>4000000</v>
      </c>
      <c r="R22" s="112">
        <f>'תקציב החברה לפיתוח 2025'!R9</f>
        <v>0</v>
      </c>
      <c r="S22" s="112">
        <f>'תקציב החברה לפיתוח 2025'!S9</f>
        <v>4000000</v>
      </c>
      <c r="T22" s="112">
        <f>'תקציב החברה לפיתוח 2025'!T9</f>
        <v>0</v>
      </c>
      <c r="U22" s="257">
        <f>'תקציב החברה לפיתוח 2025'!U9</f>
        <v>5500000</v>
      </c>
      <c r="V22" s="112">
        <f>'תקציב החברה לפיתוח 2025'!V9</f>
        <v>3730988</v>
      </c>
      <c r="W22" s="112">
        <f>'תקציב החברה לפיתוח 2025'!W9</f>
        <v>0</v>
      </c>
      <c r="X22" s="112">
        <f>'תקציב החברה לפיתוח 2025'!X9</f>
        <v>0</v>
      </c>
      <c r="Y22" s="112">
        <f>'תקציב החברה לפיתוח 2025'!Y9</f>
        <v>0</v>
      </c>
      <c r="Z22" s="112">
        <f>'תקציב החברה לפיתוח 2025'!Z9</f>
        <v>0</v>
      </c>
      <c r="AA22" s="112">
        <f>'תקציב החברה לפיתוח 2025'!AA9</f>
        <v>1769012</v>
      </c>
      <c r="AB22" s="222" t="str">
        <f>'תקציב החברה לפיתוח 2025'!AB9</f>
        <v>השלמת ביצוע פארק רבין צפון. מימון רמ"י ( שצ"פים מכרזי "בית קורקס" , "אולפני קסם").</v>
      </c>
      <c r="AC22" s="127">
        <f>'תקציב החברה לפיתוח 2025'!AC9</f>
        <v>742000</v>
      </c>
      <c r="AD22" s="123"/>
      <c r="AE22" s="123"/>
      <c r="AF22" s="123"/>
      <c r="AG22" s="123"/>
      <c r="AH22" s="123"/>
      <c r="AI22" s="123"/>
      <c r="AJ22" s="123"/>
      <c r="AK22" s="505"/>
      <c r="AL22" s="505"/>
      <c r="AM22" s="505"/>
      <c r="AN22" s="505"/>
      <c r="AO22" s="505"/>
      <c r="AP22" s="505"/>
      <c r="AQ22" s="505"/>
      <c r="AR22" s="505"/>
      <c r="AS22" s="123"/>
      <c r="AT22" s="123"/>
      <c r="AU22" s="123"/>
      <c r="AV22" s="123"/>
      <c r="AW22" s="123"/>
      <c r="AX22" s="123"/>
      <c r="AY22" s="123"/>
      <c r="AZ22" s="128"/>
      <c r="BA22" s="128"/>
      <c r="BB22" s="128"/>
      <c r="BC22" s="128"/>
      <c r="BD22" s="128"/>
    </row>
    <row r="23" spans="1:56" s="5" customFormat="1" ht="30">
      <c r="A23" s="112">
        <f t="shared" si="3"/>
        <v>16</v>
      </c>
      <c r="B23" s="127">
        <f>'תקציב החברה לפיתוח 2025'!B10</f>
        <v>1298</v>
      </c>
      <c r="C23" s="222" t="str">
        <f>'תקציב החברה לפיתוח 2025'!C10</f>
        <v>תכנונים כלליים</v>
      </c>
      <c r="D23" s="112">
        <f>'תקציב החברה לפיתוח 2025'!D10</f>
        <v>7570000</v>
      </c>
      <c r="E23" s="112">
        <f>'תקציב החברה לפיתוח 2025'!E10</f>
        <v>6770000</v>
      </c>
      <c r="F23" s="112">
        <f>'תקציב החברה לפיתוח 2025'!F10</f>
        <v>800000</v>
      </c>
      <c r="G23" s="112">
        <f>'תקציב החברה לפיתוח 2025'!G10</f>
        <v>6100000</v>
      </c>
      <c r="H23" s="112">
        <f>'תקציב החברה לפיתוח 2025'!H10</f>
        <v>5896692</v>
      </c>
      <c r="I23" s="112">
        <f>'תקציב החברה לפיתוח 2025'!I10</f>
        <v>0</v>
      </c>
      <c r="J23" s="112">
        <f>'תקציב החברה לפיתוח 2025'!J10</f>
        <v>130240</v>
      </c>
      <c r="K23" s="112">
        <f>'תקציב החברה לפיתוח 2025'!K10</f>
        <v>130240</v>
      </c>
      <c r="L23" s="112">
        <f>'תקציב החברה לפיתוח 2025'!L10</f>
        <v>6026932</v>
      </c>
      <c r="M23" s="112">
        <f>'תקציב החברה לפיתוח 2025'!M10</f>
        <v>743068</v>
      </c>
      <c r="N23" s="112">
        <f>'תקציב החברה לפיתוח 2025'!N10</f>
        <v>800000</v>
      </c>
      <c r="O23" s="112">
        <f>'תקציב החברה לפיתוח 2025'!O10</f>
        <v>0</v>
      </c>
      <c r="P23" s="112">
        <f>'תקציב החברה לפיתוח 2025'!P10</f>
        <v>73068</v>
      </c>
      <c r="Q23" s="112">
        <f>'תקציב החברה לפיתוח 2025'!Q10</f>
        <v>270000</v>
      </c>
      <c r="R23" s="112">
        <f>'תקציב החברה לפיתוח 2025'!R10</f>
        <v>400000</v>
      </c>
      <c r="S23" s="112">
        <f>'תקציב החברה לפיתוח 2025'!S10</f>
        <v>670000</v>
      </c>
      <c r="T23" s="112">
        <f>'תקציב החברה לפיתוח 2025'!T10</f>
        <v>0</v>
      </c>
      <c r="U23" s="257">
        <f>'תקציב החברה לפיתוח 2025'!U10</f>
        <v>800000</v>
      </c>
      <c r="V23" s="112">
        <f>'תקציב החברה לפיתוח 2025'!V10</f>
        <v>500000</v>
      </c>
      <c r="W23" s="112">
        <f>'תקציב החברה לפיתוח 2025'!W10</f>
        <v>0</v>
      </c>
      <c r="X23" s="112">
        <f>'תקציב החברה לפיתוח 2025'!X10</f>
        <v>0</v>
      </c>
      <c r="Y23" s="112">
        <f>'תקציב החברה לפיתוח 2025'!Y10</f>
        <v>0</v>
      </c>
      <c r="Z23" s="112">
        <f>'תקציב החברה לפיתוח 2025'!Z10</f>
        <v>0</v>
      </c>
      <c r="AA23" s="112">
        <f>'תקציב החברה לפיתוח 2025'!AA10</f>
        <v>300000</v>
      </c>
      <c r="AB23" s="210" t="str">
        <f>'תקציב החברה לפיתוח 2025'!AB10</f>
        <v>סל עבודות תכנון עפ"י דרישה.כולל ייעוץ הסכם גג רמי. מימון רמ"י .</v>
      </c>
      <c r="AC23" s="127">
        <f>'תקציב החברה לפיתוח 2025'!AC10</f>
        <v>742000</v>
      </c>
      <c r="AD23" s="123"/>
      <c r="AE23" s="123"/>
      <c r="AF23" s="123"/>
      <c r="AG23" s="123"/>
      <c r="AH23" s="123"/>
      <c r="AI23" s="123"/>
      <c r="AJ23" s="123"/>
      <c r="AK23" s="505"/>
      <c r="AL23" s="505"/>
      <c r="AM23" s="505"/>
      <c r="AN23" s="505"/>
      <c r="AO23" s="505"/>
      <c r="AP23" s="505"/>
      <c r="AQ23" s="505"/>
      <c r="AR23" s="505"/>
      <c r="AS23" s="123"/>
      <c r="AT23" s="123"/>
      <c r="AU23" s="123"/>
      <c r="AV23" s="123"/>
      <c r="AW23" s="123"/>
      <c r="AX23" s="123"/>
      <c r="AY23" s="123"/>
    </row>
    <row r="24" spans="1:56" s="126" customFormat="1" ht="45">
      <c r="A24" s="112">
        <f t="shared" si="3"/>
        <v>17</v>
      </c>
      <c r="B24" s="3">
        <f>'תקציב החברה לפיתוח 2025'!B11</f>
        <v>1322</v>
      </c>
      <c r="C24" s="202" t="str">
        <f>'תקציב החברה לפיתוח 2025'!C11</f>
        <v>מתחם נוף ים פיתוח</v>
      </c>
      <c r="D24" s="112">
        <f>'תקציב החברה לפיתוח 2025'!D11</f>
        <v>18500000</v>
      </c>
      <c r="E24" s="112">
        <f>'תקציב החברה לפיתוח 2025'!E11</f>
        <v>18500000</v>
      </c>
      <c r="F24" s="112">
        <f>'תקציב החברה לפיתוח 2025'!F11</f>
        <v>0</v>
      </c>
      <c r="G24" s="112">
        <f>'תקציב החברה לפיתוח 2025'!G11</f>
        <v>10850000</v>
      </c>
      <c r="H24" s="112">
        <f>'תקציב החברה לפיתוח 2025'!H11</f>
        <v>9799391</v>
      </c>
      <c r="I24" s="112">
        <f>'תקציב החברה לפיתוח 2025'!I11</f>
        <v>0</v>
      </c>
      <c r="J24" s="112">
        <f>'תקציב החברה לפיתוח 2025'!J11</f>
        <v>0</v>
      </c>
      <c r="K24" s="112">
        <f>'תקציב החברה לפיתוח 2025'!K11</f>
        <v>0</v>
      </c>
      <c r="L24" s="112">
        <f>'תקציב החברה לפיתוח 2025'!L11</f>
        <v>9799391</v>
      </c>
      <c r="M24" s="112">
        <f>'תקציב החברה לפיתוח 2025'!M11</f>
        <v>1050609</v>
      </c>
      <c r="N24" s="112">
        <f>'תקציב החברה לפיתוח 2025'!N11</f>
        <v>0</v>
      </c>
      <c r="O24" s="112">
        <f>'תקציב החברה לפיתוח 2025'!O11</f>
        <v>7650000</v>
      </c>
      <c r="P24" s="112">
        <f>'תקציב החברה לפיתוח 2025'!P11</f>
        <v>1050609</v>
      </c>
      <c r="Q24" s="112">
        <f>'תקציב החברה לפיתוח 2025'!Q11</f>
        <v>0</v>
      </c>
      <c r="R24" s="112">
        <f>'תקציב החברה לפיתוח 2025'!R11</f>
        <v>0</v>
      </c>
      <c r="S24" s="112">
        <f>'תקציב החברה לפיתוח 2025'!S11</f>
        <v>0</v>
      </c>
      <c r="T24" s="112">
        <f>'תקציב החברה לפיתוח 2025'!T11</f>
        <v>0</v>
      </c>
      <c r="U24" s="257">
        <f>'תקציב החברה לפיתוח 2025'!U11</f>
        <v>0</v>
      </c>
      <c r="V24" s="112">
        <f>'תקציב החברה לפיתוח 2025'!V11</f>
        <v>0</v>
      </c>
      <c r="W24" s="112">
        <f>'תקציב החברה לפיתוח 2025'!W11</f>
        <v>0</v>
      </c>
      <c r="X24" s="112">
        <f>'תקציב החברה לפיתוח 2025'!X11</f>
        <v>0</v>
      </c>
      <c r="Y24" s="112">
        <f>'תקציב החברה לפיתוח 2025'!Y11</f>
        <v>0</v>
      </c>
      <c r="Z24" s="112">
        <f>'תקציב החברה לפיתוח 2025'!Z11</f>
        <v>0</v>
      </c>
      <c r="AA24" s="127">
        <f>'תקציב החברה לפיתוח 2025'!AA11</f>
        <v>0</v>
      </c>
      <c r="AB24" s="202" t="str">
        <f>'תקציב החברה לפיתוח 2025'!AB11</f>
        <v>ביצוע תשתיות רח' הנשיא מחיבורו לשער הים עד הצומת רח' הפועל התאנה כולל הטמנת רשת חשמל.</v>
      </c>
      <c r="AC24" s="3">
        <f>'תקציב החברה לפיתוח 2025'!AC11</f>
        <v>742000</v>
      </c>
      <c r="AD24" s="123"/>
      <c r="AE24" s="123"/>
      <c r="AF24" s="123"/>
      <c r="AG24" s="123"/>
      <c r="AH24" s="123"/>
      <c r="AI24" s="123"/>
      <c r="AJ24" s="123"/>
      <c r="AK24" s="505"/>
      <c r="AL24" s="505"/>
      <c r="AM24" s="505"/>
      <c r="AN24" s="505"/>
      <c r="AO24" s="505"/>
      <c r="AP24" s="505"/>
      <c r="AQ24" s="505"/>
      <c r="AR24" s="505"/>
      <c r="AS24" s="123"/>
      <c r="AT24" s="123"/>
      <c r="AU24" s="123"/>
      <c r="AV24" s="123"/>
      <c r="AW24" s="123"/>
      <c r="AX24" s="123"/>
      <c r="AY24" s="123"/>
    </row>
    <row r="25" spans="1:56" s="5" customFormat="1" ht="45">
      <c r="A25" s="112">
        <f t="shared" si="3"/>
        <v>18</v>
      </c>
      <c r="B25" s="127">
        <f>'תקציב החברה לפיתוח 2025'!B14</f>
        <v>1547</v>
      </c>
      <c r="C25" s="222" t="str">
        <f>'תקציב החברה לפיתוח 2025'!C14</f>
        <v>פיתוח מתחם גליל ים הר' 1985 א'</v>
      </c>
      <c r="D25" s="112">
        <f>'תקציב החברה לפיתוח 2025'!D14</f>
        <v>144000000</v>
      </c>
      <c r="E25" s="112">
        <f>'תקציב החברה לפיתוח 2025'!E14</f>
        <v>144000000</v>
      </c>
      <c r="F25" s="112">
        <f>'תקציב החברה לפיתוח 2025'!F14</f>
        <v>0</v>
      </c>
      <c r="G25" s="112">
        <f>'תקציב החברה לפיתוח 2025'!G14</f>
        <v>114650000</v>
      </c>
      <c r="H25" s="112">
        <f>'תקציב החברה לפיתוח 2025'!H14</f>
        <v>114334499</v>
      </c>
      <c r="I25" s="112">
        <f>'תקציב החברה לפיתוח 2025'!I14</f>
        <v>0</v>
      </c>
      <c r="J25" s="112">
        <f>'תקציב החברה לפיתוח 2025'!J14</f>
        <v>8286</v>
      </c>
      <c r="K25" s="112">
        <f>'תקציב החברה לפיתוח 2025'!K14</f>
        <v>8286</v>
      </c>
      <c r="L25" s="112">
        <f>'תקציב החברה לפיתוח 2025'!L14</f>
        <v>114342785</v>
      </c>
      <c r="M25" s="112">
        <f>'תקציב החברה לפיתוח 2025'!M14</f>
        <v>4895327</v>
      </c>
      <c r="N25" s="112">
        <f>'תקציב החברה לפיתוח 2025'!N14</f>
        <v>0</v>
      </c>
      <c r="O25" s="112">
        <f>'תקציב החברה לפיתוח 2025'!O14</f>
        <v>24761888</v>
      </c>
      <c r="P25" s="112">
        <f>'תקציב החברה לפיתוח 2025'!P14</f>
        <v>307215</v>
      </c>
      <c r="Q25" s="112">
        <f>'תקציב החברה לפיתוח 2025'!Q14</f>
        <v>4588112</v>
      </c>
      <c r="R25" s="112">
        <f>'תקציב החברה לפיתוח 2025'!R14</f>
        <v>0</v>
      </c>
      <c r="S25" s="112">
        <f>'תקציב החברה לפיתוח 2025'!S14</f>
        <v>4588112</v>
      </c>
      <c r="T25" s="112">
        <f>'תקציב החברה לפיתוח 2025'!T14</f>
        <v>0</v>
      </c>
      <c r="U25" s="257">
        <f>'תקציב החברה לפיתוח 2025'!U14</f>
        <v>0</v>
      </c>
      <c r="V25" s="112">
        <f>'תקציב החברה לפיתוח 2025'!V14</f>
        <v>0</v>
      </c>
      <c r="W25" s="112">
        <f>'תקציב החברה לפיתוח 2025'!W14</f>
        <v>0</v>
      </c>
      <c r="X25" s="112">
        <f>'תקציב החברה לפיתוח 2025'!X14</f>
        <v>0</v>
      </c>
      <c r="Y25" s="112">
        <f>'תקציב החברה לפיתוח 2025'!Y14</f>
        <v>0</v>
      </c>
      <c r="Z25" s="112">
        <f>'תקציב החברה לפיתוח 2025'!Z14</f>
        <v>0</v>
      </c>
      <c r="AA25" s="112">
        <f>'תקציב החברה לפיתוח 2025'!AA14</f>
        <v>0</v>
      </c>
      <c r="AB25" s="222" t="str">
        <f>'תקציב החברה לפיתוח 2025'!AB14</f>
        <v>עבודות פיתוח. מימון רמ"י במסגרת הסכם "הגג". מימון רמ"י ( שצ"פים מכרז "גליל ים ג'").</v>
      </c>
      <c r="AC25" s="127">
        <f>'תקציב החברה לפיתוח 2025'!AC14</f>
        <v>742000</v>
      </c>
      <c r="AD25" s="123"/>
      <c r="AE25" s="123"/>
      <c r="AF25" s="123"/>
      <c r="AG25" s="123"/>
      <c r="AH25" s="123"/>
      <c r="AI25" s="123"/>
      <c r="AJ25" s="123"/>
      <c r="AK25" s="505"/>
      <c r="AL25" s="505"/>
      <c r="AM25" s="505"/>
      <c r="AN25" s="505"/>
      <c r="AO25" s="505"/>
      <c r="AP25" s="505"/>
      <c r="AQ25" s="505"/>
      <c r="AR25" s="505"/>
      <c r="AS25" s="123"/>
      <c r="AT25" s="123"/>
      <c r="AU25" s="123"/>
      <c r="AV25" s="123"/>
      <c r="AW25" s="123"/>
      <c r="AX25" s="123"/>
      <c r="AY25" s="123"/>
      <c r="AZ25" s="126"/>
      <c r="BA25" s="126"/>
      <c r="BB25" s="126"/>
      <c r="BC25" s="126"/>
      <c r="BD25" s="126"/>
    </row>
    <row r="26" spans="1:56" ht="45">
      <c r="A26" s="112">
        <f t="shared" si="3"/>
        <v>19</v>
      </c>
      <c r="B26" s="127">
        <f>'תקציב החברה לפיתוח 2025'!B15</f>
        <v>1588</v>
      </c>
      <c r="C26" s="222" t="str">
        <f>'תקציב החברה לפיתוח 2025'!C15</f>
        <v>פיתוח מתחם אלוני ים הר' 2030</v>
      </c>
      <c r="D26" s="112">
        <f>'תקציב החברה לפיתוח 2025'!D15</f>
        <v>64000000</v>
      </c>
      <c r="E26" s="112">
        <f>'תקציב החברה לפיתוח 2025'!E15</f>
        <v>53500000</v>
      </c>
      <c r="F26" s="112">
        <f>'תקציב החברה לפיתוח 2025'!F15</f>
        <v>10500000</v>
      </c>
      <c r="G26" s="112">
        <f>'תקציב החברה לפיתוח 2025'!G15</f>
        <v>45500000</v>
      </c>
      <c r="H26" s="112">
        <f>'תקציב החברה לפיתוח 2025'!H15</f>
        <v>44535997</v>
      </c>
      <c r="I26" s="112">
        <f>'תקציב החברה לפיתוח 2025'!I15</f>
        <v>0</v>
      </c>
      <c r="J26" s="112">
        <f>'תקציב החברה לפיתוח 2025'!J15</f>
        <v>224796</v>
      </c>
      <c r="K26" s="112">
        <f>'תקציב החברה לפיתוח 2025'!K15</f>
        <v>224796</v>
      </c>
      <c r="L26" s="112">
        <f>'תקציב החברה לפיתוח 2025'!L15</f>
        <v>44760793</v>
      </c>
      <c r="M26" s="112">
        <f>'תקציב החברה לפיתוח 2025'!M15</f>
        <v>2239207</v>
      </c>
      <c r="N26" s="112">
        <f>'תקציב החברה לפיתוח 2025'!N15</f>
        <v>6000000</v>
      </c>
      <c r="O26" s="112">
        <f>'תקציב החברה לפיתוח 2025'!O15</f>
        <v>11000000</v>
      </c>
      <c r="P26" s="112">
        <f>'תקציב החברה לפיתוח 2025'!P15</f>
        <v>739207</v>
      </c>
      <c r="Q26" s="112">
        <f>'תקציב החברה לפיתוח 2025'!Q15</f>
        <v>1500000</v>
      </c>
      <c r="R26" s="112">
        <f>'תקציב החברה לפיתוח 2025'!R15</f>
        <v>0</v>
      </c>
      <c r="S26" s="112">
        <f>'תקציב החברה לפיתוח 2025'!S15</f>
        <v>1500000</v>
      </c>
      <c r="T26" s="112">
        <f>'תקציב החברה לפיתוח 2025'!T15</f>
        <v>0</v>
      </c>
      <c r="U26" s="257">
        <f>'תקציב החברה לפיתוח 2025'!U15</f>
        <v>6000000</v>
      </c>
      <c r="V26" s="112">
        <f>'תקציב החברה לפיתוח 2025'!V15</f>
        <v>6000000</v>
      </c>
      <c r="W26" s="112">
        <f>'תקציב החברה לפיתוח 2025'!W15</f>
        <v>0</v>
      </c>
      <c r="X26" s="112">
        <f>'תקציב החברה לפיתוח 2025'!X15</f>
        <v>0</v>
      </c>
      <c r="Y26" s="112">
        <f>'תקציב החברה לפיתוח 2025'!Y15</f>
        <v>0</v>
      </c>
      <c r="Z26" s="112">
        <f>'תקציב החברה לפיתוח 2025'!Z15</f>
        <v>0</v>
      </c>
      <c r="AA26" s="112">
        <f>'תקציב החברה לפיתוח 2025'!AA15</f>
        <v>0</v>
      </c>
      <c r="AB26" s="222" t="str">
        <f>'תקציב החברה לפיתוח 2025'!AB15</f>
        <v>המשך עבודות פיתוח שצ"פ ("מערכות") במתחם אלוני ים הר' 2030 .</v>
      </c>
      <c r="AC26" s="127">
        <f>'תקציב החברה לפיתוח 2025'!AC15</f>
        <v>742000</v>
      </c>
      <c r="AZ26" s="126"/>
      <c r="BA26" s="126"/>
      <c r="BB26" s="126"/>
      <c r="BC26" s="126"/>
      <c r="BD26" s="126"/>
    </row>
    <row r="27" spans="1:56" s="126" customFormat="1" ht="30">
      <c r="A27" s="112">
        <f t="shared" si="3"/>
        <v>20</v>
      </c>
      <c r="B27" s="127">
        <f>'תקציב החברה לפיתוח 2025'!B16</f>
        <v>1615</v>
      </c>
      <c r="C27" s="222" t="str">
        <f>'תקציב החברה לפיתוח 2025'!C16</f>
        <v>פיתוח מתחם הר' 1903</v>
      </c>
      <c r="D27" s="112">
        <f>'תקציב החברה לפיתוח 2025'!D16</f>
        <v>27700000</v>
      </c>
      <c r="E27" s="112">
        <f>'תקציב החברה לפיתוח 2025'!E16</f>
        <v>27700000</v>
      </c>
      <c r="F27" s="112">
        <f>'תקציב החברה לפיתוח 2025'!F16</f>
        <v>0</v>
      </c>
      <c r="G27" s="112">
        <f>'תקציב החברה לפיתוח 2025'!G16</f>
        <v>22700000</v>
      </c>
      <c r="H27" s="112">
        <f>'תקציב החברה לפיתוח 2025'!H16</f>
        <v>22550373</v>
      </c>
      <c r="I27" s="112">
        <f>'תקציב החברה לפיתוח 2025'!I16</f>
        <v>0</v>
      </c>
      <c r="J27" s="112">
        <f>'תקציב החברה לפיתוח 2025'!J16</f>
        <v>9415</v>
      </c>
      <c r="K27" s="112">
        <f>'תקציב החברה לפיתוח 2025'!K16</f>
        <v>9415</v>
      </c>
      <c r="L27" s="112">
        <f>'תקציב החברה לפיתוח 2025'!L16</f>
        <v>22559788</v>
      </c>
      <c r="M27" s="112">
        <f>'תקציב החברה לפיתוח 2025'!M16</f>
        <v>140212</v>
      </c>
      <c r="N27" s="112">
        <f>'תקציב החברה לפיתוח 2025'!N16</f>
        <v>0</v>
      </c>
      <c r="O27" s="112">
        <f>'תקציב החברה לפיתוח 2025'!O16</f>
        <v>5000000</v>
      </c>
      <c r="P27" s="112">
        <f>'תקציב החברה לפיתוח 2025'!P16</f>
        <v>140212</v>
      </c>
      <c r="Q27" s="112">
        <f>'תקציב החברה לפיתוח 2025'!Q16</f>
        <v>0</v>
      </c>
      <c r="R27" s="112">
        <f>'תקציב החברה לפיתוח 2025'!R16</f>
        <v>0</v>
      </c>
      <c r="S27" s="112">
        <f>'תקציב החברה לפיתוח 2025'!S16</f>
        <v>0</v>
      </c>
      <c r="T27" s="112">
        <f>'תקציב החברה לפיתוח 2025'!T16</f>
        <v>0</v>
      </c>
      <c r="U27" s="257">
        <f>'תקציב החברה לפיתוח 2025'!U16</f>
        <v>0</v>
      </c>
      <c r="V27" s="112">
        <f>'תקציב החברה לפיתוח 2025'!V16</f>
        <v>0</v>
      </c>
      <c r="W27" s="112">
        <f>'תקציב החברה לפיתוח 2025'!W16</f>
        <v>0</v>
      </c>
      <c r="X27" s="112">
        <f>'תקציב החברה לפיתוח 2025'!X16</f>
        <v>0</v>
      </c>
      <c r="Y27" s="112">
        <f>'תקציב החברה לפיתוח 2025'!Y16</f>
        <v>0</v>
      </c>
      <c r="Z27" s="112">
        <f>'תקציב החברה לפיתוח 2025'!Z16</f>
        <v>0</v>
      </c>
      <c r="AA27" s="127">
        <f>'תקציב החברה לפיתוח 2025'!AA16</f>
        <v>0</v>
      </c>
      <c r="AB27" s="222" t="str">
        <f>'תקציב החברה לפיתוח 2025'!AB16</f>
        <v>טיפול בשב"צ וגינת כלבים. חן סופיים. התב"ר לסגירה.</v>
      </c>
      <c r="AC27" s="127">
        <f>'תקציב החברה לפיתוח 2025'!AC16</f>
        <v>742000</v>
      </c>
      <c r="AD27" s="123"/>
      <c r="AE27" s="123"/>
      <c r="AF27" s="123"/>
      <c r="AG27" s="123"/>
      <c r="AH27" s="123"/>
      <c r="AI27" s="123"/>
      <c r="AJ27" s="123"/>
      <c r="AK27" s="505"/>
      <c r="AL27" s="505"/>
      <c r="AM27" s="505"/>
      <c r="AN27" s="505"/>
      <c r="AO27" s="505"/>
      <c r="AP27" s="505"/>
      <c r="AQ27" s="505"/>
      <c r="AR27" s="505"/>
      <c r="AS27" s="123"/>
      <c r="AT27" s="123"/>
      <c r="AU27" s="123"/>
      <c r="AV27" s="123"/>
      <c r="AW27" s="123"/>
      <c r="AX27" s="123"/>
      <c r="AY27" s="123"/>
    </row>
    <row r="28" spans="1:56" ht="30">
      <c r="A28" s="112">
        <f t="shared" si="3"/>
        <v>21</v>
      </c>
      <c r="B28" s="127">
        <f>'תקציב החברה לפיתוח 2025'!B18</f>
        <v>1657</v>
      </c>
      <c r="C28" s="222" t="str">
        <f>'תקציב החברה לפיתוח 2025'!C18</f>
        <v>פיתוח מתחם "מרינה לי"</v>
      </c>
      <c r="D28" s="4">
        <f>'תקציב החברה לפיתוח 2025'!D18</f>
        <v>65000000</v>
      </c>
      <c r="E28" s="112">
        <f>'תקציב החברה לפיתוח 2025'!E18</f>
        <v>65000000</v>
      </c>
      <c r="F28" s="112">
        <f>'תקציב החברה לפיתוח 2025'!F18</f>
        <v>0</v>
      </c>
      <c r="G28" s="112">
        <f>'תקציב החברה לפיתוח 2025'!G18</f>
        <v>54519789</v>
      </c>
      <c r="H28" s="112">
        <f>'תקציב החברה לפיתוח 2025'!H18</f>
        <v>42830239</v>
      </c>
      <c r="I28" s="112">
        <f>'תקציב החברה לפיתוח 2025'!I18</f>
        <v>0</v>
      </c>
      <c r="J28" s="112">
        <f>'תקציב החברה לפיתוח 2025'!J18</f>
        <v>1303874</v>
      </c>
      <c r="K28" s="112">
        <f>'תקציב החברה לפיתוח 2025'!K18</f>
        <v>1303874</v>
      </c>
      <c r="L28" s="112">
        <f>'תקציב החברה לפיתוח 2025'!L18</f>
        <v>44134113</v>
      </c>
      <c r="M28" s="112">
        <f>'תקציב החברה לפיתוח 2025'!M18</f>
        <v>5685676</v>
      </c>
      <c r="N28" s="112">
        <f>'תקציב החברה לפיתוח 2025'!N18</f>
        <v>3480211</v>
      </c>
      <c r="O28" s="112">
        <f>'תקציב החברה לפיתוח 2025'!O18</f>
        <v>11700000</v>
      </c>
      <c r="P28" s="112">
        <f>'תקציב החברה לפיתוח 2025'!P18</f>
        <v>10385676</v>
      </c>
      <c r="Q28" s="112">
        <f>'תקציב החברה לפיתוח 2025'!Q18</f>
        <v>0</v>
      </c>
      <c r="R28" s="112">
        <f>'תקציב החברה לפיתוח 2025'!R18</f>
        <v>-4700000</v>
      </c>
      <c r="S28" s="112">
        <f>'תקציב החברה לפיתוח 2025'!S18</f>
        <v>-4700000</v>
      </c>
      <c r="T28" s="112">
        <f>'תקציב החברה לפיתוח 2025'!T18</f>
        <v>0</v>
      </c>
      <c r="U28" s="257">
        <f>'תקציב החברה לפיתוח 2025'!U18</f>
        <v>3480211</v>
      </c>
      <c r="V28" s="112">
        <f>'תקציב החברה לפיתוח 2025'!V18</f>
        <v>3480211</v>
      </c>
      <c r="W28" s="112">
        <f>'תקציב החברה לפיתוח 2025'!W18</f>
        <v>0</v>
      </c>
      <c r="X28" s="112">
        <f>'תקציב החברה לפיתוח 2025'!X18</f>
        <v>0</v>
      </c>
      <c r="Y28" s="112">
        <f>'תקציב החברה לפיתוח 2025'!Y18</f>
        <v>0</v>
      </c>
      <c r="Z28" s="112">
        <f>'תקציב החברה לפיתוח 2025'!Z18</f>
        <v>0</v>
      </c>
      <c r="AA28" s="127">
        <f>'תקציב החברה לפיתוח 2025'!AA18</f>
        <v>0</v>
      </c>
      <c r="AB28" s="202" t="str">
        <f>'תקציב החברה לפיתוח 2025'!AB18</f>
        <v>ביצוע פיתוח ותשתית במתחם "מרינה לי", כולל חניון ושצ"פ.</v>
      </c>
      <c r="AC28" s="127">
        <f>'תקציב החברה לפיתוח 2025'!AC18</f>
        <v>742000</v>
      </c>
      <c r="AZ28" s="128"/>
      <c r="BA28" s="128"/>
      <c r="BB28" s="128"/>
      <c r="BC28" s="128"/>
      <c r="BD28" s="128"/>
    </row>
    <row r="29" spans="1:56" ht="45">
      <c r="A29" s="112">
        <f t="shared" si="3"/>
        <v>22</v>
      </c>
      <c r="B29" s="3">
        <f>'תקציב החברה לפיתוח 2025'!B19</f>
        <v>1670</v>
      </c>
      <c r="C29" s="202" t="str">
        <f>'תקציב החברה לפיתוח 2025'!C19</f>
        <v>פתוח מתחם הר' 1972 תחנה מרכזית</v>
      </c>
      <c r="D29" s="112">
        <f>'תקציב החברה לפיתוח 2025'!D19</f>
        <v>37700000</v>
      </c>
      <c r="E29" s="112">
        <f>'תקציב החברה לפיתוח 2025'!E19</f>
        <v>37700000</v>
      </c>
      <c r="F29" s="112">
        <f>'תקציב החברה לפיתוח 2025'!F19</f>
        <v>0</v>
      </c>
      <c r="G29" s="112">
        <f>'תקציב החברה לפיתוח 2025'!G19</f>
        <v>7050000</v>
      </c>
      <c r="H29" s="112">
        <f>'תקציב החברה לפיתוח 2025'!H19</f>
        <v>7034230</v>
      </c>
      <c r="I29" s="112">
        <f>'תקציב החברה לפיתוח 2025'!I19</f>
        <v>0</v>
      </c>
      <c r="J29" s="112">
        <f>'תקציב החברה לפיתוח 2025'!J19</f>
        <v>6398</v>
      </c>
      <c r="K29" s="112">
        <f>'תקציב החברה לפיתוח 2025'!K19</f>
        <v>6398</v>
      </c>
      <c r="L29" s="112">
        <f>'תקציב החברה לפיתוח 2025'!L19</f>
        <v>7040628</v>
      </c>
      <c r="M29" s="112">
        <f>'תקציב החברה לפיתוח 2025'!M19</f>
        <v>9372</v>
      </c>
      <c r="N29" s="112">
        <f>'תקציב החברה לפיתוח 2025'!N19</f>
        <v>0</v>
      </c>
      <c r="O29" s="112">
        <f>'תקציב החברה לפיתוח 2025'!O19</f>
        <v>30650000</v>
      </c>
      <c r="P29" s="112">
        <f>'תקציב החברה לפיתוח 2025'!P19</f>
        <v>9372</v>
      </c>
      <c r="Q29" s="112">
        <f>'תקציב החברה לפיתוח 2025'!Q19</f>
        <v>0</v>
      </c>
      <c r="R29" s="112">
        <f>'תקציב החברה לפיתוח 2025'!R19</f>
        <v>0</v>
      </c>
      <c r="S29" s="112">
        <f>'תקציב החברה לפיתוח 2025'!S19</f>
        <v>0</v>
      </c>
      <c r="T29" s="112">
        <f>'תקציב החברה לפיתוח 2025'!T19</f>
        <v>0</v>
      </c>
      <c r="U29" s="257">
        <f>'תקציב החברה לפיתוח 2025'!U19</f>
        <v>0</v>
      </c>
      <c r="V29" s="112">
        <f>'תקציב החברה לפיתוח 2025'!V19</f>
        <v>0</v>
      </c>
      <c r="W29" s="112">
        <f>'תקציב החברה לפיתוח 2025'!W19</f>
        <v>0</v>
      </c>
      <c r="X29" s="112">
        <f>'תקציב החברה לפיתוח 2025'!X19</f>
        <v>0</v>
      </c>
      <c r="Y29" s="112">
        <f>'תקציב החברה לפיתוח 2025'!Y19</f>
        <v>0</v>
      </c>
      <c r="Z29" s="112">
        <f>'תקציב החברה לפיתוח 2025'!Z19</f>
        <v>0</v>
      </c>
      <c r="AA29" s="127">
        <f>'תקציב החברה לפיתוח 2025'!AA19</f>
        <v>0</v>
      </c>
      <c r="AB29" s="202" t="str">
        <f>'תקציב החברה לפיתוח 2025'!AB19</f>
        <v>תכנון פיתוח מתחם "ניצבא" כולל פיתוח רחוב העצמאות מבן גוריון עד קהילת ציון.</v>
      </c>
      <c r="AC29" s="3">
        <f>'תקציב החברה לפיתוח 2025'!AC19</f>
        <v>742000</v>
      </c>
      <c r="AZ29" s="126"/>
      <c r="BA29" s="126"/>
      <c r="BB29" s="126"/>
      <c r="BC29" s="126"/>
      <c r="BD29" s="126"/>
    </row>
    <row r="30" spans="1:56" ht="30">
      <c r="A30" s="112">
        <f t="shared" si="3"/>
        <v>23</v>
      </c>
      <c r="B30" s="209">
        <f>'תקציב החברה לפיתוח 2025'!B22</f>
        <v>1819</v>
      </c>
      <c r="C30" s="222" t="str">
        <f>'תקציב החברה לפיתוח 2025'!C22</f>
        <v>פיתוח רח' צ.ה.ל</v>
      </c>
      <c r="D30" s="112">
        <f>'תקציב החברה לפיתוח 2025'!D22</f>
        <v>16045000</v>
      </c>
      <c r="E30" s="112">
        <f>'תקציב החברה לפיתוח 2025'!E22</f>
        <v>17545000</v>
      </c>
      <c r="F30" s="112">
        <f>'תקציב החברה לפיתוח 2025'!F22</f>
        <v>-1500000</v>
      </c>
      <c r="G30" s="112">
        <f>'תקציב החברה לפיתוח 2025'!G22</f>
        <v>16045000</v>
      </c>
      <c r="H30" s="112">
        <f>'תקציב החברה לפיתוח 2025'!H22</f>
        <v>15717150</v>
      </c>
      <c r="I30" s="112">
        <f>'תקציב החברה לפיתוח 2025'!I22</f>
        <v>0</v>
      </c>
      <c r="J30" s="112">
        <f>'תקציב החברה לפיתוח 2025'!J22</f>
        <v>0</v>
      </c>
      <c r="K30" s="112">
        <f>'תקציב החברה לפיתוח 2025'!K22</f>
        <v>0</v>
      </c>
      <c r="L30" s="112">
        <f>'תקציב החברה לפיתוח 2025'!L22</f>
        <v>15717150</v>
      </c>
      <c r="M30" s="112">
        <f>'תקציב החברה לפיתוח 2025'!M22</f>
        <v>327850</v>
      </c>
      <c r="N30" s="112">
        <f>'תקציב החברה לפיתוח 2025'!N22</f>
        <v>0</v>
      </c>
      <c r="O30" s="112">
        <f>'תקציב החברה לפיתוח 2025'!O22</f>
        <v>0</v>
      </c>
      <c r="P30" s="112">
        <f>'תקציב החברה לפיתוח 2025'!P22</f>
        <v>327850</v>
      </c>
      <c r="Q30" s="112">
        <f>'תקציב החברה לפיתוח 2025'!Q22</f>
        <v>0</v>
      </c>
      <c r="R30" s="112">
        <f>'תקציב החברה לפיתוח 2025'!R22</f>
        <v>0</v>
      </c>
      <c r="S30" s="112">
        <f>'תקציב החברה לפיתוח 2025'!S22</f>
        <v>0</v>
      </c>
      <c r="T30" s="112">
        <f>'תקציב החברה לפיתוח 2025'!T22</f>
        <v>0</v>
      </c>
      <c r="U30" s="257">
        <f>'תקציב החברה לפיתוח 2025'!U22</f>
        <v>0</v>
      </c>
      <c r="V30" s="112">
        <f>'תקציב החברה לפיתוח 2025'!V22</f>
        <v>0</v>
      </c>
      <c r="W30" s="112">
        <f>'תקציב החברה לפיתוח 2025'!W22</f>
        <v>0</v>
      </c>
      <c r="X30" s="112">
        <f>'תקציב החברה לפיתוח 2025'!X22</f>
        <v>0</v>
      </c>
      <c r="Y30" s="112">
        <f>'תקציב החברה לפיתוח 2025'!Y22</f>
        <v>0</v>
      </c>
      <c r="Z30" s="112">
        <f>'תקציב החברה לפיתוח 2025'!Z22</f>
        <v>0</v>
      </c>
      <c r="AA30" s="127">
        <f>'תקציב החברה לפיתוח 2025'!AA22</f>
        <v>0</v>
      </c>
      <c r="AB30" s="222" t="str">
        <f>'תקציב החברה לפיתוח 2025'!AB22</f>
        <v>המשך פיתוח רחוב צ.ה.ל . חן סופיים. התב"ר לסגירה.</v>
      </c>
      <c r="AC30" s="127">
        <f>'תקציב החברה לפיתוח 2025'!AC22</f>
        <v>742000</v>
      </c>
      <c r="AZ30" s="5"/>
      <c r="BA30" s="5"/>
      <c r="BB30" s="5"/>
      <c r="BC30" s="5"/>
      <c r="BD30" s="5"/>
    </row>
    <row r="31" spans="1:56" s="131" customFormat="1" ht="45">
      <c r="A31" s="112">
        <f t="shared" si="3"/>
        <v>24</v>
      </c>
      <c r="B31" s="209">
        <f>'תקציב החברה לפיתוח 2025'!B26</f>
        <v>1845</v>
      </c>
      <c r="C31" s="222" t="str">
        <f>'תקציב החברה לפיתוח 2025'!C26</f>
        <v xml:space="preserve">חניונים הר'1900 - חניון משכית </v>
      </c>
      <c r="D31" s="112">
        <f>'תקציב החברה לפיתוח 2025'!D26</f>
        <v>137500000</v>
      </c>
      <c r="E31" s="112">
        <f>'תקציב החברה לפיתוח 2025'!E26</f>
        <v>137500000</v>
      </c>
      <c r="F31" s="112">
        <f>'תקציב החברה לפיתוח 2025'!F26</f>
        <v>0</v>
      </c>
      <c r="G31" s="112">
        <f>'תקציב החברה לפיתוח 2025'!G26</f>
        <v>2740000</v>
      </c>
      <c r="H31" s="112">
        <f>'תקציב החברה לפיתוח 2025'!H26</f>
        <v>2721383</v>
      </c>
      <c r="I31" s="112">
        <f>'תקציב החברה לפיתוח 2025'!I26</f>
        <v>0</v>
      </c>
      <c r="J31" s="112">
        <f>'תקציב החברה לפיתוח 2025'!J26</f>
        <v>0</v>
      </c>
      <c r="K31" s="112">
        <f>'תקציב החברה לפיתוח 2025'!K26</f>
        <v>0</v>
      </c>
      <c r="L31" s="112">
        <f>'תקציב החברה לפיתוח 2025'!L26</f>
        <v>2721383</v>
      </c>
      <c r="M31" s="112">
        <f>'תקציב החברה לפיתוח 2025'!M26</f>
        <v>18617</v>
      </c>
      <c r="N31" s="112">
        <f>'תקציב החברה לפיתוח 2025'!N26</f>
        <v>0</v>
      </c>
      <c r="O31" s="112">
        <f>'תקציב החברה לפיתוח 2025'!O26</f>
        <v>134760000</v>
      </c>
      <c r="P31" s="112">
        <f>'תקציב החברה לפיתוח 2025'!P26</f>
        <v>18617</v>
      </c>
      <c r="Q31" s="112">
        <f>'תקציב החברה לפיתוח 2025'!Q26</f>
        <v>0</v>
      </c>
      <c r="R31" s="112">
        <f>'תקציב החברה לפיתוח 2025'!R26</f>
        <v>0</v>
      </c>
      <c r="S31" s="112">
        <f>'תקציב החברה לפיתוח 2025'!S26</f>
        <v>0</v>
      </c>
      <c r="T31" s="112">
        <f>'תקציב החברה לפיתוח 2025'!T26</f>
        <v>0</v>
      </c>
      <c r="U31" s="257">
        <f>'תקציב החברה לפיתוח 2025'!U26</f>
        <v>0</v>
      </c>
      <c r="V31" s="112">
        <f>'תקציב החברה לפיתוח 2025'!V26</f>
        <v>0</v>
      </c>
      <c r="W31" s="112">
        <f>'תקציב החברה לפיתוח 2025'!W26</f>
        <v>0</v>
      </c>
      <c r="X31" s="112">
        <f>'תקציב החברה לפיתוח 2025'!X26</f>
        <v>0</v>
      </c>
      <c r="Y31" s="112">
        <f>'תקציב החברה לפיתוח 2025'!Y26</f>
        <v>0</v>
      </c>
      <c r="Z31" s="112">
        <f>'תקציב החברה לפיתוח 2025'!Z26</f>
        <v>0</v>
      </c>
      <c r="AA31" s="127">
        <f>'תקציב החברה לפיתוח 2025'!AA26</f>
        <v>0</v>
      </c>
      <c r="AB31" s="222" t="str">
        <f>'תקציב החברה לפיתוח 2025'!AB26</f>
        <v xml:space="preserve">הקמת חניון תתקרקעי ברחוב משכית כולל מבנה מסחר ועבודות פיתוח. </v>
      </c>
      <c r="AC31" s="299">
        <f>'תקציב החברה לפיתוח 2025'!AC26</f>
        <v>742000</v>
      </c>
      <c r="AD31" s="123"/>
      <c r="AE31" s="123"/>
      <c r="AF31" s="123"/>
      <c r="AG31" s="123"/>
      <c r="AH31" s="123"/>
      <c r="AI31" s="123"/>
      <c r="AJ31" s="123"/>
      <c r="AK31" s="505"/>
      <c r="AL31" s="505"/>
      <c r="AM31" s="505"/>
      <c r="AN31" s="505"/>
      <c r="AO31" s="505"/>
      <c r="AP31" s="505"/>
      <c r="AQ31" s="505"/>
      <c r="AR31" s="505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</row>
    <row r="32" spans="1:56" s="131" customFormat="1" ht="45">
      <c r="A32" s="112">
        <f t="shared" si="3"/>
        <v>25</v>
      </c>
      <c r="B32" s="209">
        <f>'תקציב החברה לפיתוח 2025'!B32</f>
        <v>1919</v>
      </c>
      <c r="C32" s="222" t="str">
        <f>'תקציב החברה לפיתוח 2025'!C32</f>
        <v>פיתוח גליל ים ב'</v>
      </c>
      <c r="D32" s="112">
        <f>'תקציב החברה לפיתוח 2025'!D32</f>
        <v>135100000</v>
      </c>
      <c r="E32" s="112">
        <f>'תקציב החברה לפיתוח 2025'!E32</f>
        <v>135100000</v>
      </c>
      <c r="F32" s="112">
        <f>'תקציב החברה לפיתוח 2025'!F32</f>
        <v>0</v>
      </c>
      <c r="G32" s="112">
        <f>'תקציב החברה לפיתוח 2025'!G32</f>
        <v>80024834</v>
      </c>
      <c r="H32" s="112">
        <f>'תקציב החברה לפיתוח 2025'!H32</f>
        <v>78502835</v>
      </c>
      <c r="I32" s="112">
        <f>'תקציב החברה לפיתוח 2025'!I32</f>
        <v>0</v>
      </c>
      <c r="J32" s="112">
        <f>'תקציב החברה לפיתוח 2025'!J32</f>
        <v>1389765</v>
      </c>
      <c r="K32" s="112">
        <f>'תקציב החברה לפיתוח 2025'!K32</f>
        <v>1389765</v>
      </c>
      <c r="L32" s="112">
        <f>'תקציב החברה לפיתוח 2025'!L32</f>
        <v>79892600</v>
      </c>
      <c r="M32" s="112">
        <f>'תקציב החברה לפיתוח 2025'!M32</f>
        <v>132234</v>
      </c>
      <c r="N32" s="112">
        <f>'תקציב החברה לפיתוח 2025'!N32</f>
        <v>2000000</v>
      </c>
      <c r="O32" s="112">
        <f>'תקציב החברה לפיתוח 2025'!O32</f>
        <v>53075166</v>
      </c>
      <c r="P32" s="112">
        <f>'תקציב החברה לפיתוח 2025'!P32</f>
        <v>132234</v>
      </c>
      <c r="Q32" s="112">
        <f>'תקציב החברה לפיתוח 2025'!Q32</f>
        <v>0</v>
      </c>
      <c r="R32" s="112">
        <f>'תקציב החברה לפיתוח 2025'!R32</f>
        <v>0</v>
      </c>
      <c r="S32" s="112">
        <f>'תקציב החברה לפיתוח 2025'!S32</f>
        <v>0</v>
      </c>
      <c r="T32" s="112">
        <f>'תקציב החברה לפיתוח 2025'!T32</f>
        <v>0</v>
      </c>
      <c r="U32" s="257">
        <f>'תקציב החברה לפיתוח 2025'!U32</f>
        <v>2000000</v>
      </c>
      <c r="V32" s="112">
        <f>'תקציב החברה לפיתוח 2025'!V32</f>
        <v>2000000</v>
      </c>
      <c r="W32" s="112">
        <f>'תקציב החברה לפיתוח 2025'!W32</f>
        <v>0</v>
      </c>
      <c r="X32" s="112">
        <f>'תקציב החברה לפיתוח 2025'!X32</f>
        <v>0</v>
      </c>
      <c r="Y32" s="112">
        <f>'תקציב החברה לפיתוח 2025'!Y32</f>
        <v>0</v>
      </c>
      <c r="Z32" s="112">
        <f>'תקציב החברה לפיתוח 2025'!Z32</f>
        <v>0</v>
      </c>
      <c r="AA32" s="127">
        <f>'תקציב החברה לפיתוח 2025'!AA32</f>
        <v>0</v>
      </c>
      <c r="AB32" s="222" t="str">
        <f>'תקציב החברה לפיתוח 2025'!AB32</f>
        <v>עבודות פיתוח.עבודות השלמת ביצוע שצ"פים.מימון רמ"י במסגרת הסכם "הגג". 2025 : מימון הרשות.</v>
      </c>
      <c r="AC32" s="127">
        <f>'תקציב החברה לפיתוח 2025'!AC32</f>
        <v>742000</v>
      </c>
      <c r="AD32" s="123"/>
      <c r="AE32" s="123"/>
      <c r="AF32" s="123"/>
      <c r="AG32" s="123"/>
      <c r="AH32" s="123"/>
      <c r="AI32" s="123"/>
      <c r="AJ32" s="123"/>
      <c r="AK32" s="505"/>
      <c r="AL32" s="505"/>
      <c r="AM32" s="505"/>
      <c r="AN32" s="505"/>
      <c r="AO32" s="505"/>
      <c r="AP32" s="505"/>
      <c r="AQ32" s="505"/>
      <c r="AR32" s="505"/>
      <c r="AS32" s="123"/>
      <c r="AT32" s="123"/>
      <c r="AU32" s="123"/>
      <c r="AV32" s="123"/>
      <c r="AW32" s="123"/>
      <c r="AX32" s="123"/>
      <c r="AY32" s="123"/>
      <c r="AZ32" s="5"/>
      <c r="BA32" s="5"/>
      <c r="BB32" s="5"/>
      <c r="BC32" s="5"/>
      <c r="BD32" s="5"/>
    </row>
    <row r="33" spans="1:56" s="5" customFormat="1" ht="45">
      <c r="A33" s="112">
        <f t="shared" si="3"/>
        <v>26</v>
      </c>
      <c r="B33" s="209">
        <f>'תקציב החברה לפיתוח 2025'!B36</f>
        <v>1962</v>
      </c>
      <c r="C33" s="222" t="str">
        <f>'תקציב החברה לפיתוח 2025'!C36</f>
        <v>גשר הולכי רגל מעל שבעת הכוכבים</v>
      </c>
      <c r="D33" s="112">
        <f>'תקציב החברה לפיתוח 2025'!D36</f>
        <v>20000000</v>
      </c>
      <c r="E33" s="112">
        <f>'תקציב החברה לפיתוח 2025'!E36</f>
        <v>20000000</v>
      </c>
      <c r="F33" s="112">
        <f>'תקציב החברה לפיתוח 2025'!F36</f>
        <v>0</v>
      </c>
      <c r="G33" s="112">
        <f>'תקציב החברה לפיתוח 2025'!G36</f>
        <v>100000</v>
      </c>
      <c r="H33" s="112">
        <f>'תקציב החברה לפיתוח 2025'!H36</f>
        <v>0</v>
      </c>
      <c r="I33" s="112">
        <f>'תקציב החברה לפיתוח 2025'!I36</f>
        <v>0</v>
      </c>
      <c r="J33" s="112">
        <f>'תקציב החברה לפיתוח 2025'!J36</f>
        <v>0</v>
      </c>
      <c r="K33" s="112">
        <f>'תקציב החברה לפיתוח 2025'!K36</f>
        <v>0</v>
      </c>
      <c r="L33" s="112">
        <f>'תקציב החברה לפיתוח 2025'!L36</f>
        <v>0</v>
      </c>
      <c r="M33" s="112">
        <f>'תקציב החברה לפיתוח 2025'!M36</f>
        <v>100000</v>
      </c>
      <c r="N33" s="112">
        <f>'תקציב החברה לפיתוח 2025'!N36</f>
        <v>0</v>
      </c>
      <c r="O33" s="112">
        <f>'תקציב החברה לפיתוח 2025'!O36</f>
        <v>19900000</v>
      </c>
      <c r="P33" s="112">
        <f>'תקציב החברה לפיתוח 2025'!P36</f>
        <v>100000</v>
      </c>
      <c r="Q33" s="112">
        <f>'תקציב החברה לפיתוח 2025'!Q36</f>
        <v>0</v>
      </c>
      <c r="R33" s="112">
        <f>'תקציב החברה לפיתוח 2025'!R36</f>
        <v>0</v>
      </c>
      <c r="S33" s="112">
        <f>'תקציב החברה לפיתוח 2025'!S36</f>
        <v>0</v>
      </c>
      <c r="T33" s="112">
        <f>'תקציב החברה לפיתוח 2025'!T36</f>
        <v>0</v>
      </c>
      <c r="U33" s="257">
        <f>'תקציב החברה לפיתוח 2025'!U36</f>
        <v>0</v>
      </c>
      <c r="V33" s="112">
        <f>'תקציב החברה לפיתוח 2025'!V36</f>
        <v>0</v>
      </c>
      <c r="W33" s="112">
        <f>'תקציב החברה לפיתוח 2025'!W36</f>
        <v>0</v>
      </c>
      <c r="X33" s="112">
        <f>'תקציב החברה לפיתוח 2025'!X36</f>
        <v>0</v>
      </c>
      <c r="Y33" s="112">
        <f>'תקציב החברה לפיתוח 2025'!Y36</f>
        <v>0</v>
      </c>
      <c r="Z33" s="112">
        <f>'תקציב החברה לפיתוח 2025'!Z36</f>
        <v>0</v>
      </c>
      <c r="AA33" s="127">
        <f>'תקציב החברה לפיתוח 2025'!AA36</f>
        <v>0</v>
      </c>
      <c r="AB33" s="210" t="str">
        <f>'תקציב החברה לפיתוח 2025'!AB36</f>
        <v>גשר מחבר בין הפארק לבין שבעת הכוכבים. (במסגרת פרויקט קרית השחקים).</v>
      </c>
      <c r="AC33" s="127">
        <f>'תקציב החברה לפיתוח 2025'!AC36</f>
        <v>742000</v>
      </c>
      <c r="AD33" s="123"/>
      <c r="AE33" s="123"/>
      <c r="AF33" s="123"/>
      <c r="AG33" s="123"/>
      <c r="AH33" s="123"/>
      <c r="AI33" s="123"/>
      <c r="AJ33" s="123"/>
      <c r="AK33" s="505"/>
      <c r="AL33" s="505"/>
      <c r="AM33" s="505"/>
      <c r="AN33" s="505"/>
      <c r="AO33" s="505"/>
      <c r="AP33" s="505"/>
      <c r="AQ33" s="505"/>
      <c r="AR33" s="505"/>
      <c r="AS33" s="123"/>
      <c r="AT33" s="123"/>
      <c r="AU33" s="123"/>
      <c r="AV33" s="123"/>
      <c r="AW33" s="123"/>
      <c r="AX33" s="123"/>
      <c r="AY33" s="123"/>
    </row>
    <row r="34" spans="1:56" s="5" customFormat="1" ht="45">
      <c r="A34" s="112">
        <f t="shared" si="3"/>
        <v>27</v>
      </c>
      <c r="B34" s="127">
        <f>'תקציב החברה לפיתוח 2025'!B39</f>
        <v>2002</v>
      </c>
      <c r="C34" s="222" t="str">
        <f>'תקציב החברה לפיתוח 2025'!C39</f>
        <v>הכשרת חניון העוגן</v>
      </c>
      <c r="D34" s="112">
        <f>'תקציב החברה לפיתוח 2025'!D39</f>
        <v>2300000</v>
      </c>
      <c r="E34" s="112">
        <f>'תקציב החברה לפיתוח 2025'!E39</f>
        <v>2300000</v>
      </c>
      <c r="F34" s="112">
        <f>'תקציב החברה לפיתוח 2025'!F39</f>
        <v>0</v>
      </c>
      <c r="G34" s="112">
        <f>'תקציב החברה לפיתוח 2025'!G39</f>
        <v>1500000</v>
      </c>
      <c r="H34" s="112">
        <f>'תקציב החברה לפיתוח 2025'!H39</f>
        <v>1495997</v>
      </c>
      <c r="I34" s="112">
        <f>'תקציב החברה לפיתוח 2025'!I39</f>
        <v>0</v>
      </c>
      <c r="J34" s="112">
        <f>'תקציב החברה לפיתוח 2025'!J39</f>
        <v>0</v>
      </c>
      <c r="K34" s="112">
        <f>'תקציב החברה לפיתוח 2025'!K39</f>
        <v>0</v>
      </c>
      <c r="L34" s="112">
        <f>'תקציב החברה לפיתוח 2025'!L39</f>
        <v>1495997</v>
      </c>
      <c r="M34" s="112">
        <f>'תקציב החברה לפיתוח 2025'!M39</f>
        <v>104003</v>
      </c>
      <c r="N34" s="112">
        <f>'תקציב החברה לפיתוח 2025'!N39</f>
        <v>0</v>
      </c>
      <c r="O34" s="112">
        <f>'תקציב החברה לפיתוח 2025'!O39</f>
        <v>700000</v>
      </c>
      <c r="P34" s="112">
        <f>'תקציב החברה לפיתוח 2025'!P39</f>
        <v>4003</v>
      </c>
      <c r="Q34" s="112">
        <f>'תקציב החברה לפיתוח 2025'!Q39</f>
        <v>100000</v>
      </c>
      <c r="R34" s="112">
        <f>'תקציב החברה לפיתוח 2025'!R39</f>
        <v>0</v>
      </c>
      <c r="S34" s="112">
        <f>'תקציב החברה לפיתוח 2025'!S39</f>
        <v>100000</v>
      </c>
      <c r="T34" s="112">
        <f>'תקציב החברה לפיתוח 2025'!T39</f>
        <v>0</v>
      </c>
      <c r="U34" s="257">
        <f>'תקציב החברה לפיתוח 2025'!U39</f>
        <v>0</v>
      </c>
      <c r="V34" s="112">
        <f>'תקציב החברה לפיתוח 2025'!V39</f>
        <v>0</v>
      </c>
      <c r="W34" s="112">
        <f>'תקציב החברה לפיתוח 2025'!W39</f>
        <v>0</v>
      </c>
      <c r="X34" s="112">
        <f>'תקציב החברה לפיתוח 2025'!X39</f>
        <v>0</v>
      </c>
      <c r="Y34" s="112">
        <f>'תקציב החברה לפיתוח 2025'!Y39</f>
        <v>0</v>
      </c>
      <c r="Z34" s="112">
        <f>'תקציב החברה לפיתוח 2025'!Z39</f>
        <v>0</v>
      </c>
      <c r="AA34" s="127">
        <f>'תקציב החברה לפיתוח 2025'!AA39</f>
        <v>0</v>
      </c>
      <c r="AB34" s="222" t="str">
        <f>'תקציב החברה לפיתוח 2025'!AB39</f>
        <v>הכשרת חניון העוגן במרינה לחניון בתשלום. השלמת מע. תקשורת ומצלמות.</v>
      </c>
      <c r="AC34" s="127">
        <f>'תקציב החברה לפיתוח 2025'!AC39</f>
        <v>742000</v>
      </c>
      <c r="AD34" s="123"/>
      <c r="AE34" s="123"/>
      <c r="AF34" s="123"/>
      <c r="AG34" s="123"/>
      <c r="AH34" s="123"/>
      <c r="AI34" s="123"/>
      <c r="AJ34" s="123"/>
      <c r="AK34" s="505"/>
      <c r="AL34" s="505"/>
      <c r="AM34" s="505"/>
      <c r="AN34" s="505"/>
      <c r="AO34" s="505"/>
      <c r="AP34" s="505"/>
      <c r="AQ34" s="505"/>
      <c r="AR34" s="505"/>
      <c r="AS34" s="123"/>
      <c r="AT34" s="123"/>
      <c r="AU34" s="123"/>
      <c r="AV34" s="123"/>
      <c r="AW34" s="123"/>
      <c r="AX34" s="123"/>
      <c r="AY34" s="123"/>
    </row>
    <row r="35" spans="1:56" s="131" customFormat="1" ht="45">
      <c r="A35" s="112">
        <f t="shared" si="3"/>
        <v>28</v>
      </c>
      <c r="B35" s="127">
        <f>'תקציב החברה לפיתוח 2025'!B40</f>
        <v>2008</v>
      </c>
      <c r="C35" s="222" t="str">
        <f>'תקציב החברה לפיתוח 2025'!C40</f>
        <v>שדרות ה - 93 הבאר</v>
      </c>
      <c r="D35" s="112">
        <f>'תקציב החברה לפיתוח 2025'!D40</f>
        <v>2500000</v>
      </c>
      <c r="E35" s="112">
        <f>'תקציב החברה לפיתוח 2025'!E40</f>
        <v>2500000</v>
      </c>
      <c r="F35" s="112">
        <f>'תקציב החברה לפיתוח 2025'!F40</f>
        <v>0</v>
      </c>
      <c r="G35" s="112">
        <f>'תקציב החברה לפיתוח 2025'!G40</f>
        <v>750000</v>
      </c>
      <c r="H35" s="112">
        <f>'תקציב החברה לפיתוח 2025'!H40</f>
        <v>66896</v>
      </c>
      <c r="I35" s="112">
        <f>'תקציב החברה לפיתוח 2025'!I40</f>
        <v>0</v>
      </c>
      <c r="J35" s="112">
        <f>'תקציב החברה לפיתוח 2025'!J40</f>
        <v>98333</v>
      </c>
      <c r="K35" s="112">
        <f>'תקציב החברה לפיתוח 2025'!K40</f>
        <v>98333</v>
      </c>
      <c r="L35" s="112">
        <f>'תקציב החברה לפיתוח 2025'!L40</f>
        <v>165229</v>
      </c>
      <c r="M35" s="112">
        <f>'תקציב החברה לפיתוח 2025'!M40</f>
        <v>584771</v>
      </c>
      <c r="N35" s="112">
        <f>'תקציב החברה לפיתוח 2025'!N40</f>
        <v>0</v>
      </c>
      <c r="O35" s="112">
        <f>'תקציב החברה לפיתוח 2025'!O40</f>
        <v>1750000</v>
      </c>
      <c r="P35" s="112">
        <f>'תקציב החברה לפיתוח 2025'!P40</f>
        <v>584771</v>
      </c>
      <c r="Q35" s="112">
        <f>'תקציב החברה לפיתוח 2025'!Q40</f>
        <v>0</v>
      </c>
      <c r="R35" s="112">
        <f>'תקציב החברה לפיתוח 2025'!R40</f>
        <v>0</v>
      </c>
      <c r="S35" s="112">
        <f>'תקציב החברה לפיתוח 2025'!S40</f>
        <v>0</v>
      </c>
      <c r="T35" s="112">
        <f>'תקציב החברה לפיתוח 2025'!T40</f>
        <v>0</v>
      </c>
      <c r="U35" s="257">
        <f>'תקציב החברה לפיתוח 2025'!U40</f>
        <v>0</v>
      </c>
      <c r="V35" s="112">
        <f>'תקציב החברה לפיתוח 2025'!V40</f>
        <v>0</v>
      </c>
      <c r="W35" s="112">
        <f>'תקציב החברה לפיתוח 2025'!W40</f>
        <v>0</v>
      </c>
      <c r="X35" s="112">
        <f>'תקציב החברה לפיתוח 2025'!X40</f>
        <v>0</v>
      </c>
      <c r="Y35" s="112">
        <f>'תקציב החברה לפיתוח 2025'!Y40</f>
        <v>0</v>
      </c>
      <c r="Z35" s="112">
        <f>'תקציב החברה לפיתוח 2025'!Z40</f>
        <v>0</v>
      </c>
      <c r="AA35" s="127">
        <f>'תקציב החברה לפיתוח 2025'!AA40</f>
        <v>0</v>
      </c>
      <c r="AB35" s="273" t="str">
        <f>'תקציב החברה לפיתוח 2025'!AB40</f>
        <v>הסדרת הסמטה  המקשרת בין רח' אליעזר קפלן במזרח לרח' וינגייט  במערב.</v>
      </c>
      <c r="AC35" s="127">
        <f>'תקציב החברה לפיתוח 2025'!AC40</f>
        <v>742000</v>
      </c>
      <c r="AD35" s="123"/>
      <c r="AE35" s="123"/>
      <c r="AF35" s="123"/>
      <c r="AG35" s="123"/>
      <c r="AH35" s="123"/>
      <c r="AI35" s="123"/>
      <c r="AJ35" s="123"/>
      <c r="AK35" s="505"/>
      <c r="AL35" s="505"/>
      <c r="AM35" s="505"/>
      <c r="AN35" s="505"/>
      <c r="AO35" s="505"/>
      <c r="AP35" s="505"/>
      <c r="AQ35" s="505"/>
      <c r="AR35" s="505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</row>
    <row r="36" spans="1:56" ht="90">
      <c r="A36" s="112">
        <f t="shared" si="3"/>
        <v>29</v>
      </c>
      <c r="B36" s="3">
        <f>'תקציב החברה לפיתוח 2025'!B41</f>
        <v>2009</v>
      </c>
      <c r="C36" s="202" t="str">
        <f>'תקציב החברה לפיתוח 2025'!C41</f>
        <v>סמטת ניסנוב</v>
      </c>
      <c r="D36" s="112">
        <f>'תקציב החברה לפיתוח 2025'!D41</f>
        <v>13700000</v>
      </c>
      <c r="E36" s="112">
        <f>'תקציב החברה לפיתוח 2025'!E41</f>
        <v>13700000</v>
      </c>
      <c r="F36" s="112">
        <f>'תקציב החברה לפיתוח 2025'!F41</f>
        <v>0</v>
      </c>
      <c r="G36" s="112">
        <f>'תקציב החברה לפיתוח 2025'!G41</f>
        <v>9200000</v>
      </c>
      <c r="H36" s="112">
        <f>'תקציב החברה לפיתוח 2025'!H41</f>
        <v>6962424</v>
      </c>
      <c r="I36" s="112">
        <f>'תקציב החברה לפיתוח 2025'!I41</f>
        <v>0</v>
      </c>
      <c r="J36" s="112">
        <f>'תקציב החברה לפיתוח 2025'!J41</f>
        <v>884218</v>
      </c>
      <c r="K36" s="112">
        <f>'תקציב החברה לפיתוח 2025'!K41</f>
        <v>884218</v>
      </c>
      <c r="L36" s="112">
        <f>'תקציב החברה לפיתוח 2025'!L41</f>
        <v>7846642</v>
      </c>
      <c r="M36" s="112">
        <f>'תקציב החברה לפיתוח 2025'!M41</f>
        <v>1353358</v>
      </c>
      <c r="N36" s="112">
        <f>'תקציב החברה לפיתוח 2025'!N41</f>
        <v>3750000</v>
      </c>
      <c r="O36" s="112">
        <f>'תקציב החברה לפיתוח 2025'!O41</f>
        <v>750000</v>
      </c>
      <c r="P36" s="112">
        <f>'תקציב החברה לפיתוח 2025'!P41</f>
        <v>1353358</v>
      </c>
      <c r="Q36" s="112">
        <f>'תקציב החברה לפיתוח 2025'!Q41</f>
        <v>0</v>
      </c>
      <c r="R36" s="112">
        <f>'תקציב החברה לפיתוח 2025'!R41</f>
        <v>0</v>
      </c>
      <c r="S36" s="112">
        <f>'תקציב החברה לפיתוח 2025'!S41</f>
        <v>0</v>
      </c>
      <c r="T36" s="112">
        <f>'תקציב החברה לפיתוח 2025'!T41</f>
        <v>0</v>
      </c>
      <c r="U36" s="257">
        <f>'תקציב החברה לפיתוח 2025'!U41</f>
        <v>3750000</v>
      </c>
      <c r="V36" s="112">
        <f>'תקציב החברה לפיתוח 2025'!V41</f>
        <v>3453749</v>
      </c>
      <c r="W36" s="112">
        <f>'תקציב החברה לפיתוח 2025'!W41</f>
        <v>0</v>
      </c>
      <c r="X36" s="112">
        <f>'תקציב החברה לפיתוח 2025'!X41</f>
        <v>0</v>
      </c>
      <c r="Y36" s="112">
        <f>'תקציב החברה לפיתוח 2025'!Y41</f>
        <v>0</v>
      </c>
      <c r="Z36" s="112">
        <f>'תקציב החברה לפיתוח 2025'!Z41</f>
        <v>0</v>
      </c>
      <c r="AA36" s="112">
        <f>'תקציב החברה לפיתוח 2025'!AA41</f>
        <v>296251</v>
      </c>
      <c r="AB36" s="202" t="str">
        <f>'תקציב החברה לפיתוח 2025'!AB41</f>
        <v>פיתוח סימטה שהפכה לדרך במסגרת תב"ע 2029 בנווה עמל. העבודות כוללות החלפת תשתיות תת קרקעיות,הריסת מבנה והתחברות לרח' כצלנסון. מימון רמ"י ( ישן מול חדש מכרז רמ"י "בית קורקס").</v>
      </c>
      <c r="AC36" s="3">
        <f>'תקציב החברה לפיתוח 2025'!AC41</f>
        <v>742000</v>
      </c>
      <c r="AZ36" s="126"/>
      <c r="BA36" s="126"/>
      <c r="BB36" s="126"/>
      <c r="BC36" s="126"/>
      <c r="BD36" s="126"/>
    </row>
    <row r="37" spans="1:56" ht="30">
      <c r="A37" s="112">
        <f t="shared" si="3"/>
        <v>30</v>
      </c>
      <c r="B37" s="3">
        <f>'תקציב החברה לפיתוח 2025'!B42</f>
        <v>2011</v>
      </c>
      <c r="C37" s="496" t="str">
        <f>'תקציב החברה לפיתוח 2025'!C42</f>
        <v xml:space="preserve">הקמת חניון מרינה לי </v>
      </c>
      <c r="D37" s="112">
        <f>'תקציב החברה לפיתוח 2025'!D42</f>
        <v>80000000</v>
      </c>
      <c r="E37" s="112">
        <f>'תקציב החברה לפיתוח 2025'!E42</f>
        <v>80000000</v>
      </c>
      <c r="F37" s="112">
        <f>'תקציב החברה לפיתוח 2025'!F42</f>
        <v>0</v>
      </c>
      <c r="G37" s="112">
        <f>'תקציב החברה לפיתוח 2025'!G42</f>
        <v>67562673</v>
      </c>
      <c r="H37" s="112">
        <f>'תקציב החברה לפיתוח 2025'!H42</f>
        <v>66114546</v>
      </c>
      <c r="I37" s="112">
        <f>'תקציב החברה לפיתוח 2025'!I42</f>
        <v>0</v>
      </c>
      <c r="J37" s="112">
        <f>'תקציב החברה לפיתוח 2025'!J42</f>
        <v>642201</v>
      </c>
      <c r="K37" s="112">
        <f>'תקציב החברה לפיתוח 2025'!K42</f>
        <v>642201</v>
      </c>
      <c r="L37" s="112">
        <f>'תקציב החברה לפיתוח 2025'!L42</f>
        <v>66756747</v>
      </c>
      <c r="M37" s="112">
        <f>'תקציב החברה לפיתוח 2025'!M42</f>
        <v>6643253</v>
      </c>
      <c r="N37" s="112">
        <f>'תקציב החברה לפיתוח 2025'!N42</f>
        <v>6600000</v>
      </c>
      <c r="O37" s="112">
        <f>'תקציב החברה לפיתוח 2025'!O42</f>
        <v>0</v>
      </c>
      <c r="P37" s="112">
        <f>'תקציב החברה לפיתוח 2025'!P42</f>
        <v>805926</v>
      </c>
      <c r="Q37" s="112">
        <f>'תקציב החברה לפיתוח 2025'!Q42</f>
        <v>5837327</v>
      </c>
      <c r="R37" s="112">
        <f>'תקציב החברה לפיתוח 2025'!R42</f>
        <v>0</v>
      </c>
      <c r="S37" s="112">
        <f>'תקציב החברה לפיתוח 2025'!S42</f>
        <v>5837327</v>
      </c>
      <c r="T37" s="112">
        <f>'תקציב החברה לפיתוח 2025'!T42</f>
        <v>0</v>
      </c>
      <c r="U37" s="257">
        <f>'תקציב החברה לפיתוח 2025'!U42</f>
        <v>6600000</v>
      </c>
      <c r="V37" s="112">
        <f>'תקציב החברה לפיתוח 2025'!V42</f>
        <v>6600000</v>
      </c>
      <c r="W37" s="112">
        <f>'תקציב החברה לפיתוח 2025'!W42</f>
        <v>0</v>
      </c>
      <c r="X37" s="112">
        <f>'תקציב החברה לפיתוח 2025'!X42</f>
        <v>0</v>
      </c>
      <c r="Y37" s="112">
        <f>'תקציב החברה לפיתוח 2025'!Y42</f>
        <v>0</v>
      </c>
      <c r="Z37" s="112">
        <f>'תקציב החברה לפיתוח 2025'!Z42</f>
        <v>0</v>
      </c>
      <c r="AA37" s="127">
        <f>'תקציב החברה לפיתוח 2025'!AA42</f>
        <v>0</v>
      </c>
      <c r="AB37" s="202" t="str">
        <f>'תקציב החברה לפיתוח 2025'!AB42</f>
        <v xml:space="preserve">הקמת החניון מתחת לשצ"פ במתחם המרינה לי. </v>
      </c>
      <c r="AC37" s="3">
        <f>'תקציב החברה לפיתוח 2025'!AC42</f>
        <v>742000</v>
      </c>
      <c r="AZ37" s="5"/>
      <c r="BA37" s="5"/>
      <c r="BB37" s="5"/>
      <c r="BC37" s="5"/>
      <c r="BD37" s="5"/>
    </row>
    <row r="38" spans="1:56" s="126" customFormat="1" ht="45">
      <c r="A38" s="112">
        <f t="shared" si="3"/>
        <v>31</v>
      </c>
      <c r="B38" s="127">
        <f>'תקציב החברה לפיתוח 2025'!B45</f>
        <v>2018</v>
      </c>
      <c r="C38" s="222" t="str">
        <f>'תקציב החברה לפיתוח 2025'!C45</f>
        <v>החלפת עמודי תאורה באיזור תעשיה</v>
      </c>
      <c r="D38" s="112">
        <f>'תקציב החברה לפיתוח 2025'!D45</f>
        <v>3350000</v>
      </c>
      <c r="E38" s="112">
        <f>'תקציב החברה לפיתוח 2025'!E45</f>
        <v>3350000</v>
      </c>
      <c r="F38" s="112">
        <f>'תקציב החברה לפיתוח 2025'!F45</f>
        <v>0</v>
      </c>
      <c r="G38" s="112">
        <f>'תקציב החברה לפיתוח 2025'!G45</f>
        <v>3350000</v>
      </c>
      <c r="H38" s="112">
        <f>'תקציב החברה לפיתוח 2025'!H45</f>
        <v>3064540</v>
      </c>
      <c r="I38" s="112">
        <f>'תקציב החברה לפיתוח 2025'!I45</f>
        <v>0</v>
      </c>
      <c r="J38" s="112">
        <f>'תקציב החברה לפיתוח 2025'!J45</f>
        <v>95485</v>
      </c>
      <c r="K38" s="112">
        <f>'תקציב החברה לפיתוח 2025'!K45</f>
        <v>95485</v>
      </c>
      <c r="L38" s="112">
        <f>'תקציב החברה לפיתוח 2025'!L45</f>
        <v>3160025</v>
      </c>
      <c r="M38" s="112">
        <f>'תקציב החברה לפיתוח 2025'!M45</f>
        <v>189975</v>
      </c>
      <c r="N38" s="112">
        <f>'תקציב החברה לפיתוח 2025'!N45</f>
        <v>0</v>
      </c>
      <c r="O38" s="112">
        <f>'תקציב החברה לפיתוח 2025'!O45</f>
        <v>0</v>
      </c>
      <c r="P38" s="112">
        <f>'תקציב החברה לפיתוח 2025'!P45</f>
        <v>189975</v>
      </c>
      <c r="Q38" s="112">
        <f>'תקציב החברה לפיתוח 2025'!Q45</f>
        <v>0</v>
      </c>
      <c r="R38" s="112">
        <f>'תקציב החברה לפיתוח 2025'!R45</f>
        <v>0</v>
      </c>
      <c r="S38" s="112">
        <f>'תקציב החברה לפיתוח 2025'!S45</f>
        <v>0</v>
      </c>
      <c r="T38" s="112">
        <f>'תקציב החברה לפיתוח 2025'!T45</f>
        <v>0</v>
      </c>
      <c r="U38" s="257">
        <f>'תקציב החברה לפיתוח 2025'!U45</f>
        <v>0</v>
      </c>
      <c r="V38" s="112">
        <f>'תקציב החברה לפיתוח 2025'!V45</f>
        <v>0</v>
      </c>
      <c r="W38" s="112">
        <f>'תקציב החברה לפיתוח 2025'!W45</f>
        <v>0</v>
      </c>
      <c r="X38" s="112">
        <f>'תקציב החברה לפיתוח 2025'!X45</f>
        <v>0</v>
      </c>
      <c r="Y38" s="112">
        <f>'תקציב החברה לפיתוח 2025'!Y45</f>
        <v>0</v>
      </c>
      <c r="Z38" s="112">
        <f>'תקציב החברה לפיתוח 2025'!Z45</f>
        <v>0</v>
      </c>
      <c r="AA38" s="127">
        <f>'תקציב החברה לפיתוח 2025'!AA45</f>
        <v>0</v>
      </c>
      <c r="AB38" s="207" t="str">
        <f>'תקציב החברה לפיתוח 2025'!AB45</f>
        <v>מסגרת עבודות של החלפת עמודי תאורה באיזור התעשיה. חן סופיים. התב"ר לסגירה.</v>
      </c>
      <c r="AC38" s="127">
        <f>'תקציב החברה לפיתוח 2025'!AC45</f>
        <v>742000</v>
      </c>
      <c r="AD38" s="123"/>
      <c r="AE38" s="123"/>
      <c r="AF38" s="123"/>
      <c r="AG38" s="123"/>
      <c r="AH38" s="123"/>
      <c r="AI38" s="123"/>
      <c r="AJ38" s="123"/>
      <c r="AK38" s="505"/>
      <c r="AL38" s="505"/>
      <c r="AM38" s="505"/>
      <c r="AN38" s="505"/>
      <c r="AO38" s="505"/>
      <c r="AP38" s="505"/>
      <c r="AQ38" s="505"/>
      <c r="AR38" s="505"/>
      <c r="AS38" s="123"/>
      <c r="AT38" s="123"/>
      <c r="AU38" s="123"/>
      <c r="AV38" s="123"/>
      <c r="AW38" s="123"/>
      <c r="AX38" s="123"/>
      <c r="AY38" s="123"/>
    </row>
    <row r="39" spans="1:56" s="126" customFormat="1" ht="30">
      <c r="A39" s="112">
        <f t="shared" si="3"/>
        <v>32</v>
      </c>
      <c r="B39" s="3">
        <f>'תקציב החברה לפיתוח 2025'!B49</f>
        <v>2078</v>
      </c>
      <c r="C39" s="202" t="str">
        <f>'תקציב החברה לפיתוח 2025'!C49</f>
        <v>נילי - עבודות פיתוח והסדרת תנועה</v>
      </c>
      <c r="D39" s="112">
        <f>'תקציב החברה לפיתוח 2025'!D49</f>
        <v>2360000</v>
      </c>
      <c r="E39" s="112">
        <f>'תקציב החברה לפיתוח 2025'!E49</f>
        <v>2460000</v>
      </c>
      <c r="F39" s="112">
        <f>'תקציב החברה לפיתוח 2025'!F49</f>
        <v>-100000</v>
      </c>
      <c r="G39" s="112">
        <f>'תקציב החברה לפיתוח 2025'!G49</f>
        <v>2360000</v>
      </c>
      <c r="H39" s="112">
        <f>'תקציב החברה לפיתוח 2025'!H49</f>
        <v>339729</v>
      </c>
      <c r="I39" s="112">
        <f>'תקציב החברה לפיתוח 2025'!I49</f>
        <v>0</v>
      </c>
      <c r="J39" s="112">
        <f>'תקציב החברה לפיתוח 2025'!J49</f>
        <v>147416</v>
      </c>
      <c r="K39" s="112">
        <f>'תקציב החברה לפיתוח 2025'!K49</f>
        <v>147416</v>
      </c>
      <c r="L39" s="112">
        <f>'תקציב החברה לפיתוח 2025'!L49</f>
        <v>487145</v>
      </c>
      <c r="M39" s="112">
        <f>'תקציב החברה לפיתוח 2025'!M49</f>
        <v>1872855</v>
      </c>
      <c r="N39" s="112">
        <f>'תקציב החברה לפיתוח 2025'!N49</f>
        <v>0</v>
      </c>
      <c r="O39" s="112">
        <f>'תקציב החברה לפיתוח 2025'!O49</f>
        <v>0</v>
      </c>
      <c r="P39" s="112">
        <f>'תקציב החברה לפיתוח 2025'!P49</f>
        <v>1872855</v>
      </c>
      <c r="Q39" s="112">
        <f>'תקציב החברה לפיתוח 2025'!Q49</f>
        <v>0</v>
      </c>
      <c r="R39" s="112">
        <f>'תקציב החברה לפיתוח 2025'!R49</f>
        <v>0</v>
      </c>
      <c r="S39" s="112">
        <f>'תקציב החברה לפיתוח 2025'!S49</f>
        <v>0</v>
      </c>
      <c r="T39" s="112">
        <f>'תקציב החברה לפיתוח 2025'!T49</f>
        <v>0</v>
      </c>
      <c r="U39" s="257">
        <f>'תקציב החברה לפיתוח 2025'!U49</f>
        <v>0</v>
      </c>
      <c r="V39" s="112">
        <f>'תקציב החברה לפיתוח 2025'!V49</f>
        <v>0</v>
      </c>
      <c r="W39" s="112">
        <f>'תקציב החברה לפיתוח 2025'!W49</f>
        <v>0</v>
      </c>
      <c r="X39" s="112">
        <f>'תקציב החברה לפיתוח 2025'!X49</f>
        <v>0</v>
      </c>
      <c r="Y39" s="112">
        <f>'תקציב החברה לפיתוח 2025'!Y49</f>
        <v>0</v>
      </c>
      <c r="Z39" s="112">
        <f>'תקציב החברה לפיתוח 2025'!Z49</f>
        <v>0</v>
      </c>
      <c r="AA39" s="127">
        <f>'תקציב החברה לפיתוח 2025'!AA49</f>
        <v>0</v>
      </c>
      <c r="AB39" s="202" t="str">
        <f>'תקציב החברה לפיתוח 2025'!AB49</f>
        <v>לאור החלטת בימ"ש שהעיריה תבצע שינויים גיאומטרים וקיר.</v>
      </c>
      <c r="AC39" s="3">
        <f>'תקציב החברה לפיתוח 2025'!AC49</f>
        <v>742000</v>
      </c>
      <c r="AD39" s="123"/>
      <c r="AE39" s="123"/>
      <c r="AF39" s="123"/>
      <c r="AG39" s="123"/>
      <c r="AH39" s="123"/>
      <c r="AI39" s="123"/>
      <c r="AJ39" s="123"/>
      <c r="AK39" s="505"/>
      <c r="AL39" s="505"/>
      <c r="AM39" s="505"/>
      <c r="AN39" s="505"/>
      <c r="AO39" s="505"/>
      <c r="AP39" s="505"/>
      <c r="AQ39" s="505"/>
      <c r="AR39" s="505"/>
      <c r="AS39" s="123"/>
      <c r="AT39" s="123"/>
      <c r="AU39" s="123"/>
      <c r="AV39" s="123"/>
      <c r="AW39" s="123"/>
      <c r="AX39" s="123"/>
      <c r="AY39" s="123"/>
      <c r="AZ39" s="5"/>
      <c r="BA39" s="5"/>
      <c r="BB39" s="5"/>
      <c r="BC39" s="5"/>
      <c r="BD39" s="5"/>
    </row>
    <row r="40" spans="1:56" s="126" customFormat="1" ht="30">
      <c r="A40" s="112">
        <f t="shared" si="3"/>
        <v>33</v>
      </c>
      <c r="B40" s="19">
        <f>'תקציב החברה לפיתוח 2025'!B53</f>
        <v>2106</v>
      </c>
      <c r="C40" s="202" t="str">
        <f>'תקציב החברה לפיתוח 2025'!C53</f>
        <v>אוצר הצמחים ,הראשונים ואבן אודם</v>
      </c>
      <c r="D40" s="112">
        <f>'תקציב החברה לפיתוח 2025'!D53</f>
        <v>15000000</v>
      </c>
      <c r="E40" s="112">
        <f>'תקציב החברה לפיתוח 2025'!E53</f>
        <v>15000000</v>
      </c>
      <c r="F40" s="112">
        <f>'תקציב החברה לפיתוח 2025'!F53</f>
        <v>0</v>
      </c>
      <c r="G40" s="112">
        <f>'תקציב החברה לפיתוח 2025'!G53</f>
        <v>4500000</v>
      </c>
      <c r="H40" s="112">
        <f>'תקציב החברה לפיתוח 2025'!H53</f>
        <v>2372361</v>
      </c>
      <c r="I40" s="112">
        <f>'תקציב החברה לפיתוח 2025'!I53</f>
        <v>0</v>
      </c>
      <c r="J40" s="112">
        <f>'תקציב החברה לפיתוח 2025'!J53</f>
        <v>1394548</v>
      </c>
      <c r="K40" s="112">
        <f>'תקציב החברה לפיתוח 2025'!K53</f>
        <v>1394548</v>
      </c>
      <c r="L40" s="112">
        <f>'תקציב החברה לפיתוח 2025'!L53</f>
        <v>3766909</v>
      </c>
      <c r="M40" s="112">
        <f>'תקציב החברה לפיתוח 2025'!M53</f>
        <v>733091</v>
      </c>
      <c r="N40" s="112">
        <f>'תקציב החברה לפיתוח 2025'!N53</f>
        <v>0</v>
      </c>
      <c r="O40" s="112">
        <f>'תקציב החברה לפיתוח 2025'!O53</f>
        <v>10500000</v>
      </c>
      <c r="P40" s="112">
        <f>'תקציב החברה לפיתוח 2025'!P53</f>
        <v>733091</v>
      </c>
      <c r="Q40" s="112">
        <f>'תקציב החברה לפיתוח 2025'!Q53</f>
        <v>0</v>
      </c>
      <c r="R40" s="112">
        <f>'תקציב החברה לפיתוח 2025'!R53</f>
        <v>0</v>
      </c>
      <c r="S40" s="112">
        <f>'תקציב החברה לפיתוח 2025'!S53</f>
        <v>0</v>
      </c>
      <c r="T40" s="112">
        <f>'תקציב החברה לפיתוח 2025'!T53</f>
        <v>0</v>
      </c>
      <c r="U40" s="257">
        <f>'תקציב החברה לפיתוח 2025'!U53</f>
        <v>0</v>
      </c>
      <c r="V40" s="112">
        <f>'תקציב החברה לפיתוח 2025'!V53</f>
        <v>0</v>
      </c>
      <c r="W40" s="112">
        <f>'תקציב החברה לפיתוח 2025'!W53</f>
        <v>0</v>
      </c>
      <c r="X40" s="112">
        <f>'תקציב החברה לפיתוח 2025'!X53</f>
        <v>0</v>
      </c>
      <c r="Y40" s="112">
        <f>'תקציב החברה לפיתוח 2025'!Y53</f>
        <v>0</v>
      </c>
      <c r="Z40" s="112">
        <f>'תקציב החברה לפיתוח 2025'!Z53</f>
        <v>0</v>
      </c>
      <c r="AA40" s="127">
        <f>'תקציב החברה לפיתוח 2025'!AA53</f>
        <v>0</v>
      </c>
      <c r="AB40" s="207" t="str">
        <f>'תקציב החברה לפיתוח 2025'!AB53</f>
        <v>פיתוח מתחם הרחובות אוצר הצמחים, אבן אודם, הראשונים.</v>
      </c>
      <c r="AC40" s="3">
        <f>'תקציב החברה לפיתוח 2025'!AC53</f>
        <v>742000</v>
      </c>
      <c r="AD40" s="123"/>
      <c r="AE40" s="123"/>
      <c r="AF40" s="123"/>
      <c r="AG40" s="123"/>
      <c r="AH40" s="123"/>
      <c r="AI40" s="123"/>
      <c r="AJ40" s="123"/>
      <c r="AK40" s="505"/>
      <c r="AL40" s="505"/>
      <c r="AM40" s="505"/>
      <c r="AN40" s="505"/>
      <c r="AO40" s="505"/>
      <c r="AP40" s="505"/>
      <c r="AQ40" s="505"/>
      <c r="AR40" s="505"/>
      <c r="AS40" s="123"/>
      <c r="AT40" s="123"/>
      <c r="AU40" s="123"/>
      <c r="AV40" s="123"/>
      <c r="AW40" s="123"/>
      <c r="AX40" s="123"/>
      <c r="AY40" s="123"/>
      <c r="AZ40" s="5"/>
      <c r="BA40" s="5"/>
      <c r="BB40" s="5"/>
      <c r="BC40" s="5"/>
      <c r="BD40" s="5"/>
    </row>
    <row r="41" spans="1:56" ht="30">
      <c r="A41" s="112">
        <f t="shared" si="3"/>
        <v>34</v>
      </c>
      <c r="B41" s="19">
        <f>'תקציב החברה לפיתוח 2025'!B54</f>
        <v>2109</v>
      </c>
      <c r="C41" s="202" t="str">
        <f>'תקציב החברה לפיתוח 2025'!C54</f>
        <v>רחוב הפרטיזנים</v>
      </c>
      <c r="D41" s="112">
        <f>'תקציב החברה לפיתוח 2025'!D54</f>
        <v>7500000</v>
      </c>
      <c r="E41" s="112">
        <f>'תקציב החברה לפיתוח 2025'!E54</f>
        <v>7500000</v>
      </c>
      <c r="F41" s="112">
        <f>'תקציב החברה לפיתוח 2025'!F54</f>
        <v>0</v>
      </c>
      <c r="G41" s="112">
        <f>'תקציב החברה לפיתוח 2025'!G54</f>
        <v>850000</v>
      </c>
      <c r="H41" s="112">
        <f>'תקציב החברה לפיתוח 2025'!H54</f>
        <v>165227</v>
      </c>
      <c r="I41" s="112">
        <f>'תקציב החברה לפיתוח 2025'!I54</f>
        <v>0</v>
      </c>
      <c r="J41" s="112">
        <f>'תקציב החברה לפיתוח 2025'!J54</f>
        <v>55973</v>
      </c>
      <c r="K41" s="112">
        <f>'תקציב החברה לפיתוח 2025'!K54</f>
        <v>55973</v>
      </c>
      <c r="L41" s="112">
        <f>'תקציב החברה לפיתוח 2025'!L54</f>
        <v>221200</v>
      </c>
      <c r="M41" s="112">
        <f>'תקציב החברה לפיתוח 2025'!M54</f>
        <v>628800</v>
      </c>
      <c r="N41" s="112">
        <f>'תקציב החברה לפיתוח 2025'!N54</f>
        <v>0</v>
      </c>
      <c r="O41" s="112">
        <f>'תקציב החברה לפיתוח 2025'!O54</f>
        <v>6650000</v>
      </c>
      <c r="P41" s="112">
        <f>'תקציב החברה לפיתוח 2025'!P54</f>
        <v>628800</v>
      </c>
      <c r="Q41" s="112">
        <f>'תקציב החברה לפיתוח 2025'!Q54</f>
        <v>0</v>
      </c>
      <c r="R41" s="112">
        <f>'תקציב החברה לפיתוח 2025'!R54</f>
        <v>0</v>
      </c>
      <c r="S41" s="112">
        <f>'תקציב החברה לפיתוח 2025'!S54</f>
        <v>0</v>
      </c>
      <c r="T41" s="112">
        <f>'תקציב החברה לפיתוח 2025'!T54</f>
        <v>0</v>
      </c>
      <c r="U41" s="257">
        <f>'תקציב החברה לפיתוח 2025'!U54</f>
        <v>0</v>
      </c>
      <c r="V41" s="112">
        <f>'תקציב החברה לפיתוח 2025'!V54</f>
        <v>0</v>
      </c>
      <c r="W41" s="112">
        <f>'תקציב החברה לפיתוח 2025'!W54</f>
        <v>0</v>
      </c>
      <c r="X41" s="112">
        <f>'תקציב החברה לפיתוח 2025'!X54</f>
        <v>0</v>
      </c>
      <c r="Y41" s="112">
        <f>'תקציב החברה לפיתוח 2025'!Y54</f>
        <v>0</v>
      </c>
      <c r="Z41" s="112">
        <f>'תקציב החברה לפיתוח 2025'!Z54</f>
        <v>0</v>
      </c>
      <c r="AA41" s="127">
        <f>'תקציב החברה לפיתוח 2025'!AA54</f>
        <v>0</v>
      </c>
      <c r="AB41" s="202" t="str">
        <f>'תקציב החברה לפיתוח 2025'!AB54</f>
        <v xml:space="preserve">תכנון פיתוח רחוב הפרטיזנים. מדרכה מזרחית/דרומית, עבו' ניקוז. </v>
      </c>
      <c r="AC41" s="3">
        <f>'תקציב החברה לפיתוח 2025'!AC54</f>
        <v>742000</v>
      </c>
    </row>
    <row r="42" spans="1:56" ht="45">
      <c r="A42" s="112">
        <f t="shared" si="3"/>
        <v>35</v>
      </c>
      <c r="B42" s="19">
        <f>'תקציב החברה לפיתוח 2025'!B55</f>
        <v>2111</v>
      </c>
      <c r="C42" s="202" t="str">
        <f>'תקציב החברה לפיתוח 2025'!C55</f>
        <v>הר מירון בר כוכבא הר' 2266</v>
      </c>
      <c r="D42" s="112">
        <f>'תקציב החברה לפיתוח 2025'!D55</f>
        <v>15200000</v>
      </c>
      <c r="E42" s="112">
        <f>'תקציב החברה לפיתוח 2025'!E55</f>
        <v>15200000</v>
      </c>
      <c r="F42" s="112">
        <f>'תקציב החברה לפיתוח 2025'!F55</f>
        <v>0</v>
      </c>
      <c r="G42" s="112">
        <f>'תקציב החברה לפיתוח 2025'!G55</f>
        <v>0</v>
      </c>
      <c r="H42" s="112">
        <f>'תקציב החברה לפיתוח 2025'!H55</f>
        <v>0</v>
      </c>
      <c r="I42" s="112">
        <f>'תקציב החברה לפיתוח 2025'!I55</f>
        <v>0</v>
      </c>
      <c r="J42" s="112">
        <f>'תקציב החברה לפיתוח 2025'!J55</f>
        <v>0</v>
      </c>
      <c r="K42" s="112">
        <f>'תקציב החברה לפיתוח 2025'!K55</f>
        <v>0</v>
      </c>
      <c r="L42" s="112">
        <f>'תקציב החברה לפיתוח 2025'!L55</f>
        <v>0</v>
      </c>
      <c r="M42" s="112">
        <f>'תקציב החברה לפיתוח 2025'!M55</f>
        <v>0</v>
      </c>
      <c r="N42" s="112">
        <f>'תקציב החברה לפיתוח 2025'!N55</f>
        <v>1500000</v>
      </c>
      <c r="O42" s="112">
        <f>'תקציב החברה לפיתוח 2025'!O55</f>
        <v>13700000</v>
      </c>
      <c r="P42" s="112">
        <f>'תקציב החברה לפיתוח 2025'!P55</f>
        <v>0</v>
      </c>
      <c r="Q42" s="112">
        <f>'תקציב החברה לפיתוח 2025'!Q55</f>
        <v>0</v>
      </c>
      <c r="R42" s="112">
        <f>'תקציב החברה לפיתוח 2025'!R55</f>
        <v>0</v>
      </c>
      <c r="S42" s="112">
        <f>'תקציב החברה לפיתוח 2025'!S55</f>
        <v>0</v>
      </c>
      <c r="T42" s="112">
        <f>'תקציב החברה לפיתוח 2025'!T55</f>
        <v>0</v>
      </c>
      <c r="U42" s="257">
        <f>'תקציב החברה לפיתוח 2025'!U55</f>
        <v>1500000</v>
      </c>
      <c r="V42" s="112">
        <f>'תקציב החברה לפיתוח 2025'!V55</f>
        <v>1500000</v>
      </c>
      <c r="W42" s="112">
        <f>'תקציב החברה לפיתוח 2025'!W55</f>
        <v>0</v>
      </c>
      <c r="X42" s="112">
        <f>'תקציב החברה לפיתוח 2025'!X55</f>
        <v>0</v>
      </c>
      <c r="Y42" s="112">
        <f>'תקציב החברה לפיתוח 2025'!Y55</f>
        <v>0</v>
      </c>
      <c r="Z42" s="112">
        <f>'תקציב החברה לפיתוח 2025'!Z55</f>
        <v>0</v>
      </c>
      <c r="AA42" s="127">
        <f>'תקציב החברה לפיתוח 2025'!AA55</f>
        <v>0</v>
      </c>
      <c r="AB42" s="202" t="str">
        <f>'תקציב החברה לפיתוח 2025'!AB55</f>
        <v xml:space="preserve">תכנון פיתוח הרחובות הר מירון בר כוכבא ("הגפן") בעקבות אישור תוכנית התחדשות עירונית. </v>
      </c>
      <c r="AC42" s="3">
        <f>'תקציב החברה לפיתוח 2025'!AC55</f>
        <v>742000</v>
      </c>
    </row>
    <row r="43" spans="1:56" s="5" customFormat="1" ht="45">
      <c r="A43" s="112">
        <f t="shared" si="3"/>
        <v>36</v>
      </c>
      <c r="B43" s="19">
        <f>'תקציב החברה לפיתוח 2025'!B58</f>
        <v>2119</v>
      </c>
      <c r="C43" s="202" t="str">
        <f>'תקציב החברה לפיתוח 2025'!C58</f>
        <v>שביל מתחם העצמאות הרב גורן הבנים</v>
      </c>
      <c r="D43" s="112">
        <f>'תקציב החברה לפיתוח 2025'!D58</f>
        <v>8000000</v>
      </c>
      <c r="E43" s="112">
        <f>'תקציב החברה לפיתוח 2025'!E58</f>
        <v>6000000</v>
      </c>
      <c r="F43" s="112">
        <f>'תקציב החברה לפיתוח 2025'!F58</f>
        <v>2000000</v>
      </c>
      <c r="G43" s="112">
        <f>'תקציב החברה לפיתוח 2025'!G58</f>
        <v>6000000</v>
      </c>
      <c r="H43" s="112">
        <f>'תקציב החברה לפיתוח 2025'!H58</f>
        <v>3709565</v>
      </c>
      <c r="I43" s="112">
        <f>'תקציב החברה לפיתוח 2025'!I58</f>
        <v>0</v>
      </c>
      <c r="J43" s="112">
        <f>'תקציב החברה לפיתוח 2025'!J58</f>
        <v>240449</v>
      </c>
      <c r="K43" s="112">
        <f>'תקציב החברה לפיתוח 2025'!K58</f>
        <v>240449</v>
      </c>
      <c r="L43" s="112">
        <f>'תקציב החברה לפיתוח 2025'!L58</f>
        <v>3950014</v>
      </c>
      <c r="M43" s="112">
        <f>'תקציב החברה לפיתוח 2025'!M58</f>
        <v>2049986</v>
      </c>
      <c r="N43" s="112">
        <f>'תקציב החברה לפיתוח 2025'!N58</f>
        <v>2000000</v>
      </c>
      <c r="O43" s="112">
        <f>'תקציב החברה לפיתוח 2025'!O58</f>
        <v>0</v>
      </c>
      <c r="P43" s="112">
        <f>'תקציב החברה לפיתוח 2025'!P58</f>
        <v>2049986</v>
      </c>
      <c r="Q43" s="112">
        <f>'תקציב החברה לפיתוח 2025'!Q58</f>
        <v>0</v>
      </c>
      <c r="R43" s="112">
        <f>'תקציב החברה לפיתוח 2025'!R58</f>
        <v>0</v>
      </c>
      <c r="S43" s="112">
        <f>'תקציב החברה לפיתוח 2025'!S58</f>
        <v>0</v>
      </c>
      <c r="T43" s="112">
        <f>'תקציב החברה לפיתוח 2025'!T58</f>
        <v>0</v>
      </c>
      <c r="U43" s="257">
        <f>'תקציב החברה לפיתוח 2025'!U58</f>
        <v>2000000</v>
      </c>
      <c r="V43" s="112">
        <f>'תקציב החברה לפיתוח 2025'!V58</f>
        <v>2000000</v>
      </c>
      <c r="W43" s="112">
        <f>'תקציב החברה לפיתוח 2025'!W58</f>
        <v>0</v>
      </c>
      <c r="X43" s="112">
        <f>'תקציב החברה לפיתוח 2025'!X58</f>
        <v>0</v>
      </c>
      <c r="Y43" s="112">
        <f>'תקציב החברה לפיתוח 2025'!Y58</f>
        <v>0</v>
      </c>
      <c r="Z43" s="112">
        <f>'תקציב החברה לפיתוח 2025'!Z58</f>
        <v>0</v>
      </c>
      <c r="AA43" s="127">
        <f>'תקציב החברה לפיתוח 2025'!AA58</f>
        <v>0</v>
      </c>
      <c r="AB43" s="202" t="str">
        <f>'תקציב החברה לפיתוח 2025'!AB58</f>
        <v>עבודות פיתוח מערך שבילים בין הרחובות העצמאות הרב גורן ורחוב הבנים.</v>
      </c>
      <c r="AC43" s="3">
        <f>'תקציב החברה לפיתוח 2025'!AC58</f>
        <v>742000</v>
      </c>
      <c r="AD43" s="123"/>
      <c r="AE43" s="123"/>
      <c r="AF43" s="123"/>
      <c r="AG43" s="123"/>
      <c r="AH43" s="123"/>
      <c r="AI43" s="123"/>
      <c r="AJ43" s="123"/>
      <c r="AK43" s="505"/>
      <c r="AL43" s="505"/>
      <c r="AM43" s="505"/>
      <c r="AN43" s="505"/>
      <c r="AO43" s="505"/>
      <c r="AP43" s="505"/>
      <c r="AQ43" s="505"/>
      <c r="AR43" s="505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</row>
    <row r="44" spans="1:56" ht="45">
      <c r="A44" s="112">
        <f t="shared" si="3"/>
        <v>37</v>
      </c>
      <c r="B44" s="19">
        <f>'תקציב החברה לפיתוח 2025'!B62</f>
        <v>2151</v>
      </c>
      <c r="C44" s="202" t="str">
        <f>'תקציב החברה לפיתוח 2025'!C62</f>
        <v>מתחם בזק</v>
      </c>
      <c r="D44" s="112">
        <f>'תקציב החברה לפיתוח 2025'!D62</f>
        <v>54000000</v>
      </c>
      <c r="E44" s="112">
        <f>'תקציב החברה לפיתוח 2025'!E62</f>
        <v>54000000</v>
      </c>
      <c r="F44" s="112">
        <f>'תקציב החברה לפיתוח 2025'!F62</f>
        <v>0</v>
      </c>
      <c r="G44" s="112">
        <f>'תקציב החברה לפיתוח 2025'!G62</f>
        <v>9200000</v>
      </c>
      <c r="H44" s="112">
        <f>'תקציב החברה לפיתוח 2025'!H62</f>
        <v>8382338</v>
      </c>
      <c r="I44" s="112">
        <f>'תקציב החברה לפיתוח 2025'!I62</f>
        <v>0</v>
      </c>
      <c r="J44" s="112">
        <f>'תקציב החברה לפיתוח 2025'!J62</f>
        <v>816302</v>
      </c>
      <c r="K44" s="112">
        <f>'תקציב החברה לפיתוח 2025'!K62</f>
        <v>816302</v>
      </c>
      <c r="L44" s="112">
        <f>'תקציב החברה לפיתוח 2025'!L62</f>
        <v>9198640</v>
      </c>
      <c r="M44" s="112">
        <f>'תקציב החברה לפיתוח 2025'!M62</f>
        <v>6801360</v>
      </c>
      <c r="N44" s="112">
        <f>'תקציב החברה לפיתוח 2025'!N62</f>
        <v>17000000</v>
      </c>
      <c r="O44" s="112">
        <f>'תקציב החברה לפיתוח 2025'!O62</f>
        <v>21000000</v>
      </c>
      <c r="P44" s="112">
        <f>'תקציב החברה לפיתוח 2025'!P62</f>
        <v>1360</v>
      </c>
      <c r="Q44" s="112">
        <f>'תקציב החברה לפיתוח 2025'!Q62</f>
        <v>1800000</v>
      </c>
      <c r="R44" s="112">
        <f>'תקציב החברה לפיתוח 2025'!R62</f>
        <v>5000000</v>
      </c>
      <c r="S44" s="112">
        <f>'תקציב החברה לפיתוח 2025'!S62</f>
        <v>6800000</v>
      </c>
      <c r="T44" s="112">
        <f>'תקציב החברה לפיתוח 2025'!T62</f>
        <v>0</v>
      </c>
      <c r="U44" s="257">
        <f>'תקציב החברה לפיתוח 2025'!U62</f>
        <v>17000000</v>
      </c>
      <c r="V44" s="112">
        <f>'תקציב החברה לפיתוח 2025'!V62</f>
        <v>17000000</v>
      </c>
      <c r="W44" s="112">
        <f>'תקציב החברה לפיתוח 2025'!W62</f>
        <v>0</v>
      </c>
      <c r="X44" s="112">
        <f>'תקציב החברה לפיתוח 2025'!X62</f>
        <v>0</v>
      </c>
      <c r="Y44" s="112">
        <f>'תקציב החברה לפיתוח 2025'!Y62</f>
        <v>0</v>
      </c>
      <c r="Z44" s="112">
        <f>'תקציב החברה לפיתוח 2025'!Z62</f>
        <v>0</v>
      </c>
      <c r="AA44" s="127">
        <f>'תקציב החברה לפיתוח 2025'!AA62</f>
        <v>0</v>
      </c>
      <c r="AB44" s="496" t="str">
        <f>'תקציב החברה לפיתוח 2025'!AB62</f>
        <v>פיתוח מתחם "בזק" בו ייבנה בניין משרדים שבין היתר יאוכלס אגף הרווחה. כולל הריסת מבנה בזק.</v>
      </c>
      <c r="AC44" s="3">
        <f>'תקציב החברה לפיתוח 2025'!AC62</f>
        <v>742000</v>
      </c>
    </row>
    <row r="45" spans="1:56" ht="45">
      <c r="A45" s="112">
        <f t="shared" si="3"/>
        <v>38</v>
      </c>
      <c r="B45" s="19">
        <f>'תקציב החברה לפיתוח 2025'!B69</f>
        <v>2191</v>
      </c>
      <c r="C45" s="202" t="str">
        <f>'תקציב החברה לפיתוח 2025'!C69</f>
        <v>עבודות ניקוז רחוב סוקולוב</v>
      </c>
      <c r="D45" s="112">
        <f>'תקציב החברה לפיתוח 2025'!D69</f>
        <v>14000000</v>
      </c>
      <c r="E45" s="112">
        <f>'תקציב החברה לפיתוח 2025'!E69</f>
        <v>14000000</v>
      </c>
      <c r="F45" s="112">
        <f>'תקציב החברה לפיתוח 2025'!F69</f>
        <v>0</v>
      </c>
      <c r="G45" s="112">
        <f>'תקציב החברה לפיתוח 2025'!G69</f>
        <v>700000</v>
      </c>
      <c r="H45" s="112">
        <f>'תקציב החברה לפיתוח 2025'!H69</f>
        <v>482960</v>
      </c>
      <c r="I45" s="112">
        <f>'תקציב החברה לפיתוח 2025'!I69</f>
        <v>0</v>
      </c>
      <c r="J45" s="112">
        <f>'תקציב החברה לפיתוח 2025'!J69</f>
        <v>0</v>
      </c>
      <c r="K45" s="112">
        <f>'תקציב החברה לפיתוח 2025'!K69</f>
        <v>0</v>
      </c>
      <c r="L45" s="112">
        <f>'תקציב החברה לפיתוח 2025'!L69</f>
        <v>482960</v>
      </c>
      <c r="M45" s="112">
        <f>'תקציב החברה לפיתוח 2025'!M69</f>
        <v>217040</v>
      </c>
      <c r="N45" s="112">
        <f>'תקציב החברה לפיתוח 2025'!N69</f>
        <v>0</v>
      </c>
      <c r="O45" s="112">
        <f>'תקציב החברה לפיתוח 2025'!O69</f>
        <v>13300000</v>
      </c>
      <c r="P45" s="112">
        <f>'תקציב החברה לפיתוח 2025'!P69</f>
        <v>217040</v>
      </c>
      <c r="Q45" s="112">
        <f>'תקציב החברה לפיתוח 2025'!Q69</f>
        <v>0</v>
      </c>
      <c r="R45" s="112">
        <f>'תקציב החברה לפיתוח 2025'!R69</f>
        <v>0</v>
      </c>
      <c r="S45" s="112">
        <f>'תקציב החברה לפיתוח 2025'!S69</f>
        <v>0</v>
      </c>
      <c r="T45" s="112">
        <f>'תקציב החברה לפיתוח 2025'!T69</f>
        <v>0</v>
      </c>
      <c r="U45" s="257">
        <f>'תקציב החברה לפיתוח 2025'!U69</f>
        <v>0</v>
      </c>
      <c r="V45" s="112">
        <f>'תקציב החברה לפיתוח 2025'!V69</f>
        <v>0</v>
      </c>
      <c r="W45" s="112">
        <f>'תקציב החברה לפיתוח 2025'!W69</f>
        <v>0</v>
      </c>
      <c r="X45" s="112">
        <f>'תקציב החברה לפיתוח 2025'!X69</f>
        <v>0</v>
      </c>
      <c r="Y45" s="112">
        <f>'תקציב החברה לפיתוח 2025'!Y69</f>
        <v>0</v>
      </c>
      <c r="Z45" s="112">
        <f>'תקציב החברה לפיתוח 2025'!Z69</f>
        <v>0</v>
      </c>
      <c r="AA45" s="127">
        <f>'תקציב החברה לפיתוח 2025'!AA69</f>
        <v>0</v>
      </c>
      <c r="AB45" s="202" t="str">
        <f>'תקציב החברה לפיתוח 2025'!AB69</f>
        <v>תכנון וביצוע ניקוז ברחוב סוקולוב בשיתוף עם תאגיד המים. במסגרת תוכ. אב לניקוז.</v>
      </c>
      <c r="AC45" s="3">
        <f>'תקציב החברה לפיתוח 2025'!AC69</f>
        <v>742000</v>
      </c>
      <c r="AZ45" s="148"/>
      <c r="BA45" s="148"/>
      <c r="BB45" s="148"/>
      <c r="BC45" s="148"/>
      <c r="BD45" s="148"/>
    </row>
    <row r="46" spans="1:56" ht="45">
      <c r="A46" s="112">
        <f t="shared" si="3"/>
        <v>39</v>
      </c>
      <c r="B46" s="19">
        <f>'תקציב החברה לפיתוח 2025'!B70</f>
        <v>2194</v>
      </c>
      <c r="C46" s="202" t="str">
        <f>'תקציב החברה לפיתוח 2025'!C70</f>
        <v xml:space="preserve">עבודות ניקוז  רחוב רבינו תם </v>
      </c>
      <c r="D46" s="112">
        <f>'תקציב החברה לפיתוח 2025'!D70</f>
        <v>700000</v>
      </c>
      <c r="E46" s="112">
        <f>'תקציב החברה לפיתוח 2025'!E70</f>
        <v>700000</v>
      </c>
      <c r="F46" s="112">
        <f>'תקציב החברה לפיתוח 2025'!F70</f>
        <v>0</v>
      </c>
      <c r="G46" s="112">
        <f>'תקציב החברה לפיתוח 2025'!G70</f>
        <v>0</v>
      </c>
      <c r="H46" s="112">
        <f>'תקציב החברה לפיתוח 2025'!H70</f>
        <v>0</v>
      </c>
      <c r="I46" s="112">
        <f>'תקציב החברה לפיתוח 2025'!I70</f>
        <v>0</v>
      </c>
      <c r="J46" s="112">
        <f>'תקציב החברה לפיתוח 2025'!J70</f>
        <v>0</v>
      </c>
      <c r="K46" s="112">
        <f>'תקציב החברה לפיתוח 2025'!K70</f>
        <v>0</v>
      </c>
      <c r="L46" s="112">
        <f>'תקציב החברה לפיתוח 2025'!L70</f>
        <v>0</v>
      </c>
      <c r="M46" s="112">
        <f>'תקציב החברה לפיתוח 2025'!M70</f>
        <v>0</v>
      </c>
      <c r="N46" s="112">
        <f>'תקציב החברה לפיתוח 2025'!N70</f>
        <v>0</v>
      </c>
      <c r="O46" s="112">
        <f>'תקציב החברה לפיתוח 2025'!O70</f>
        <v>700000</v>
      </c>
      <c r="P46" s="112">
        <f>'תקציב החברה לפיתוח 2025'!P70</f>
        <v>0</v>
      </c>
      <c r="Q46" s="112">
        <f>'תקציב החברה לפיתוח 2025'!Q70</f>
        <v>0</v>
      </c>
      <c r="R46" s="112">
        <f>'תקציב החברה לפיתוח 2025'!R70</f>
        <v>0</v>
      </c>
      <c r="S46" s="112">
        <f>'תקציב החברה לפיתוח 2025'!S70</f>
        <v>0</v>
      </c>
      <c r="T46" s="112">
        <f>'תקציב החברה לפיתוח 2025'!T70</f>
        <v>0</v>
      </c>
      <c r="U46" s="257">
        <f>'תקציב החברה לפיתוח 2025'!U70</f>
        <v>0</v>
      </c>
      <c r="V46" s="112">
        <f>'תקציב החברה לפיתוח 2025'!V70</f>
        <v>0</v>
      </c>
      <c r="W46" s="112">
        <f>'תקציב החברה לפיתוח 2025'!W70</f>
        <v>0</v>
      </c>
      <c r="X46" s="112">
        <f>'תקציב החברה לפיתוח 2025'!X70</f>
        <v>0</v>
      </c>
      <c r="Y46" s="112">
        <f>'תקציב החברה לפיתוח 2025'!Y70</f>
        <v>0</v>
      </c>
      <c r="Z46" s="112">
        <f>'תקציב החברה לפיתוח 2025'!Z70</f>
        <v>0</v>
      </c>
      <c r="AA46" s="127">
        <f>'תקציב החברה לפיתוח 2025'!AA70</f>
        <v>0</v>
      </c>
      <c r="AB46" s="202" t="str">
        <f>'תקציב החברה לפיתוח 2025'!AB70</f>
        <v>תכנון וביצוע ניקוז ברחוב רבנו תם בשיתוף עם תאגיד המים. במסגרת תוכ. אב לניקוז.</v>
      </c>
      <c r="AC46" s="3">
        <f>'תקציב החברה לפיתוח 2025'!AC70</f>
        <v>742000</v>
      </c>
      <c r="AZ46" s="148"/>
      <c r="BA46" s="148"/>
      <c r="BB46" s="148"/>
      <c r="BC46" s="148"/>
      <c r="BD46" s="148"/>
    </row>
    <row r="47" spans="1:56" ht="90">
      <c r="A47" s="112">
        <f t="shared" si="3"/>
        <v>40</v>
      </c>
      <c r="B47" s="19">
        <f>'תקציב החברה לפיתוח 2025'!B71</f>
        <v>2195</v>
      </c>
      <c r="C47" s="202" t="str">
        <f>'תקציב החברה לפיתוח 2025'!C71</f>
        <v xml:space="preserve">תוכנית אב לביופילטרים ברחבי העיר   </v>
      </c>
      <c r="D47" s="4">
        <f>'תקציב החברה לפיתוח 2025'!D71</f>
        <v>2300000</v>
      </c>
      <c r="E47" s="4">
        <f>'תקציב החברה לפיתוח 2025'!E71</f>
        <v>2300000</v>
      </c>
      <c r="F47" s="4">
        <f>'תקציב החברה לפיתוח 2025'!F71</f>
        <v>0</v>
      </c>
      <c r="G47" s="4">
        <f>'תקציב החברה לפיתוח 2025'!G71</f>
        <v>100000</v>
      </c>
      <c r="H47" s="4">
        <f>'תקציב החברה לפיתוח 2025'!H71</f>
        <v>0</v>
      </c>
      <c r="I47" s="4">
        <f>'תקציב החברה לפיתוח 2025'!I71</f>
        <v>0</v>
      </c>
      <c r="J47" s="4">
        <f>'תקציב החברה לפיתוח 2025'!J71</f>
        <v>0</v>
      </c>
      <c r="K47" s="4">
        <f>'תקציב החברה לפיתוח 2025'!K71</f>
        <v>0</v>
      </c>
      <c r="L47" s="4">
        <f>'תקציב החברה לפיתוח 2025'!L71</f>
        <v>0</v>
      </c>
      <c r="M47" s="112">
        <f>'תקציב החברה לפיתוח 2025'!M71</f>
        <v>100000</v>
      </c>
      <c r="N47" s="112">
        <f>'תקציב החברה לפיתוח 2025'!N71</f>
        <v>0</v>
      </c>
      <c r="O47" s="4">
        <f>'תקציב החברה לפיתוח 2025'!O71</f>
        <v>2200000</v>
      </c>
      <c r="P47" s="4">
        <f>'תקציב החברה לפיתוח 2025'!P71</f>
        <v>100000</v>
      </c>
      <c r="Q47" s="4">
        <f>'תקציב החברה לפיתוח 2025'!Q71</f>
        <v>0</v>
      </c>
      <c r="R47" s="4">
        <f>'תקציב החברה לפיתוח 2025'!R71</f>
        <v>0</v>
      </c>
      <c r="S47" s="4">
        <f>'תקציב החברה לפיתוח 2025'!S71</f>
        <v>0</v>
      </c>
      <c r="T47" s="4">
        <f>'תקציב החברה לפיתוח 2025'!T71</f>
        <v>0</v>
      </c>
      <c r="U47" s="495">
        <f>'תקציב החברה לפיתוח 2025'!U71</f>
        <v>0</v>
      </c>
      <c r="V47" s="4">
        <f>'תקציב החברה לפיתוח 2025'!V71</f>
        <v>0</v>
      </c>
      <c r="W47" s="4">
        <f>'תקציב החברה לפיתוח 2025'!W71</f>
        <v>0</v>
      </c>
      <c r="X47" s="4">
        <f>'תקציב החברה לפיתוח 2025'!X71</f>
        <v>0</v>
      </c>
      <c r="Y47" s="4">
        <f>'תקציב החברה לפיתוח 2025'!Y71</f>
        <v>0</v>
      </c>
      <c r="Z47" s="4">
        <f>'תקציב החברה לפיתוח 2025'!Z71</f>
        <v>0</v>
      </c>
      <c r="AA47" s="3">
        <f>'תקציב החברה לפיתוח 2025'!AA71</f>
        <v>0</v>
      </c>
      <c r="AB47" s="202" t="str">
        <f>'תקציב החברה לפיתוח 2025'!AB71</f>
        <v>הכנת ת.אב לאיגומים ברחבי העיר, סקר שטחים ציבוריים והקמת ביופילטרים, מתקנים לסינון מים מזוהמים ומניעת בזבוז מי נגר עירוני, סקר שטחים פתוחים לצורך מימוש כמאגרי השהייה.</v>
      </c>
      <c r="AC47" s="3">
        <f>'תקציב החברה לפיתוח 2025'!AC71</f>
        <v>742000</v>
      </c>
      <c r="AZ47" s="5"/>
      <c r="BA47" s="5"/>
      <c r="BB47" s="5"/>
      <c r="BC47" s="5"/>
      <c r="BD47" s="5"/>
    </row>
    <row r="48" spans="1:56" s="6" customFormat="1" ht="45">
      <c r="A48" s="112">
        <f t="shared" si="3"/>
        <v>41</v>
      </c>
      <c r="B48" s="19">
        <f>'תקציב החברה לפיתוח 2025'!B72</f>
        <v>2196</v>
      </c>
      <c r="C48" s="202" t="str">
        <f>'תקציב החברה לפיתוח 2025'!C72</f>
        <v xml:space="preserve">עבודות ניקוז   רחוב הרב גורן </v>
      </c>
      <c r="D48" s="4">
        <f>'תקציב החברה לפיתוח 2025'!D72</f>
        <v>22500000</v>
      </c>
      <c r="E48" s="112">
        <f>'תקציב החברה לפיתוח 2025'!E72</f>
        <v>21135000</v>
      </c>
      <c r="F48" s="112">
        <f>'תקציב החברה לפיתוח 2025'!F72</f>
        <v>1365000</v>
      </c>
      <c r="G48" s="112">
        <f>'תקציב החברה לפיתוח 2025'!G72</f>
        <v>1500000</v>
      </c>
      <c r="H48" s="112">
        <f>'תקציב החברה לפיתוח 2025'!H72</f>
        <v>982316</v>
      </c>
      <c r="I48" s="112">
        <f>'תקציב החברה לפיתוח 2025'!I72</f>
        <v>0</v>
      </c>
      <c r="J48" s="112">
        <f>'תקציב החברה לפיתוח 2025'!J72</f>
        <v>0</v>
      </c>
      <c r="K48" s="112">
        <f>'תקציב החברה לפיתוח 2025'!K72</f>
        <v>0</v>
      </c>
      <c r="L48" s="112">
        <f>'תקציב החברה לפיתוח 2025'!L72</f>
        <v>982316</v>
      </c>
      <c r="M48" s="112">
        <f>'תקציב החברה לפיתוח 2025'!M72</f>
        <v>517684</v>
      </c>
      <c r="N48" s="112">
        <f>'תקציב החברה לפיתוח 2025'!N72</f>
        <v>0</v>
      </c>
      <c r="O48" s="112">
        <f>'תקציב החברה לפיתוח 2025'!O72</f>
        <v>21000000</v>
      </c>
      <c r="P48" s="112">
        <f>'תקציב החברה לפיתוח 2025'!P72</f>
        <v>517684</v>
      </c>
      <c r="Q48" s="112">
        <f>'תקציב החברה לפיתוח 2025'!Q72</f>
        <v>0</v>
      </c>
      <c r="R48" s="112">
        <f>'תקציב החברה לפיתוח 2025'!R72</f>
        <v>0</v>
      </c>
      <c r="S48" s="112">
        <f>'תקציב החברה לפיתוח 2025'!S72</f>
        <v>0</v>
      </c>
      <c r="T48" s="112">
        <f>'תקציב החברה לפיתוח 2025'!T72</f>
        <v>0</v>
      </c>
      <c r="U48" s="257">
        <f>'תקציב החברה לפיתוח 2025'!U72</f>
        <v>0</v>
      </c>
      <c r="V48" s="112">
        <f>'תקציב החברה לפיתוח 2025'!V72</f>
        <v>0</v>
      </c>
      <c r="W48" s="112">
        <f>'תקציב החברה לפיתוח 2025'!W72</f>
        <v>0</v>
      </c>
      <c r="X48" s="112">
        <f>'תקציב החברה לפיתוח 2025'!X72</f>
        <v>0</v>
      </c>
      <c r="Y48" s="112">
        <f>'תקציב החברה לפיתוח 2025'!Y72</f>
        <v>0</v>
      </c>
      <c r="Z48" s="112">
        <f>'תקציב החברה לפיתוח 2025'!Z72</f>
        <v>0</v>
      </c>
      <c r="AA48" s="127">
        <f>'תקציב החברה לפיתוח 2025'!AA72</f>
        <v>0</v>
      </c>
      <c r="AB48" s="202" t="str">
        <f>'תקציב החברה לפיתוח 2025'!AB72</f>
        <v>תכנון וביצוע ניקוז ברחוב הרב גורן בשיתוף עם תאגיד המים. במסגרת תוכ. אב לניקוז.</v>
      </c>
      <c r="AC48" s="3">
        <f>'תקציב החברה לפיתוח 2025'!AC72</f>
        <v>742000</v>
      </c>
      <c r="AD48" s="123"/>
      <c r="AE48" s="123"/>
      <c r="AF48" s="123"/>
      <c r="AG48" s="123"/>
      <c r="AH48" s="123"/>
      <c r="AI48" s="123"/>
      <c r="AJ48" s="123"/>
      <c r="AK48" s="505"/>
      <c r="AL48" s="505"/>
      <c r="AM48" s="505"/>
      <c r="AN48" s="505"/>
      <c r="AO48" s="505"/>
      <c r="AP48" s="505"/>
      <c r="AQ48" s="505"/>
      <c r="AR48" s="505"/>
      <c r="AS48" s="123"/>
      <c r="AT48" s="123"/>
      <c r="AU48" s="123"/>
      <c r="AV48" s="123"/>
      <c r="AW48" s="123"/>
      <c r="AX48" s="123"/>
      <c r="AY48" s="123"/>
    </row>
    <row r="49" spans="1:56" s="5" customFormat="1" ht="45">
      <c r="A49" s="112">
        <f t="shared" si="3"/>
        <v>42</v>
      </c>
      <c r="B49" s="19">
        <f>'תקציב החברה לפיתוח 2025'!B73</f>
        <v>2197</v>
      </c>
      <c r="C49" s="202" t="str">
        <f>'תקציב החברה לפיתוח 2025'!C73</f>
        <v xml:space="preserve">עבודות ניקוז   רחוב רוחמה ושבטי ישראל </v>
      </c>
      <c r="D49" s="112">
        <f>'תקציב החברה לפיתוח 2025'!D73</f>
        <v>15160000</v>
      </c>
      <c r="E49" s="112">
        <f>'תקציב החברה לפיתוח 2025'!E73</f>
        <v>15160000</v>
      </c>
      <c r="F49" s="112">
        <f>'תקציב החברה לפיתוח 2025'!F73</f>
        <v>0</v>
      </c>
      <c r="G49" s="112">
        <f>'תקציב החברה לפיתוח 2025'!G73</f>
        <v>700000</v>
      </c>
      <c r="H49" s="112">
        <f>'תקציב החברה לפיתוח 2025'!H73</f>
        <v>697954</v>
      </c>
      <c r="I49" s="112">
        <f>'תקציב החברה לפיתוח 2025'!I73</f>
        <v>0</v>
      </c>
      <c r="J49" s="112">
        <f>'תקציב החברה לפיתוח 2025'!J73</f>
        <v>0</v>
      </c>
      <c r="K49" s="112">
        <f>'תקציב החברה לפיתוח 2025'!K73</f>
        <v>0</v>
      </c>
      <c r="L49" s="112">
        <f>'תקציב החברה לפיתוח 2025'!L73</f>
        <v>697954</v>
      </c>
      <c r="M49" s="112">
        <f>'תקציב החברה לפיתוח 2025'!M73</f>
        <v>2046</v>
      </c>
      <c r="N49" s="112">
        <f>'תקציב החברה לפיתוח 2025'!N73</f>
        <v>0</v>
      </c>
      <c r="O49" s="112">
        <f>'תקציב החברה לפיתוח 2025'!O73</f>
        <v>14460000</v>
      </c>
      <c r="P49" s="112">
        <f>'תקציב החברה לפיתוח 2025'!P73</f>
        <v>2046</v>
      </c>
      <c r="Q49" s="112">
        <f>'תקציב החברה לפיתוח 2025'!Q73</f>
        <v>0</v>
      </c>
      <c r="R49" s="112">
        <f>'תקציב החברה לפיתוח 2025'!R73</f>
        <v>0</v>
      </c>
      <c r="S49" s="112">
        <f>'תקציב החברה לפיתוח 2025'!S73</f>
        <v>0</v>
      </c>
      <c r="T49" s="112">
        <f>'תקציב החברה לפיתוח 2025'!T73</f>
        <v>0</v>
      </c>
      <c r="U49" s="257">
        <f>'תקציב החברה לפיתוח 2025'!U73</f>
        <v>0</v>
      </c>
      <c r="V49" s="112">
        <f>'תקציב החברה לפיתוח 2025'!V73</f>
        <v>0</v>
      </c>
      <c r="W49" s="112">
        <f>'תקציב החברה לפיתוח 2025'!W73</f>
        <v>0</v>
      </c>
      <c r="X49" s="112">
        <f>'תקציב החברה לפיתוח 2025'!X73</f>
        <v>0</v>
      </c>
      <c r="Y49" s="112">
        <f>'תקציב החברה לפיתוח 2025'!Y73</f>
        <v>0</v>
      </c>
      <c r="Z49" s="112">
        <f>'תקציב החברה לפיתוח 2025'!Z73</f>
        <v>0</v>
      </c>
      <c r="AA49" s="127">
        <f>'תקציב החברה לפיתוח 2025'!AA73</f>
        <v>0</v>
      </c>
      <c r="AB49" s="202" t="str">
        <f>'תקציב החברה לפיתוח 2025'!AB73</f>
        <v>תכנון וביצוע ניקוז ברחוב רוחמה ושבטי ישראל בשיתוף עם תאגיד המים. במסגרת תוכ. אב לניקוז.</v>
      </c>
      <c r="AC49" s="3">
        <f>'תקציב החברה לפיתוח 2025'!AC73</f>
        <v>742000</v>
      </c>
      <c r="AD49" s="123"/>
      <c r="AE49" s="123"/>
      <c r="AF49" s="123"/>
      <c r="AG49" s="123"/>
      <c r="AH49" s="123"/>
      <c r="AI49" s="123"/>
      <c r="AJ49" s="123"/>
      <c r="AK49" s="505"/>
      <c r="AL49" s="505"/>
      <c r="AM49" s="505"/>
      <c r="AN49" s="505"/>
      <c r="AO49" s="505"/>
      <c r="AP49" s="505"/>
      <c r="AQ49" s="505"/>
      <c r="AR49" s="505"/>
      <c r="AS49" s="123"/>
      <c r="AT49" s="123"/>
      <c r="AU49" s="123"/>
      <c r="AV49" s="123"/>
      <c r="AW49" s="123"/>
      <c r="AX49" s="123"/>
      <c r="AY49" s="123"/>
    </row>
    <row r="50" spans="1:56" s="6" customFormat="1" ht="30">
      <c r="A50" s="112">
        <f t="shared" si="3"/>
        <v>43</v>
      </c>
      <c r="B50" s="19">
        <f>'תקציב החברה לפיתוח 2025'!B74</f>
        <v>2198</v>
      </c>
      <c r="C50" s="202" t="str">
        <f>'תקציב החברה לפיתוח 2025'!C74</f>
        <v>פיתוח דרך מזרחית מקבילה לקיבוץ גלויות</v>
      </c>
      <c r="D50" s="112">
        <f>'תקציב החברה לפיתוח 2025'!D74</f>
        <v>16030000</v>
      </c>
      <c r="E50" s="112">
        <f>'תקציב החברה לפיתוח 2025'!E74</f>
        <v>16030000</v>
      </c>
      <c r="F50" s="112">
        <f>'תקציב החברה לפיתוח 2025'!F74</f>
        <v>0</v>
      </c>
      <c r="G50" s="112">
        <f>'תקציב החברה לפיתוח 2025'!G74</f>
        <v>800000</v>
      </c>
      <c r="H50" s="112">
        <f>'תקציב החברה לפיתוח 2025'!H74</f>
        <v>756318</v>
      </c>
      <c r="I50" s="112">
        <f>'תקציב החברה לפיתוח 2025'!I74</f>
        <v>0</v>
      </c>
      <c r="J50" s="112">
        <f>'תקציב החברה לפיתוח 2025'!J74</f>
        <v>33946</v>
      </c>
      <c r="K50" s="112">
        <f>'תקציב החברה לפיתוח 2025'!K74</f>
        <v>33946</v>
      </c>
      <c r="L50" s="112">
        <f>'תקציב החברה לפיתוח 2025'!L74</f>
        <v>790264</v>
      </c>
      <c r="M50" s="112">
        <f>'תקציב החברה לפיתוח 2025'!M74</f>
        <v>9736</v>
      </c>
      <c r="N50" s="112">
        <f>'תקציב החברה לפיתוח 2025'!N74</f>
        <v>0</v>
      </c>
      <c r="O50" s="112">
        <f>'תקציב החברה לפיתוח 2025'!O74</f>
        <v>15230000</v>
      </c>
      <c r="P50" s="112">
        <f>'תקציב החברה לפיתוח 2025'!P74</f>
        <v>9736</v>
      </c>
      <c r="Q50" s="112">
        <f>'תקציב החברה לפיתוח 2025'!Q74</f>
        <v>0</v>
      </c>
      <c r="R50" s="112">
        <f>'תקציב החברה לפיתוח 2025'!R74</f>
        <v>0</v>
      </c>
      <c r="S50" s="112">
        <f>'תקציב החברה לפיתוח 2025'!S74</f>
        <v>0</v>
      </c>
      <c r="T50" s="112">
        <f>'תקציב החברה לפיתוח 2025'!T74</f>
        <v>0</v>
      </c>
      <c r="U50" s="257">
        <f>'תקציב החברה לפיתוח 2025'!U74</f>
        <v>0</v>
      </c>
      <c r="V50" s="112">
        <f>'תקציב החברה לפיתוח 2025'!V74</f>
        <v>0</v>
      </c>
      <c r="W50" s="112">
        <f>'תקציב החברה לפיתוח 2025'!W74</f>
        <v>0</v>
      </c>
      <c r="X50" s="112">
        <f>'תקציב החברה לפיתוח 2025'!X74</f>
        <v>0</v>
      </c>
      <c r="Y50" s="112">
        <f>'תקציב החברה לפיתוח 2025'!Y74</f>
        <v>0</v>
      </c>
      <c r="Z50" s="112">
        <f>'תקציב החברה לפיתוח 2025'!Z74</f>
        <v>0</v>
      </c>
      <c r="AA50" s="127">
        <f>'תקציב החברה לפיתוח 2025'!AA74</f>
        <v>0</v>
      </c>
      <c r="AB50" s="202" t="str">
        <f>'תקציב החברה לפיתוח 2025'!AB74</f>
        <v xml:space="preserve">פיתוח רחוב חדש המזרחי ביותר בנווה עמל.  </v>
      </c>
      <c r="AC50" s="3">
        <f>'תקציב החברה לפיתוח 2025'!AC74</f>
        <v>742000</v>
      </c>
      <c r="AD50" s="123"/>
      <c r="AE50" s="123"/>
      <c r="AF50" s="123"/>
      <c r="AG50" s="123"/>
      <c r="AH50" s="123"/>
      <c r="AI50" s="123"/>
      <c r="AJ50" s="123"/>
      <c r="AK50" s="505"/>
      <c r="AL50" s="505"/>
      <c r="AM50" s="505"/>
      <c r="AN50" s="505"/>
      <c r="AO50" s="505"/>
      <c r="AP50" s="505"/>
      <c r="AQ50" s="505"/>
      <c r="AR50" s="505"/>
      <c r="AS50" s="123"/>
      <c r="AT50" s="123"/>
      <c r="AU50" s="123"/>
      <c r="AV50" s="123"/>
      <c r="AW50" s="123"/>
      <c r="AX50" s="123"/>
      <c r="AY50" s="123"/>
      <c r="AZ50" s="5"/>
      <c r="BA50" s="5"/>
      <c r="BB50" s="5"/>
      <c r="BC50" s="5"/>
      <c r="BD50" s="5"/>
    </row>
    <row r="51" spans="1:56" s="5" customFormat="1" ht="75">
      <c r="A51" s="112">
        <f t="shared" si="3"/>
        <v>44</v>
      </c>
      <c r="B51" s="19">
        <f>'תקציב החברה לפיתוח 2025'!B84</f>
        <v>20004</v>
      </c>
      <c r="C51" s="202" t="str">
        <f>'תקציב החברה לפיתוח 2025'!C84</f>
        <v xml:space="preserve">שצפ הואדי והמנהרה הרומית </v>
      </c>
      <c r="D51" s="112">
        <f>'תקציב החברה לפיתוח 2025'!D84</f>
        <v>24750000</v>
      </c>
      <c r="E51" s="112">
        <f>'תקציב החברה לפיתוח 2025'!E84</f>
        <v>24750000</v>
      </c>
      <c r="F51" s="112">
        <f>'תקציב החברה לפיתוח 2025'!F84</f>
        <v>0</v>
      </c>
      <c r="G51" s="112">
        <f>'תקציב החברה לפיתוח 2025'!G84</f>
        <v>1626786</v>
      </c>
      <c r="H51" s="112">
        <f>'תקציב החברה לפיתוח 2025'!H84</f>
        <v>479410</v>
      </c>
      <c r="I51" s="112">
        <f>'תקציב החברה לפיתוח 2025'!I84</f>
        <v>0</v>
      </c>
      <c r="J51" s="112">
        <f>'תקציב החברה לפיתוח 2025'!J84</f>
        <v>1055084</v>
      </c>
      <c r="K51" s="112">
        <f>'תקציב החברה לפיתוח 2025'!K84</f>
        <v>1055084</v>
      </c>
      <c r="L51" s="112">
        <f>'תקציב החברה לפיתוח 2025'!L84</f>
        <v>1534494</v>
      </c>
      <c r="M51" s="112">
        <f>'תקציב החברה לפיתוח 2025'!M84</f>
        <v>92292</v>
      </c>
      <c r="N51" s="112">
        <f>'תקציב החברה לפיתוח 2025'!N84</f>
        <v>7623214</v>
      </c>
      <c r="O51" s="112">
        <f>'תקציב החברה לפיתוח 2025'!O84</f>
        <v>15500000</v>
      </c>
      <c r="P51" s="112">
        <f>'תקציב החברה לפיתוח 2025'!P84</f>
        <v>92292</v>
      </c>
      <c r="Q51" s="112">
        <f>'תקציב החברה לפיתוח 2025'!Q84</f>
        <v>0</v>
      </c>
      <c r="R51" s="112">
        <f>'תקציב החברה לפיתוח 2025'!R84</f>
        <v>0</v>
      </c>
      <c r="S51" s="112">
        <f>'תקציב החברה לפיתוח 2025'!S84</f>
        <v>0</v>
      </c>
      <c r="T51" s="112">
        <f>'תקציב החברה לפיתוח 2025'!T84</f>
        <v>0</v>
      </c>
      <c r="U51" s="257">
        <f>'תקציב החברה לפיתוח 2025'!U84</f>
        <v>7623214</v>
      </c>
      <c r="V51" s="112">
        <f>'תקציב החברה לפיתוח 2025'!V84</f>
        <v>1718224</v>
      </c>
      <c r="W51" s="112">
        <f>'תקציב החברה לפיתוח 2025'!W84</f>
        <v>0</v>
      </c>
      <c r="X51" s="112">
        <f>'תקציב החברה לפיתוח 2025'!X84</f>
        <v>0</v>
      </c>
      <c r="Y51" s="112">
        <f>'תקציב החברה לפיתוח 2025'!Y84</f>
        <v>0</v>
      </c>
      <c r="Z51" s="112">
        <f>'תקציב החברה לפיתוח 2025'!Z84</f>
        <v>0</v>
      </c>
      <c r="AA51" s="112">
        <f>'תקציב החברה לפיתוח 2025'!AA84</f>
        <v>5904990</v>
      </c>
      <c r="AB51" s="202" t="str">
        <f>'תקציב החברה לפיתוח 2025'!AB84</f>
        <v>עבודות פיתוח, גינון והשקייה,  ניקוז ותיעול פיתוח לאזור הואדי כולל שיקום מדרכות ושבילי אופניים בנעמי שמר, עבודות חשמל,תאורה. מימון נת"ע.</v>
      </c>
      <c r="AC51" s="3">
        <f>'תקציב החברה לפיתוח 2025'!AC84</f>
        <v>742000</v>
      </c>
      <c r="AD51" s="123"/>
      <c r="AE51" s="123"/>
      <c r="AF51" s="123"/>
      <c r="AG51" s="123"/>
      <c r="AH51" s="123"/>
      <c r="AI51" s="123"/>
      <c r="AJ51" s="123"/>
      <c r="AK51" s="505"/>
      <c r="AL51" s="505"/>
      <c r="AM51" s="505"/>
      <c r="AN51" s="505"/>
      <c r="AO51" s="505"/>
      <c r="AP51" s="505"/>
      <c r="AQ51" s="505"/>
      <c r="AR51" s="505"/>
      <c r="AS51" s="123"/>
      <c r="AT51" s="123"/>
      <c r="AU51" s="123"/>
      <c r="AV51" s="123"/>
      <c r="AW51" s="123"/>
      <c r="AX51" s="123"/>
      <c r="AY51" s="123"/>
    </row>
    <row r="52" spans="1:56" s="5" customFormat="1" ht="45">
      <c r="A52" s="112">
        <f t="shared" si="3"/>
        <v>45</v>
      </c>
      <c r="B52" s="3">
        <f>'תקציב החברה לפיתוח 2025'!B97</f>
        <v>20084</v>
      </c>
      <c r="C52" s="202" t="str">
        <f>'תקציב החברה לפיתוח 2025'!C97</f>
        <v>פיתוח מתחם גליל ים ג' הר' 1068</v>
      </c>
      <c r="D52" s="112">
        <f>'תקציב החברה לפיתוח 2025'!D97</f>
        <v>109000000</v>
      </c>
      <c r="E52" s="112">
        <f>'תקציב החברה לפיתוח 2025'!E97</f>
        <v>109000000</v>
      </c>
      <c r="F52" s="112">
        <f>'תקציב החברה לפיתוח 2025'!F97</f>
        <v>0</v>
      </c>
      <c r="G52" s="112">
        <f>'תקציב החברה לפיתוח 2025'!G97</f>
        <v>1763814</v>
      </c>
      <c r="H52" s="112">
        <f>'תקציב החברה לפיתוח 2025'!H97</f>
        <v>1513184</v>
      </c>
      <c r="I52" s="112">
        <f>'תקציב החברה לפיתוח 2025'!I97</f>
        <v>0</v>
      </c>
      <c r="J52" s="112">
        <f>'תקציב החברה לפיתוח 2025'!J97</f>
        <v>224971</v>
      </c>
      <c r="K52" s="112">
        <f>'תקציב החברה לפיתוח 2025'!K97</f>
        <v>224971</v>
      </c>
      <c r="L52" s="112">
        <f>'תקציב החברה לפיתוח 2025'!L97</f>
        <v>1738155</v>
      </c>
      <c r="M52" s="112">
        <f>'תקציב החברה לפיתוח 2025'!M97</f>
        <v>5025659</v>
      </c>
      <c r="N52" s="112">
        <f>'תקציב החברה לפיתוח 2025'!N97</f>
        <v>20000000</v>
      </c>
      <c r="O52" s="112">
        <f>'תקציב החברה לפיתוח 2025'!O97</f>
        <v>82236186</v>
      </c>
      <c r="P52" s="112">
        <f>'תקציב החברה לפיתוח 2025'!P97</f>
        <v>25659</v>
      </c>
      <c r="Q52" s="112">
        <f>'תקציב החברה לפיתוח 2025'!Q97</f>
        <v>5000000</v>
      </c>
      <c r="R52" s="112">
        <f>'תקציב החברה לפיתוח 2025'!R97</f>
        <v>0</v>
      </c>
      <c r="S52" s="112">
        <f>'תקציב החברה לפיתוח 2025'!S97</f>
        <v>5000000</v>
      </c>
      <c r="T52" s="112">
        <f>'תקציב החברה לפיתוח 2025'!T97</f>
        <v>0</v>
      </c>
      <c r="U52" s="257">
        <f>'תקציב החברה לפיתוח 2025'!U97</f>
        <v>20000000</v>
      </c>
      <c r="V52" s="112">
        <f>'תקציב החברה לפיתוח 2025'!V97</f>
        <v>0</v>
      </c>
      <c r="W52" s="112">
        <f>'תקציב החברה לפיתוח 2025'!W97</f>
        <v>0</v>
      </c>
      <c r="X52" s="112">
        <f>'תקציב החברה לפיתוח 2025'!X97</f>
        <v>0</v>
      </c>
      <c r="Y52" s="112">
        <f>'תקציב החברה לפיתוח 2025'!Y97</f>
        <v>20000000</v>
      </c>
      <c r="Z52" s="112">
        <f>'תקציב החברה לפיתוח 2025'!Z97</f>
        <v>0</v>
      </c>
      <c r="AA52" s="112">
        <f>'תקציב החברה לפיתוח 2025'!AA97</f>
        <v>0</v>
      </c>
      <c r="AB52" s="202" t="str">
        <f>'תקציב החברה לפיתוח 2025'!AB97</f>
        <v>פיתוח מתחם גליל ים ג' הר' 1068. מימון רמ"י ( שצ"פים מכרז "הבריגדה"). קרן ייעודית.</v>
      </c>
      <c r="AC52" s="3">
        <f>'תקציב החברה לפיתוח 2025'!AC97</f>
        <v>742000</v>
      </c>
      <c r="AD52" s="123"/>
      <c r="AE52" s="123"/>
      <c r="AF52" s="123"/>
      <c r="AG52" s="123"/>
      <c r="AH52" s="123"/>
      <c r="AI52" s="123"/>
      <c r="AJ52" s="123"/>
      <c r="AK52" s="505"/>
      <c r="AL52" s="505"/>
      <c r="AM52" s="505"/>
      <c r="AN52" s="505"/>
      <c r="AO52" s="505"/>
      <c r="AP52" s="505"/>
      <c r="AQ52" s="505"/>
      <c r="AR52" s="505"/>
      <c r="AS52" s="123"/>
      <c r="AT52" s="123"/>
      <c r="AU52" s="123"/>
      <c r="AV52" s="123"/>
      <c r="AW52" s="123"/>
      <c r="AX52" s="123"/>
      <c r="AY52" s="123"/>
    </row>
    <row r="53" spans="1:56" s="6" customFormat="1" ht="30">
      <c r="A53" s="112">
        <f t="shared" si="3"/>
        <v>46</v>
      </c>
      <c r="B53" s="3">
        <f>'תקציב החברה לפיתוח 2025'!B98</f>
        <v>20087</v>
      </c>
      <c r="C53" s="202" t="str">
        <f>'תקציב החברה לפיתוח 2025'!C98</f>
        <v>פיתוח מתחם קרית השחקים תמ"ל  1082</v>
      </c>
      <c r="D53" s="112">
        <f>'תקציב החברה לפיתוח 2025'!D98</f>
        <v>11500000</v>
      </c>
      <c r="E53" s="112">
        <f>'תקציב החברה לפיתוח 2025'!E98</f>
        <v>8500000</v>
      </c>
      <c r="F53" s="112">
        <f>'תקציב החברה לפיתוח 2025'!F98</f>
        <v>3000000</v>
      </c>
      <c r="G53" s="112">
        <f>'תקציב החברה לפיתוח 2025'!G98</f>
        <v>7500000</v>
      </c>
      <c r="H53" s="112">
        <f>'תקציב החברה לפיתוח 2025'!H98</f>
        <v>5046724</v>
      </c>
      <c r="I53" s="112">
        <f>'תקציב החברה לפיתוח 2025'!I98</f>
        <v>0</v>
      </c>
      <c r="J53" s="112">
        <f>'תקציב החברה לפיתוח 2025'!J98</f>
        <v>1661630</v>
      </c>
      <c r="K53" s="112">
        <f>'תקציב החברה לפיתוח 2025'!K98</f>
        <v>1661630</v>
      </c>
      <c r="L53" s="112">
        <f>'תקציב החברה לפיתוח 2025'!L98</f>
        <v>6708354</v>
      </c>
      <c r="M53" s="112">
        <f>'תקציב החברה לפיתוח 2025'!M98</f>
        <v>1791646</v>
      </c>
      <c r="N53" s="112">
        <f>'תקציב החברה לפיתוח 2025'!N98</f>
        <v>3000000</v>
      </c>
      <c r="O53" s="112">
        <f>'תקציב החברה לפיתוח 2025'!O98</f>
        <v>0</v>
      </c>
      <c r="P53" s="112">
        <f>'תקציב החברה לפיתוח 2025'!P98</f>
        <v>791646</v>
      </c>
      <c r="Q53" s="112">
        <f>'תקציב החברה לפיתוח 2025'!Q98</f>
        <v>1000000</v>
      </c>
      <c r="R53" s="112">
        <f>'תקציב החברה לפיתוח 2025'!R98</f>
        <v>0</v>
      </c>
      <c r="S53" s="112">
        <f>'תקציב החברה לפיתוח 2025'!S98</f>
        <v>1000000</v>
      </c>
      <c r="T53" s="112">
        <f>'תקציב החברה לפיתוח 2025'!T98</f>
        <v>0</v>
      </c>
      <c r="U53" s="257">
        <f>'תקציב החברה לפיתוח 2025'!U98</f>
        <v>3000000</v>
      </c>
      <c r="V53" s="112">
        <f>'תקציב החברה לפיתוח 2025'!V98</f>
        <v>0</v>
      </c>
      <c r="W53" s="112">
        <f>'תקציב החברה לפיתוח 2025'!W98</f>
        <v>0</v>
      </c>
      <c r="X53" s="112">
        <f>'תקציב החברה לפיתוח 2025'!X98</f>
        <v>0</v>
      </c>
      <c r="Y53" s="112">
        <f>'תקציב החברה לפיתוח 2025'!Y98</f>
        <v>3000000</v>
      </c>
      <c r="Z53" s="112">
        <f>'תקציב החברה לפיתוח 2025'!Z98</f>
        <v>0</v>
      </c>
      <c r="AA53" s="127">
        <f>'תקציב החברה לפיתוח 2025'!AA98</f>
        <v>0</v>
      </c>
      <c r="AB53" s="202" t="str">
        <f>'תקציב החברה לפיתוח 2025'!AB98</f>
        <v>פיתוח מתחם קרית השחקים תמ"ל 1082. קרן ייעודית.</v>
      </c>
      <c r="AC53" s="3">
        <f>'תקציב החברה לפיתוח 2025'!AC98</f>
        <v>742000</v>
      </c>
      <c r="AD53" s="123"/>
      <c r="AE53" s="123"/>
      <c r="AF53" s="123"/>
      <c r="AG53" s="123"/>
      <c r="AH53" s="123"/>
      <c r="AI53" s="123"/>
      <c r="AJ53" s="123"/>
      <c r="AK53" s="505"/>
      <c r="AL53" s="505"/>
      <c r="AM53" s="505"/>
      <c r="AN53" s="505"/>
      <c r="AO53" s="505"/>
      <c r="AP53" s="505"/>
      <c r="AQ53" s="505"/>
      <c r="AR53" s="505"/>
      <c r="AS53" s="123"/>
      <c r="AT53" s="123"/>
      <c r="AU53" s="123"/>
      <c r="AV53" s="123"/>
      <c r="AW53" s="123"/>
      <c r="AX53" s="123"/>
      <c r="AY53" s="123"/>
      <c r="AZ53" s="5"/>
      <c r="BA53" s="5"/>
      <c r="BB53" s="5"/>
      <c r="BC53" s="5"/>
      <c r="BD53" s="5"/>
    </row>
    <row r="54" spans="1:56" s="6" customFormat="1" ht="30">
      <c r="A54" s="112">
        <f t="shared" si="3"/>
        <v>47</v>
      </c>
      <c r="B54" s="3">
        <f>'תקציב החברה לפיתוח 2025'!B101</f>
        <v>20098</v>
      </c>
      <c r="C54" s="202" t="str">
        <f>'תקציב החברה לפיתוח 2025'!C101</f>
        <v>פיתוח רחבת בניין העירייה שער העיר</v>
      </c>
      <c r="D54" s="112">
        <f>'תקציב החברה לפיתוח 2025'!D101</f>
        <v>500000</v>
      </c>
      <c r="E54" s="112">
        <f>'תקציב החברה לפיתוח 2025'!E101</f>
        <v>500000</v>
      </c>
      <c r="F54" s="112">
        <f>'תקציב החברה לפיתוח 2025'!F101</f>
        <v>0</v>
      </c>
      <c r="G54" s="112">
        <f>'תקציב החברה לפיתוח 2025'!G101</f>
        <v>250000</v>
      </c>
      <c r="H54" s="112">
        <f>'תקציב החברה לפיתוח 2025'!H101</f>
        <v>34258</v>
      </c>
      <c r="I54" s="112">
        <f>'תקציב החברה לפיתוח 2025'!I101</f>
        <v>0</v>
      </c>
      <c r="J54" s="112">
        <f>'תקציב החברה לפיתוח 2025'!J101</f>
        <v>114098</v>
      </c>
      <c r="K54" s="112">
        <f>'תקציב החברה לפיתוח 2025'!K101</f>
        <v>114098</v>
      </c>
      <c r="L54" s="112">
        <f>'תקציב החברה לפיתוח 2025'!L101</f>
        <v>148356</v>
      </c>
      <c r="M54" s="112">
        <f>'תקציב החברה לפיתוח 2025'!M101</f>
        <v>101644</v>
      </c>
      <c r="N54" s="112">
        <f>'תקציב החברה לפיתוח 2025'!N101</f>
        <v>250000</v>
      </c>
      <c r="O54" s="112">
        <f>'תקציב החברה לפיתוח 2025'!O101</f>
        <v>0</v>
      </c>
      <c r="P54" s="112">
        <f>'תקציב החברה לפיתוח 2025'!P101</f>
        <v>101644</v>
      </c>
      <c r="Q54" s="112">
        <f>'תקציב החברה לפיתוח 2025'!Q101</f>
        <v>0</v>
      </c>
      <c r="R54" s="112">
        <f>'תקציב החברה לפיתוח 2025'!R101</f>
        <v>0</v>
      </c>
      <c r="S54" s="112">
        <f>'תקציב החברה לפיתוח 2025'!S101</f>
        <v>0</v>
      </c>
      <c r="T54" s="112">
        <f>'תקציב החברה לפיתוח 2025'!T101</f>
        <v>0</v>
      </c>
      <c r="U54" s="257">
        <f>'תקציב החברה לפיתוח 2025'!U101</f>
        <v>250000</v>
      </c>
      <c r="V54" s="112">
        <f>'תקציב החברה לפיתוח 2025'!V101</f>
        <v>250000</v>
      </c>
      <c r="W54" s="112">
        <f>'תקציב החברה לפיתוח 2025'!W101</f>
        <v>0</v>
      </c>
      <c r="X54" s="112">
        <f>'תקציב החברה לפיתוח 2025'!X101</f>
        <v>0</v>
      </c>
      <c r="Y54" s="112">
        <f>'תקציב החברה לפיתוח 2025'!Y101</f>
        <v>0</v>
      </c>
      <c r="Z54" s="112">
        <f>'תקציב החברה לפיתוח 2025'!Z101</f>
        <v>0</v>
      </c>
      <c r="AA54" s="127">
        <f>'תקציב החברה לפיתוח 2025'!AA101</f>
        <v>0</v>
      </c>
      <c r="AB54" s="202" t="str">
        <f>'תקציב החברה לפיתוח 2025'!AB101</f>
        <v>תכנון נופי ראשוני למתחם רחבת בניין העיריה.</v>
      </c>
      <c r="AC54" s="3">
        <f>'תקציב החברה לפיתוח 2025'!AC101</f>
        <v>742000</v>
      </c>
      <c r="AD54" s="123"/>
      <c r="AE54" s="123"/>
      <c r="AF54" s="123"/>
      <c r="AG54" s="123"/>
      <c r="AH54" s="123"/>
      <c r="AI54" s="123"/>
      <c r="AJ54" s="123"/>
      <c r="AK54" s="505"/>
      <c r="AL54" s="505"/>
      <c r="AM54" s="505"/>
      <c r="AN54" s="505"/>
      <c r="AO54" s="505"/>
      <c r="AP54" s="505"/>
      <c r="AQ54" s="505"/>
      <c r="AR54" s="505"/>
      <c r="AS54" s="123"/>
      <c r="AT54" s="123"/>
      <c r="AU54" s="123"/>
      <c r="AV54" s="123"/>
      <c r="AW54" s="123"/>
      <c r="AX54" s="123"/>
      <c r="AY54" s="123"/>
      <c r="AZ54" s="5"/>
      <c r="BA54" s="5"/>
      <c r="BB54" s="5"/>
      <c r="BC54" s="5"/>
      <c r="BD54" s="5"/>
    </row>
    <row r="55" spans="1:56" s="5" customFormat="1" ht="30">
      <c r="A55" s="112">
        <f t="shared" si="3"/>
        <v>48</v>
      </c>
      <c r="B55" s="19">
        <f>'תקציב החברה לפיתוח 2025'!B105</f>
        <v>20111</v>
      </c>
      <c r="C55" s="222" t="str">
        <f>'תקציב החברה לפיתוח 2025'!C105</f>
        <v>רחוב האסיף</v>
      </c>
      <c r="D55" s="112">
        <f>'תקציב החברה לפיתוח 2025'!D105</f>
        <v>3400000</v>
      </c>
      <c r="E55" s="112">
        <f>'תקציב החברה לפיתוח 2025'!E105</f>
        <v>3400000</v>
      </c>
      <c r="F55" s="112">
        <f>'תקציב החברה לפיתוח 2025'!F105</f>
        <v>0</v>
      </c>
      <c r="G55" s="112">
        <f>'תקציב החברה לפיתוח 2025'!G105</f>
        <v>0</v>
      </c>
      <c r="H55" s="112">
        <f>'תקציב החברה לפיתוח 2025'!H105</f>
        <v>0</v>
      </c>
      <c r="I55" s="112">
        <f>'תקציב החברה לפיתוח 2025'!I105</f>
        <v>0</v>
      </c>
      <c r="J55" s="112">
        <f>'תקציב החברה לפיתוח 2025'!J105</f>
        <v>0</v>
      </c>
      <c r="K55" s="112">
        <f>'תקציב החברה לפיתוח 2025'!K105</f>
        <v>0</v>
      </c>
      <c r="L55" s="112">
        <f>'תקציב החברה לפיתוח 2025'!L105</f>
        <v>0</v>
      </c>
      <c r="M55" s="112">
        <f>'תקציב החברה לפיתוח 2025'!M105</f>
        <v>0</v>
      </c>
      <c r="N55" s="112">
        <f>'תקציב החברה לפיתוח 2025'!N105</f>
        <v>0</v>
      </c>
      <c r="O55" s="112">
        <f>'תקציב החברה לפיתוח 2025'!O105</f>
        <v>3400000</v>
      </c>
      <c r="P55" s="112">
        <f>'תקציב החברה לפיתוח 2025'!P105</f>
        <v>0</v>
      </c>
      <c r="Q55" s="112">
        <f>'תקציב החברה לפיתוח 2025'!Q105</f>
        <v>0</v>
      </c>
      <c r="R55" s="112">
        <f>'תקציב החברה לפיתוח 2025'!R105</f>
        <v>0</v>
      </c>
      <c r="S55" s="112">
        <f>'תקציב החברה לפיתוח 2025'!S105</f>
        <v>0</v>
      </c>
      <c r="T55" s="112">
        <f>'תקציב החברה לפיתוח 2025'!T105</f>
        <v>0</v>
      </c>
      <c r="U55" s="257">
        <f>'תקציב החברה לפיתוח 2025'!U105</f>
        <v>0</v>
      </c>
      <c r="V55" s="112">
        <f>'תקציב החברה לפיתוח 2025'!V105</f>
        <v>0</v>
      </c>
      <c r="W55" s="112">
        <f>'תקציב החברה לפיתוח 2025'!W105</f>
        <v>0</v>
      </c>
      <c r="X55" s="112">
        <f>'תקציב החברה לפיתוח 2025'!X105</f>
        <v>0</v>
      </c>
      <c r="Y55" s="112">
        <f>'תקציב החברה לפיתוח 2025'!Y105</f>
        <v>0</v>
      </c>
      <c r="Z55" s="112">
        <f>'תקציב החברה לפיתוח 2025'!Z105</f>
        <v>0</v>
      </c>
      <c r="AA55" s="112">
        <f>'תקציב החברה לפיתוח 2025'!AA105</f>
        <v>0</v>
      </c>
      <c r="AB55" s="202" t="str">
        <f>'תקציב החברה לפיתוח 2025'!AB105</f>
        <v>שביל הולכי רגל מרחוב האסיף לרחוב האילנות.</v>
      </c>
      <c r="AC55" s="3">
        <f>'תקציב החברה לפיתוח 2025'!AC105</f>
        <v>742000</v>
      </c>
      <c r="AD55" s="123"/>
      <c r="AE55" s="123"/>
      <c r="AF55" s="123"/>
      <c r="AG55" s="123"/>
      <c r="AH55" s="123"/>
      <c r="AI55" s="123"/>
      <c r="AJ55" s="123"/>
      <c r="AK55" s="505"/>
      <c r="AL55" s="505"/>
      <c r="AM55" s="505"/>
      <c r="AN55" s="505"/>
      <c r="AO55" s="505"/>
      <c r="AP55" s="505"/>
      <c r="AQ55" s="505"/>
      <c r="AR55" s="505"/>
      <c r="AS55" s="123"/>
      <c r="AT55" s="123"/>
      <c r="AU55" s="123"/>
      <c r="AV55" s="123"/>
      <c r="AW55" s="123"/>
      <c r="AX55" s="123"/>
      <c r="AY55" s="123"/>
    </row>
    <row r="56" spans="1:56" s="5" customFormat="1" ht="30">
      <c r="A56" s="112">
        <f t="shared" si="3"/>
        <v>49</v>
      </c>
      <c r="B56" s="19">
        <f>'תקציב החברה לפיתוח 2025'!B107</f>
        <v>20113</v>
      </c>
      <c r="C56" s="222" t="str">
        <f>'תקציב החברה לפיתוח 2025'!C107</f>
        <v>נוף שדמות</v>
      </c>
      <c r="D56" s="112">
        <f>'תקציב החברה לפיתוח 2025'!D107</f>
        <v>2800000</v>
      </c>
      <c r="E56" s="112">
        <f>'תקציב החברה לפיתוח 2025'!E107</f>
        <v>2030000</v>
      </c>
      <c r="F56" s="112">
        <f>'תקציב החברה לפיתוח 2025'!F107</f>
        <v>770000</v>
      </c>
      <c r="G56" s="112">
        <f>'תקציב החברה לפיתוח 2025'!G107</f>
        <v>0</v>
      </c>
      <c r="H56" s="112">
        <f>'תקציב החברה לפיתוח 2025'!H107</f>
        <v>0</v>
      </c>
      <c r="I56" s="112">
        <f>'תקציב החברה לפיתוח 2025'!I107</f>
        <v>0</v>
      </c>
      <c r="J56" s="112">
        <f>'תקציב החברה לפיתוח 2025'!J107</f>
        <v>0</v>
      </c>
      <c r="K56" s="112">
        <f>'תקציב החברה לפיתוח 2025'!K107</f>
        <v>0</v>
      </c>
      <c r="L56" s="112">
        <f>'תקציב החברה לפיתוח 2025'!L107</f>
        <v>0</v>
      </c>
      <c r="M56" s="112">
        <f>'תקציב החברה לפיתוח 2025'!M107</f>
        <v>1000000</v>
      </c>
      <c r="N56" s="112">
        <f>'תקציב החברה לפיתוח 2025'!N107</f>
        <v>1000000</v>
      </c>
      <c r="O56" s="112">
        <f>'תקציב החברה לפיתוח 2025'!O107</f>
        <v>800000</v>
      </c>
      <c r="P56" s="112">
        <f>'תקציב החברה לפיתוח 2025'!P107</f>
        <v>0</v>
      </c>
      <c r="Q56" s="112">
        <f>'תקציב החברה לפיתוח 2025'!Q107</f>
        <v>1000000</v>
      </c>
      <c r="R56" s="112">
        <f>'תקציב החברה לפיתוח 2025'!R107</f>
        <v>0</v>
      </c>
      <c r="S56" s="112">
        <f>'תקציב החברה לפיתוח 2025'!S107</f>
        <v>1000000</v>
      </c>
      <c r="T56" s="112">
        <f>'תקציב החברה לפיתוח 2025'!T107</f>
        <v>0</v>
      </c>
      <c r="U56" s="257">
        <f>'תקציב החברה לפיתוח 2025'!U107</f>
        <v>1000000</v>
      </c>
      <c r="V56" s="112">
        <f>'תקציב החברה לפיתוח 2025'!V107</f>
        <v>1000000</v>
      </c>
      <c r="W56" s="112">
        <f>'תקציב החברה לפיתוח 2025'!W107</f>
        <v>0</v>
      </c>
      <c r="X56" s="112">
        <f>'תקציב החברה לפיתוח 2025'!X107</f>
        <v>0</v>
      </c>
      <c r="Y56" s="112">
        <f>'תקציב החברה לפיתוח 2025'!Y107</f>
        <v>0</v>
      </c>
      <c r="Z56" s="112">
        <f>'תקציב החברה לפיתוח 2025'!Z107</f>
        <v>0</v>
      </c>
      <c r="AA56" s="112">
        <f>'תקציב החברה לפיתוח 2025'!AA107</f>
        <v>0</v>
      </c>
      <c r="AB56" s="202" t="str">
        <f>'תקציב החברה לפיתוח 2025'!AB107</f>
        <v>עבודות פיתוח חשמל ותאורה נוף שדמות משולש המסילה.</v>
      </c>
      <c r="AC56" s="3">
        <f>'תקציב החברה לפיתוח 2025'!AC107</f>
        <v>742000</v>
      </c>
      <c r="AD56" s="123"/>
      <c r="AE56" s="123"/>
      <c r="AF56" s="123"/>
      <c r="AG56" s="123"/>
      <c r="AH56" s="123"/>
      <c r="AI56" s="123"/>
      <c r="AJ56" s="123"/>
      <c r="AK56" s="505"/>
      <c r="AL56" s="505"/>
      <c r="AM56" s="505"/>
      <c r="AN56" s="505"/>
      <c r="AO56" s="505"/>
      <c r="AP56" s="505"/>
      <c r="AQ56" s="505"/>
      <c r="AR56" s="505"/>
      <c r="AS56" s="123"/>
      <c r="AT56" s="123"/>
      <c r="AU56" s="123"/>
      <c r="AV56" s="123"/>
      <c r="AW56" s="123"/>
      <c r="AX56" s="123"/>
      <c r="AY56" s="123"/>
    </row>
    <row r="57" spans="1:56" s="5" customFormat="1" ht="30" customHeight="1">
      <c r="A57" s="112">
        <f t="shared" si="3"/>
        <v>50</v>
      </c>
      <c r="B57" s="19">
        <f>'תקציב החברה לפיתוח 2025'!B109</f>
        <v>20129</v>
      </c>
      <c r="C57" s="207" t="str">
        <f>'תקציב החברה לפיתוח 2025'!C109</f>
        <v>כיכר דה - שליט ומבואות השרון</v>
      </c>
      <c r="D57" s="112">
        <f>'תקציב החברה לפיתוח 2025'!D109</f>
        <v>117500000</v>
      </c>
      <c r="E57" s="112">
        <f>'תקציב החברה לפיתוח 2025'!E109</f>
        <v>117500000</v>
      </c>
      <c r="F57" s="112">
        <f>'תקציב החברה לפיתוח 2025'!F109</f>
        <v>0</v>
      </c>
      <c r="G57" s="112">
        <f>'תקציב החברה לפיתוח 2025'!G109</f>
        <v>0</v>
      </c>
      <c r="H57" s="112">
        <f>'תקציב החברה לפיתוח 2025'!H109</f>
        <v>0</v>
      </c>
      <c r="I57" s="112">
        <f>'תקציב החברה לפיתוח 2025'!I109</f>
        <v>0</v>
      </c>
      <c r="J57" s="112">
        <f>'תקציב החברה לפיתוח 2025'!J109</f>
        <v>0</v>
      </c>
      <c r="K57" s="112">
        <f>'תקציב החברה לפיתוח 2025'!K109</f>
        <v>0</v>
      </c>
      <c r="L57" s="112">
        <f>'תקציב החברה לפיתוח 2025'!L109</f>
        <v>0</v>
      </c>
      <c r="M57" s="112">
        <f>'תקציב החברה לפיתוח 2025'!M109</f>
        <v>0</v>
      </c>
      <c r="N57" s="112">
        <f>'תקציב החברה לפיתוח 2025'!N109</f>
        <v>700000</v>
      </c>
      <c r="O57" s="112">
        <f>'תקציב החברה לפיתוח 2025'!O109</f>
        <v>116800000</v>
      </c>
      <c r="P57" s="112">
        <f>'תקציב החברה לפיתוח 2025'!P109</f>
        <v>0</v>
      </c>
      <c r="Q57" s="112">
        <f>'תקציב החברה לפיתוח 2025'!Q109</f>
        <v>0</v>
      </c>
      <c r="R57" s="112">
        <f>'תקציב החברה לפיתוח 2025'!R109</f>
        <v>0</v>
      </c>
      <c r="S57" s="112">
        <f>'תקציב החברה לפיתוח 2025'!S109</f>
        <v>0</v>
      </c>
      <c r="T57" s="112">
        <f>'תקציב החברה לפיתוח 2025'!T109</f>
        <v>0</v>
      </c>
      <c r="U57" s="452">
        <f>'תקציב החברה לפיתוח 2025'!U109</f>
        <v>700000</v>
      </c>
      <c r="V57" s="112">
        <f>'תקציב החברה לפיתוח 2025'!V109</f>
        <v>700000</v>
      </c>
      <c r="W57" s="112">
        <f>'תקציב החברה לפיתוח 2025'!W109</f>
        <v>0</v>
      </c>
      <c r="X57" s="112">
        <f>'תקציב החברה לפיתוח 2025'!X109</f>
        <v>0</v>
      </c>
      <c r="Y57" s="112">
        <f>'תקציב החברה לפיתוח 2025'!Y109</f>
        <v>0</v>
      </c>
      <c r="Z57" s="112">
        <f>'תקציב החברה לפיתוח 2025'!Z109</f>
        <v>0</v>
      </c>
      <c r="AA57" s="112">
        <f>'תקציב החברה לפיתוח 2025'!AA109</f>
        <v>0</v>
      </c>
      <c r="AB57" s="202" t="str">
        <f>'תקציב החברה לפיתוח 2025'!AB109</f>
        <v>הפיכת הכיכר לחניון תת"ק הכולל תחנת שאיבה,  ומעליו שצ"פ. כחלק מהפיתוח הסביבתי הכולל הסדרת דרך הירידה לחוף.  ב - 2025 - הכנת נספח בינוי ופיתוח עד להיתר. מלון פאת ים נמצא בהליך היתר כמו גם מלון השרון, ופרויקטים של התחדשות עירונית סביב הכיכר.</v>
      </c>
      <c r="AC57" s="3">
        <f>'תקציב החברה לפיתוח 2025'!AC109</f>
        <v>742000</v>
      </c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</row>
    <row r="58" spans="1:56" s="148" customFormat="1" ht="45">
      <c r="A58" s="112">
        <f t="shared" si="3"/>
        <v>51</v>
      </c>
      <c r="B58" s="19">
        <f>'תקציב החברה לפיתוח 2025'!B112</f>
        <v>20149</v>
      </c>
      <c r="C58" s="222" t="str">
        <f>'תקציב החברה לפיתוח 2025'!C112</f>
        <v>עבודות שיקום והסטת הנחל -304</v>
      </c>
      <c r="D58" s="112">
        <f>'תקציב החברה לפיתוח 2025'!D112</f>
        <v>5000000</v>
      </c>
      <c r="E58" s="112">
        <f>'תקציב החברה לפיתוח 2025'!E112</f>
        <v>0</v>
      </c>
      <c r="F58" s="112">
        <f>'תקציב החברה לפיתוח 2025'!F112</f>
        <v>5000000</v>
      </c>
      <c r="G58" s="112">
        <f>'תקציב החברה לפיתוח 2025'!G112</f>
        <v>0</v>
      </c>
      <c r="H58" s="112">
        <f>'תקציב החברה לפיתוח 2025'!H112</f>
        <v>0</v>
      </c>
      <c r="I58" s="112">
        <f>'תקציב החברה לפיתוח 2025'!I112</f>
        <v>0</v>
      </c>
      <c r="J58" s="112">
        <f>'תקציב החברה לפיתוח 2025'!J112</f>
        <v>0</v>
      </c>
      <c r="K58" s="112">
        <f>'תקציב החברה לפיתוח 2025'!K112</f>
        <v>0</v>
      </c>
      <c r="L58" s="112">
        <f>'תקציב החברה לפיתוח 2025'!L112</f>
        <v>0</v>
      </c>
      <c r="M58" s="112">
        <f>'תקציב החברה לפיתוח 2025'!M112</f>
        <v>0</v>
      </c>
      <c r="N58" s="257">
        <f>'תקציב החברה לפיתוח 2025'!N112</f>
        <v>3200000</v>
      </c>
      <c r="O58" s="112">
        <f>'תקציב החברה לפיתוח 2025'!O112</f>
        <v>1800000</v>
      </c>
      <c r="P58" s="112">
        <f>'תקציב החברה לפיתוח 2025'!P112</f>
        <v>0</v>
      </c>
      <c r="Q58" s="112">
        <f>'תקציב החברה לפיתוח 2025'!Q112</f>
        <v>0</v>
      </c>
      <c r="R58" s="112">
        <f>'תקציב החברה לפיתוח 2025'!R112</f>
        <v>0</v>
      </c>
      <c r="S58" s="112">
        <f>'תקציב החברה לפיתוח 2025'!S112</f>
        <v>0</v>
      </c>
      <c r="T58" s="112">
        <f>'תקציב החברה לפיתוח 2025'!T112</f>
        <v>0</v>
      </c>
      <c r="U58" s="257">
        <f>'תקציב החברה לפיתוח 2025'!U112</f>
        <v>3200000</v>
      </c>
      <c r="V58" s="112">
        <f>'תקציב החברה לפיתוח 2025'!V112</f>
        <v>1000000</v>
      </c>
      <c r="W58" s="112">
        <f>'תקציב החברה לפיתוח 2025'!W112</f>
        <v>0</v>
      </c>
      <c r="X58" s="112">
        <f>'תקציב החברה לפיתוח 2025'!X112</f>
        <v>0</v>
      </c>
      <c r="Y58" s="112">
        <f>'תקציב החברה לפיתוח 2025'!Y112</f>
        <v>0</v>
      </c>
      <c r="Z58" s="112">
        <f>'תקציב החברה לפיתוח 2025'!Z112</f>
        <v>0</v>
      </c>
      <c r="AA58" s="112">
        <f>'תקציב החברה לפיתוח 2025'!AA112</f>
        <v>2200000</v>
      </c>
      <c r="AB58" s="202" t="str">
        <f>'תקציב החברה לפיתוח 2025'!AB112</f>
        <v>הסטה ושיקום אקולוגי של הנחל. הוגשה בקשה למימון הקרן לשמירת שטחים פתוחים ורשות ניקוז.</v>
      </c>
      <c r="AC58" s="3">
        <f>'תקציב החברה לפיתוח 2025'!AC112</f>
        <v>742000</v>
      </c>
      <c r="AD58" s="123"/>
      <c r="AE58" s="123"/>
      <c r="AF58" s="123"/>
      <c r="AG58" s="123"/>
      <c r="AH58" s="123"/>
      <c r="AI58" s="123"/>
      <c r="AJ58" s="123"/>
      <c r="AK58" s="505"/>
      <c r="AL58" s="505"/>
      <c r="AM58" s="505"/>
      <c r="AN58" s="505"/>
      <c r="AO58" s="505"/>
      <c r="AP58" s="505"/>
      <c r="AQ58" s="505"/>
      <c r="AR58" s="505"/>
      <c r="AS58" s="123"/>
      <c r="AT58" s="123"/>
      <c r="AU58" s="123"/>
      <c r="AV58" s="123"/>
      <c r="AW58" s="123"/>
      <c r="AX58" s="123"/>
      <c r="AY58" s="123"/>
      <c r="AZ58" s="5"/>
      <c r="BA58" s="5"/>
      <c r="BB58" s="5"/>
      <c r="BC58" s="5"/>
      <c r="BD58" s="5"/>
    </row>
    <row r="59" spans="1:56" s="5" customFormat="1">
      <c r="A59" s="112">
        <f t="shared" si="3"/>
        <v>52</v>
      </c>
      <c r="B59" s="19">
        <f>'תקציב החברה לפיתוח 2025'!B113</f>
        <v>20150</v>
      </c>
      <c r="C59" s="222" t="str">
        <f>'תקציב החברה לפיתוח 2025'!C113</f>
        <v>פיתוח גבעת האלוהים</v>
      </c>
      <c r="D59" s="112">
        <f>'תקציב החברה לפיתוח 2025'!D113</f>
        <v>150000</v>
      </c>
      <c r="E59" s="112">
        <f>'תקציב החברה לפיתוח 2025'!E113</f>
        <v>0</v>
      </c>
      <c r="F59" s="112">
        <f>'תקציב החברה לפיתוח 2025'!F113</f>
        <v>150000</v>
      </c>
      <c r="G59" s="112">
        <f>'תקציב החברה לפיתוח 2025'!G113</f>
        <v>0</v>
      </c>
      <c r="H59" s="112">
        <f>'תקציב החברה לפיתוח 2025'!H113</f>
        <v>0</v>
      </c>
      <c r="I59" s="112">
        <f>'תקציב החברה לפיתוח 2025'!I113</f>
        <v>0</v>
      </c>
      <c r="J59" s="112">
        <f>'תקציב החברה לפיתוח 2025'!J113</f>
        <v>0</v>
      </c>
      <c r="K59" s="112">
        <f>'תקציב החברה לפיתוח 2025'!K113</f>
        <v>0</v>
      </c>
      <c r="L59" s="112">
        <f>'תקציב החברה לפיתוח 2025'!L113</f>
        <v>0</v>
      </c>
      <c r="M59" s="112">
        <f>'תקציב החברה לפיתוח 2025'!M113</f>
        <v>0</v>
      </c>
      <c r="N59" s="112">
        <f>'תקציב החברה לפיתוח 2025'!N113</f>
        <v>150000</v>
      </c>
      <c r="O59" s="112">
        <f>'תקציב החברה לפיתוח 2025'!O113</f>
        <v>0</v>
      </c>
      <c r="P59" s="112">
        <f>'תקציב החברה לפיתוח 2025'!P113</f>
        <v>0</v>
      </c>
      <c r="Q59" s="112">
        <f>'תקציב החברה לפיתוח 2025'!Q113</f>
        <v>0</v>
      </c>
      <c r="R59" s="112">
        <f>'תקציב החברה לפיתוח 2025'!R113</f>
        <v>0</v>
      </c>
      <c r="S59" s="112">
        <f>'תקציב החברה לפיתוח 2025'!S113</f>
        <v>0</v>
      </c>
      <c r="T59" s="112">
        <f>'תקציב החברה לפיתוח 2025'!T113</f>
        <v>0</v>
      </c>
      <c r="U59" s="257">
        <f>'תקציב החברה לפיתוח 2025'!U113</f>
        <v>150000</v>
      </c>
      <c r="V59" s="112">
        <f>'תקציב החברה לפיתוח 2025'!V113</f>
        <v>150000</v>
      </c>
      <c r="W59" s="112">
        <f>'תקציב החברה לפיתוח 2025'!W113</f>
        <v>0</v>
      </c>
      <c r="X59" s="112">
        <f>'תקציב החברה לפיתוח 2025'!X113</f>
        <v>0</v>
      </c>
      <c r="Y59" s="112">
        <f>'תקציב החברה לפיתוח 2025'!Y113</f>
        <v>0</v>
      </c>
      <c r="Z59" s="112">
        <f>'תקציב החברה לפיתוח 2025'!Z113</f>
        <v>0</v>
      </c>
      <c r="AA59" s="112">
        <f>'תקציב החברה לפיתוח 2025'!AA113</f>
        <v>0</v>
      </c>
      <c r="AB59" s="202" t="str">
        <f>'תקציב החברה לפיתוח 2025'!AB113</f>
        <v>תכנון פיתוח המתחם.</v>
      </c>
      <c r="AC59" s="3">
        <f>'תקציב החברה לפיתוח 2025'!AC113</f>
        <v>742000</v>
      </c>
      <c r="AD59" s="123"/>
      <c r="AE59" s="123"/>
      <c r="AF59" s="123"/>
      <c r="AG59" s="123"/>
      <c r="AH59" s="123"/>
      <c r="AI59" s="123"/>
      <c r="AJ59" s="123"/>
      <c r="AK59" s="505"/>
      <c r="AL59" s="505"/>
      <c r="AM59" s="505"/>
      <c r="AN59" s="505"/>
      <c r="AO59" s="505"/>
      <c r="AP59" s="505"/>
      <c r="AQ59" s="505"/>
      <c r="AR59" s="505"/>
      <c r="AS59" s="123"/>
      <c r="AT59" s="123"/>
      <c r="AU59" s="123"/>
      <c r="AV59" s="123"/>
      <c r="AW59" s="123"/>
      <c r="AX59" s="123"/>
      <c r="AY59" s="123"/>
    </row>
    <row r="60" spans="1:56" s="5" customFormat="1">
      <c r="A60" s="112">
        <f t="shared" si="3"/>
        <v>53</v>
      </c>
      <c r="B60" s="19">
        <f>'תקציב החברה לפיתוח 2025'!B123</f>
        <v>20160</v>
      </c>
      <c r="C60" s="222" t="str">
        <f>'תקציב החברה לפיתוח 2025'!C123</f>
        <v>פיתוח מתחם הבוסתן</v>
      </c>
      <c r="D60" s="112">
        <f>'תקציב החברה לפיתוח 2025'!D123</f>
        <v>16000000</v>
      </c>
      <c r="E60" s="112">
        <f>'תקציב החברה לפיתוח 2025'!E123</f>
        <v>0</v>
      </c>
      <c r="F60" s="112">
        <f>'תקציב החברה לפיתוח 2025'!F123</f>
        <v>16000000</v>
      </c>
      <c r="G60" s="112">
        <f>'תקציב החברה לפיתוח 2025'!G123</f>
        <v>0</v>
      </c>
      <c r="H60" s="112">
        <f>'תקציב החברה לפיתוח 2025'!H123</f>
        <v>0</v>
      </c>
      <c r="I60" s="112">
        <f>'תקציב החברה לפיתוח 2025'!I123</f>
        <v>0</v>
      </c>
      <c r="J60" s="112">
        <f>'תקציב החברה לפיתוח 2025'!J123</f>
        <v>0</v>
      </c>
      <c r="K60" s="112">
        <f>'תקציב החברה לפיתוח 2025'!K123</f>
        <v>0</v>
      </c>
      <c r="L60" s="112">
        <f>'תקציב החברה לפיתוח 2025'!L123</f>
        <v>0</v>
      </c>
      <c r="M60" s="112">
        <f>'תקציב החברה לפיתוח 2025'!M123</f>
        <v>0</v>
      </c>
      <c r="N60" s="112">
        <f>'תקציב החברה לפיתוח 2025'!N123</f>
        <v>200000</v>
      </c>
      <c r="O60" s="112">
        <f>'תקציב החברה לפיתוח 2025'!O123</f>
        <v>15800000</v>
      </c>
      <c r="P60" s="112">
        <f>'תקציב החברה לפיתוח 2025'!P123</f>
        <v>0</v>
      </c>
      <c r="Q60" s="112">
        <f>'תקציב החברה לפיתוח 2025'!Q123</f>
        <v>0</v>
      </c>
      <c r="R60" s="112">
        <f>'תקציב החברה לפיתוח 2025'!R123</f>
        <v>0</v>
      </c>
      <c r="S60" s="112">
        <f>'תקציב החברה לפיתוח 2025'!S123</f>
        <v>0</v>
      </c>
      <c r="T60" s="112">
        <f>'תקציב החברה לפיתוח 2025'!T123</f>
        <v>0</v>
      </c>
      <c r="U60" s="257">
        <f>'תקציב החברה לפיתוח 2025'!U123</f>
        <v>200000</v>
      </c>
      <c r="V60" s="112">
        <f>'תקציב החברה לפיתוח 2025'!V123</f>
        <v>200000</v>
      </c>
      <c r="W60" s="112">
        <f>'תקציב החברה לפיתוח 2025'!W123</f>
        <v>0</v>
      </c>
      <c r="X60" s="112">
        <f>'תקציב החברה לפיתוח 2025'!X123</f>
        <v>0</v>
      </c>
      <c r="Y60" s="112">
        <f>'תקציב החברה לפיתוח 2025'!Y123</f>
        <v>0</v>
      </c>
      <c r="Z60" s="112">
        <f>'תקציב החברה לפיתוח 2025'!Z123</f>
        <v>0</v>
      </c>
      <c r="AA60" s="112">
        <f>'תקציב החברה לפיתוח 2025'!AA123</f>
        <v>0</v>
      </c>
      <c r="AB60" s="202" t="str">
        <f>'תקציב החברה לפיתוח 2025'!AB123</f>
        <v>פיתוח מתחם הבוסתן.</v>
      </c>
      <c r="AC60" s="3">
        <f>'תקציב החברה לפיתוח 2025'!AC123</f>
        <v>742000</v>
      </c>
      <c r="AD60" s="123"/>
      <c r="AE60" s="123"/>
      <c r="AF60" s="123"/>
      <c r="AG60" s="123"/>
      <c r="AH60" s="123"/>
      <c r="AI60" s="123"/>
      <c r="AJ60" s="123"/>
      <c r="AK60" s="505"/>
      <c r="AL60" s="505"/>
      <c r="AM60" s="505"/>
      <c r="AN60" s="505"/>
      <c r="AO60" s="505"/>
      <c r="AP60" s="505"/>
      <c r="AQ60" s="505"/>
      <c r="AR60" s="505"/>
      <c r="AS60" s="123"/>
      <c r="AT60" s="123"/>
      <c r="AU60" s="123"/>
      <c r="AV60" s="123"/>
      <c r="AW60" s="123"/>
      <c r="AX60" s="123"/>
      <c r="AY60" s="123"/>
    </row>
    <row r="61" spans="1:56" s="5" customFormat="1" ht="30">
      <c r="A61" s="112">
        <f t="shared" si="3"/>
        <v>54</v>
      </c>
      <c r="B61" s="19">
        <f>'תקציב החברה לפיתוח 2025'!B82</f>
        <v>2232</v>
      </c>
      <c r="C61" s="202" t="str">
        <f>'תקציב החברה לפיתוח 2025'!C82</f>
        <v>החלפת קו ניקוז רח' שלווה</v>
      </c>
      <c r="D61" s="112">
        <f>'תקציב החברה לפיתוח 2025'!D82</f>
        <v>36900000</v>
      </c>
      <c r="E61" s="112">
        <f>'תקציב החברה לפיתוח 2025'!E82</f>
        <v>17200000</v>
      </c>
      <c r="F61" s="112">
        <f>'תקציב החברה לפיתוח 2025'!F82</f>
        <v>19700000</v>
      </c>
      <c r="G61" s="112">
        <f>'תקציב החברה לפיתוח 2025'!G82</f>
        <v>800000</v>
      </c>
      <c r="H61" s="112">
        <f>'תקציב החברה לפיתוח 2025'!H82</f>
        <v>778625</v>
      </c>
      <c r="I61" s="112">
        <f>'תקציב החברה לפיתוח 2025'!I82</f>
        <v>0</v>
      </c>
      <c r="J61" s="112">
        <f>'תקציב החברה לפיתוח 2025'!J82</f>
        <v>0</v>
      </c>
      <c r="K61" s="112">
        <f>'תקציב החברה לפיתוח 2025'!K82</f>
        <v>0</v>
      </c>
      <c r="L61" s="112">
        <f>'תקציב החברה לפיתוח 2025'!L82</f>
        <v>778625</v>
      </c>
      <c r="M61" s="112">
        <f>'תקציב החברה לפיתוח 2025'!M82</f>
        <v>21375</v>
      </c>
      <c r="N61" s="112">
        <f>'תקציב החברה לפיתוח 2025'!N82</f>
        <v>0</v>
      </c>
      <c r="O61" s="112">
        <f>'תקציב החברה לפיתוח 2025'!O82</f>
        <v>36100000</v>
      </c>
      <c r="P61" s="112">
        <f>'תקציב החברה לפיתוח 2025'!P82</f>
        <v>21375</v>
      </c>
      <c r="Q61" s="112">
        <f>'תקציב החברה לפיתוח 2025'!Q82</f>
        <v>0</v>
      </c>
      <c r="R61" s="112">
        <f>'תקציב החברה לפיתוח 2025'!R82</f>
        <v>0</v>
      </c>
      <c r="S61" s="112">
        <f>'תקציב החברה לפיתוח 2025'!S82</f>
        <v>0</v>
      </c>
      <c r="T61" s="112">
        <f>'תקציב החברה לפיתוח 2025'!T82</f>
        <v>0</v>
      </c>
      <c r="U61" s="257">
        <f>'תקציב החברה לפיתוח 2025'!U82</f>
        <v>0</v>
      </c>
      <c r="V61" s="112">
        <f>'תקציב החברה לפיתוח 2025'!V82</f>
        <v>0</v>
      </c>
      <c r="W61" s="112">
        <f>'תקציב החברה לפיתוח 2025'!W82</f>
        <v>0</v>
      </c>
      <c r="X61" s="112">
        <f>'תקציב החברה לפיתוח 2025'!X82</f>
        <v>0</v>
      </c>
      <c r="Y61" s="112">
        <f>'תקציב החברה לפיתוח 2025'!Y82</f>
        <v>0</v>
      </c>
      <c r="Z61" s="112">
        <f>'תקציב החברה לפיתוח 2025'!Z82</f>
        <v>0</v>
      </c>
      <c r="AA61" s="127">
        <f>'תקציב החברה לפיתוח 2025'!AA82</f>
        <v>0</v>
      </c>
      <c r="AB61" s="202" t="str">
        <f>'תקציב החברה לפיתוח 2025'!AB82</f>
        <v xml:space="preserve">החלפת קו ניקוז ברח' שלווה. </v>
      </c>
      <c r="AC61" s="3">
        <f>'תקציב החברה לפיתוח 2025'!AC82</f>
        <v>745000</v>
      </c>
      <c r="AD61" s="123"/>
      <c r="AE61" s="123"/>
      <c r="AF61" s="123"/>
      <c r="AG61" s="123"/>
      <c r="AH61" s="123"/>
      <c r="AI61" s="123"/>
      <c r="AJ61" s="123"/>
      <c r="AK61" s="505"/>
      <c r="AL61" s="505"/>
      <c r="AM61" s="505"/>
      <c r="AN61" s="505"/>
      <c r="AO61" s="505"/>
      <c r="AP61" s="505"/>
      <c r="AQ61" s="505"/>
      <c r="AR61" s="505"/>
      <c r="AS61" s="123"/>
      <c r="AT61" s="123"/>
      <c r="AU61" s="123"/>
      <c r="AV61" s="123"/>
      <c r="AW61" s="123"/>
      <c r="AX61" s="123"/>
      <c r="AY61" s="123"/>
      <c r="AZ61" s="6"/>
      <c r="BA61" s="6"/>
      <c r="BB61" s="6"/>
      <c r="BC61" s="6"/>
      <c r="BD61" s="6"/>
    </row>
    <row r="62" spans="1:56" s="5" customFormat="1" ht="30">
      <c r="A62" s="112">
        <f t="shared" si="3"/>
        <v>55</v>
      </c>
      <c r="B62" s="19">
        <f>'תקציב החברה לפיתוח 2025'!B83</f>
        <v>2233</v>
      </c>
      <c r="C62" s="202" t="str">
        <f>'תקציב החברה לפיתוח 2025'!C83</f>
        <v>החלפת קו ניקוז רח' בזל</v>
      </c>
      <c r="D62" s="112">
        <f>'תקציב החברה לפיתוח 2025'!D83</f>
        <v>24700000</v>
      </c>
      <c r="E62" s="112">
        <f>'תקציב החברה לפיתוח 2025'!E83</f>
        <v>20250000</v>
      </c>
      <c r="F62" s="112">
        <f>'תקציב החברה לפיתוח 2025'!F83</f>
        <v>4450000</v>
      </c>
      <c r="G62" s="112">
        <f>'תקציב החברה לפיתוח 2025'!G83</f>
        <v>800000</v>
      </c>
      <c r="H62" s="112">
        <f>'תקציב החברה לפיתוח 2025'!H83</f>
        <v>789541</v>
      </c>
      <c r="I62" s="112">
        <f>'תקציב החברה לפיתוח 2025'!I83</f>
        <v>0</v>
      </c>
      <c r="J62" s="112">
        <f>'תקציב החברה לפיתוח 2025'!J83</f>
        <v>0</v>
      </c>
      <c r="K62" s="112">
        <f>'תקציב החברה לפיתוח 2025'!K83</f>
        <v>0</v>
      </c>
      <c r="L62" s="112">
        <f>'תקציב החברה לפיתוח 2025'!L83</f>
        <v>789541</v>
      </c>
      <c r="M62" s="112">
        <f>'תקציב החברה לפיתוח 2025'!M83</f>
        <v>10459</v>
      </c>
      <c r="N62" s="112">
        <f>'תקציב החברה לפיתוח 2025'!N83</f>
        <v>0</v>
      </c>
      <c r="O62" s="112">
        <f>'תקציב החברה לפיתוח 2025'!O83</f>
        <v>23900000</v>
      </c>
      <c r="P62" s="112">
        <f>'תקציב החברה לפיתוח 2025'!P83</f>
        <v>10459</v>
      </c>
      <c r="Q62" s="112">
        <f>'תקציב החברה לפיתוח 2025'!Q83</f>
        <v>0</v>
      </c>
      <c r="R62" s="112">
        <f>'תקציב החברה לפיתוח 2025'!R83</f>
        <v>0</v>
      </c>
      <c r="S62" s="112">
        <f>'תקציב החברה לפיתוח 2025'!S83</f>
        <v>0</v>
      </c>
      <c r="T62" s="112">
        <f>'תקציב החברה לפיתוח 2025'!T83</f>
        <v>0</v>
      </c>
      <c r="U62" s="257">
        <f>'תקציב החברה לפיתוח 2025'!U83</f>
        <v>0</v>
      </c>
      <c r="V62" s="112">
        <f>'תקציב החברה לפיתוח 2025'!V83</f>
        <v>0</v>
      </c>
      <c r="W62" s="112">
        <f>'תקציב החברה לפיתוח 2025'!W83</f>
        <v>0</v>
      </c>
      <c r="X62" s="112">
        <f>'תקציב החברה לפיתוח 2025'!X83</f>
        <v>0</v>
      </c>
      <c r="Y62" s="112">
        <f>'תקציב החברה לפיתוח 2025'!Y83</f>
        <v>0</v>
      </c>
      <c r="Z62" s="112">
        <f>'תקציב החברה לפיתוח 2025'!Z83</f>
        <v>0</v>
      </c>
      <c r="AA62" s="127">
        <f>'תקציב החברה לפיתוח 2025'!AA83</f>
        <v>0</v>
      </c>
      <c r="AB62" s="202" t="str">
        <f>'תקציב החברה לפיתוח 2025'!AB83</f>
        <v xml:space="preserve">החלפת קו ניקוז ברח' בזל. </v>
      </c>
      <c r="AC62" s="3">
        <f>'תקציב החברה לפיתוח 2025'!AC83</f>
        <v>745000</v>
      </c>
      <c r="AD62" s="123"/>
      <c r="AE62" s="123"/>
      <c r="AF62" s="123"/>
      <c r="AG62" s="123"/>
      <c r="AH62" s="123"/>
      <c r="AI62" s="123"/>
      <c r="AJ62" s="123"/>
      <c r="AK62" s="505"/>
      <c r="AL62" s="505"/>
      <c r="AM62" s="505"/>
      <c r="AN62" s="505"/>
      <c r="AO62" s="505"/>
      <c r="AP62" s="505"/>
      <c r="AQ62" s="505"/>
      <c r="AR62" s="505"/>
      <c r="AS62" s="123"/>
      <c r="AT62" s="123"/>
      <c r="AU62" s="123"/>
      <c r="AV62" s="123"/>
      <c r="AW62" s="123"/>
      <c r="AX62" s="123"/>
      <c r="AY62" s="123"/>
      <c r="AZ62" s="6"/>
      <c r="BA62" s="6"/>
      <c r="BB62" s="6"/>
      <c r="BC62" s="6"/>
      <c r="BD62" s="6"/>
    </row>
    <row r="63" spans="1:56" s="5" customFormat="1" ht="45">
      <c r="A63" s="112">
        <f t="shared" si="3"/>
        <v>56</v>
      </c>
      <c r="B63" s="209">
        <f>'תקציב החברה לפיתוח 2025'!B23</f>
        <v>1827</v>
      </c>
      <c r="C63" s="222" t="str">
        <f>'תקציב החברה לפיתוח 2025'!C23</f>
        <v xml:space="preserve">פארק גליל ים </v>
      </c>
      <c r="D63" s="112">
        <f>'תקציב החברה לפיתוח 2025'!D23</f>
        <v>100000000</v>
      </c>
      <c r="E63" s="112">
        <f>'תקציב החברה לפיתוח 2025'!E23</f>
        <v>100000000</v>
      </c>
      <c r="F63" s="112">
        <f>'תקציב החברה לפיתוח 2025'!F23</f>
        <v>0</v>
      </c>
      <c r="G63" s="112">
        <f>'תקציב החברה לפיתוח 2025'!G23</f>
        <v>100000000</v>
      </c>
      <c r="H63" s="112">
        <f>'תקציב החברה לפיתוח 2025'!H23</f>
        <v>92813340</v>
      </c>
      <c r="I63" s="112">
        <f>'תקציב החברה לפיתוח 2025'!I23</f>
        <v>0</v>
      </c>
      <c r="J63" s="112">
        <f>'תקציב החברה לפיתוח 2025'!J23</f>
        <v>98762</v>
      </c>
      <c r="K63" s="112">
        <f>'תקציב החברה לפיתוח 2025'!K23</f>
        <v>98762</v>
      </c>
      <c r="L63" s="112">
        <f>'תקציב החברה לפיתוח 2025'!L23</f>
        <v>92912102</v>
      </c>
      <c r="M63" s="112">
        <f>'תקציב החברה לפיתוח 2025'!M23</f>
        <v>7087898</v>
      </c>
      <c r="N63" s="112">
        <f>'תקציב החברה לפיתוח 2025'!N23</f>
        <v>0</v>
      </c>
      <c r="O63" s="112">
        <f>'תקציב החברה לפיתוח 2025'!O23</f>
        <v>0</v>
      </c>
      <c r="P63" s="112">
        <f>'תקציב החברה לפיתוח 2025'!P23</f>
        <v>7087898</v>
      </c>
      <c r="Q63" s="112">
        <f>'תקציב החברה לפיתוח 2025'!Q23</f>
        <v>0</v>
      </c>
      <c r="R63" s="112">
        <f>'תקציב החברה לפיתוח 2025'!R23</f>
        <v>0</v>
      </c>
      <c r="S63" s="112">
        <f>'תקציב החברה לפיתוח 2025'!S23</f>
        <v>0</v>
      </c>
      <c r="T63" s="112">
        <f>'תקציב החברה לפיתוח 2025'!T23</f>
        <v>0</v>
      </c>
      <c r="U63" s="257">
        <f>'תקציב החברה לפיתוח 2025'!U23</f>
        <v>0</v>
      </c>
      <c r="V63" s="112">
        <f>'תקציב החברה לפיתוח 2025'!V23</f>
        <v>0</v>
      </c>
      <c r="W63" s="112">
        <f>'תקציב החברה לפיתוח 2025'!W23</f>
        <v>0</v>
      </c>
      <c r="X63" s="112">
        <f>'תקציב החברה לפיתוח 2025'!X23</f>
        <v>0</v>
      </c>
      <c r="Y63" s="112">
        <f>'תקציב החברה לפיתוח 2025'!Y23</f>
        <v>0</v>
      </c>
      <c r="Z63" s="112">
        <f>'תקציב החברה לפיתוח 2025'!Z23</f>
        <v>0</v>
      </c>
      <c r="AA63" s="127">
        <f>'תקציב החברה לפיתוח 2025'!AA23</f>
        <v>0</v>
      </c>
      <c r="AB63" s="222" t="str">
        <f>'תקציב החברה לפיתוח 2025'!AB23</f>
        <v>עבודות פיתוח. מימון רמ"י במסגרת הסכם "הגג". חן סופיים. לקראת סיום.</v>
      </c>
      <c r="AC63" s="127">
        <f>'תקציב החברה לפיתוח 2025'!AC23</f>
        <v>746000</v>
      </c>
      <c r="AD63" s="123"/>
      <c r="AE63" s="123"/>
      <c r="AF63" s="123"/>
      <c r="AG63" s="123"/>
      <c r="AH63" s="123"/>
      <c r="AI63" s="123"/>
      <c r="AJ63" s="123"/>
      <c r="AK63" s="505"/>
      <c r="AL63" s="505"/>
      <c r="AM63" s="505"/>
      <c r="AN63" s="505"/>
      <c r="AO63" s="505"/>
      <c r="AP63" s="505"/>
      <c r="AQ63" s="505"/>
      <c r="AR63" s="505"/>
      <c r="AS63" s="123"/>
      <c r="AT63" s="123"/>
      <c r="AU63" s="123"/>
      <c r="AV63" s="123"/>
      <c r="AW63" s="123"/>
      <c r="AX63" s="123"/>
      <c r="AY63" s="123"/>
    </row>
    <row r="64" spans="1:56" s="5" customFormat="1" ht="45">
      <c r="A64" s="112">
        <f t="shared" si="3"/>
        <v>57</v>
      </c>
      <c r="B64" s="19">
        <f>'תקציב החברה לפיתוח 2025'!B57</f>
        <v>2118</v>
      </c>
      <c r="C64" s="202" t="str">
        <f>'תקציב החברה לפיתוח 2025'!C57</f>
        <v>שצ"פ דליה רביקוביץ בשכונת אלתרמן (הר/1920)</v>
      </c>
      <c r="D64" s="112">
        <f>'תקציב החברה לפיתוח 2025'!D57</f>
        <v>2600000</v>
      </c>
      <c r="E64" s="112">
        <f>'תקציב החברה לפיתוח 2025'!E57</f>
        <v>2600000</v>
      </c>
      <c r="F64" s="112">
        <f>'תקציב החברה לפיתוח 2025'!F57</f>
        <v>0</v>
      </c>
      <c r="G64" s="112">
        <f>'תקציב החברה לפיתוח 2025'!G57</f>
        <v>2600000</v>
      </c>
      <c r="H64" s="112">
        <f>'תקציב החברה לפיתוח 2025'!H57</f>
        <v>2230961</v>
      </c>
      <c r="I64" s="112">
        <f>'תקציב החברה לפיתוח 2025'!I57</f>
        <v>0</v>
      </c>
      <c r="J64" s="112">
        <f>'תקציב החברה לפיתוח 2025'!J57</f>
        <v>64143</v>
      </c>
      <c r="K64" s="112">
        <f>'תקציב החברה לפיתוח 2025'!K57</f>
        <v>64143</v>
      </c>
      <c r="L64" s="112">
        <f>'תקציב החברה לפיתוח 2025'!L57</f>
        <v>2295104</v>
      </c>
      <c r="M64" s="112">
        <f>'תקציב החברה לפיתוח 2025'!M57</f>
        <v>304896</v>
      </c>
      <c r="N64" s="112">
        <f>'תקציב החברה לפיתוח 2025'!N57</f>
        <v>0</v>
      </c>
      <c r="O64" s="112">
        <f>'תקציב החברה לפיתוח 2025'!O57</f>
        <v>0</v>
      </c>
      <c r="P64" s="112">
        <f>'תקציב החברה לפיתוח 2025'!P57</f>
        <v>304896</v>
      </c>
      <c r="Q64" s="112">
        <f>'תקציב החברה לפיתוח 2025'!Q57</f>
        <v>0</v>
      </c>
      <c r="R64" s="112">
        <f>'תקציב החברה לפיתוח 2025'!R57</f>
        <v>0</v>
      </c>
      <c r="S64" s="112">
        <f>'תקציב החברה לפיתוח 2025'!S57</f>
        <v>0</v>
      </c>
      <c r="T64" s="112">
        <f>'תקציב החברה לפיתוח 2025'!T57</f>
        <v>0</v>
      </c>
      <c r="U64" s="257">
        <f>'תקציב החברה לפיתוח 2025'!U57</f>
        <v>0</v>
      </c>
      <c r="V64" s="112">
        <f>'תקציב החברה לפיתוח 2025'!V57</f>
        <v>0</v>
      </c>
      <c r="W64" s="112">
        <f>'תקציב החברה לפיתוח 2025'!W57</f>
        <v>0</v>
      </c>
      <c r="X64" s="112">
        <f>'תקציב החברה לפיתוח 2025'!X57</f>
        <v>0</v>
      </c>
      <c r="Y64" s="112">
        <f>'תקציב החברה לפיתוח 2025'!Y57</f>
        <v>0</v>
      </c>
      <c r="Z64" s="112">
        <f>'תקציב החברה לפיתוח 2025'!Z57</f>
        <v>0</v>
      </c>
      <c r="AA64" s="127">
        <f>'תקציב החברה לפיתוח 2025'!AA57</f>
        <v>0</v>
      </c>
      <c r="AB64" s="203" t="str">
        <f>'תקציב החברה לפיתוח 2025'!AB57</f>
        <v xml:space="preserve">ביצוע השלמת שצ"פ בקטע רח' דליה רביקוביץ פינת אסתר רהב. </v>
      </c>
      <c r="AC64" s="3">
        <f>'תקציב החברה לפיתוח 2025'!AC57</f>
        <v>746000</v>
      </c>
      <c r="AD64" s="123"/>
      <c r="AE64" s="123"/>
      <c r="AF64" s="123"/>
      <c r="AG64" s="123"/>
      <c r="AH64" s="123"/>
      <c r="AI64" s="123"/>
      <c r="AJ64" s="123"/>
      <c r="AK64" s="505"/>
      <c r="AL64" s="505"/>
      <c r="AM64" s="505"/>
      <c r="AN64" s="505"/>
      <c r="AO64" s="505"/>
      <c r="AP64" s="505"/>
      <c r="AQ64" s="505"/>
      <c r="AR64" s="505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</row>
    <row r="65" spans="1:56" s="5" customFormat="1" ht="45">
      <c r="A65" s="112">
        <f t="shared" si="3"/>
        <v>58</v>
      </c>
      <c r="B65" s="19">
        <f>'תקציב החברה לפיתוח 2025'!B61</f>
        <v>2150</v>
      </c>
      <c r="C65" s="496" t="str">
        <f>'תקציב החברה לפיתוח 2025'!C61</f>
        <v xml:space="preserve">שצ"פים במתחם הר 1960 </v>
      </c>
      <c r="D65" s="112">
        <f>'תקציב החברה לפיתוח 2025'!D61</f>
        <v>23500000</v>
      </c>
      <c r="E65" s="112">
        <f>'תקציב החברה לפיתוח 2025'!E61</f>
        <v>23500000</v>
      </c>
      <c r="F65" s="112">
        <f>'תקציב החברה לפיתוח 2025'!F61</f>
        <v>0</v>
      </c>
      <c r="G65" s="112">
        <f>'תקציב החברה לפיתוח 2025'!G61</f>
        <v>13950000</v>
      </c>
      <c r="H65" s="112">
        <f>'תקציב החברה לפיתוח 2025'!H61</f>
        <v>11935396</v>
      </c>
      <c r="I65" s="112">
        <f>'תקציב החברה לפיתוח 2025'!I61</f>
        <v>0</v>
      </c>
      <c r="J65" s="112">
        <f>'תקציב החברה לפיתוח 2025'!J61</f>
        <v>0</v>
      </c>
      <c r="K65" s="112">
        <f>'תקציב החברה לפיתוח 2025'!K61</f>
        <v>0</v>
      </c>
      <c r="L65" s="112">
        <f>'תקציב החברה לפיתוח 2025'!L61</f>
        <v>11935396</v>
      </c>
      <c r="M65" s="112">
        <f>'תקציב החברה לפיתוח 2025'!M61</f>
        <v>2014604</v>
      </c>
      <c r="N65" s="112">
        <f>'תקציב החברה לפיתוח 2025'!N61</f>
        <v>0</v>
      </c>
      <c r="O65" s="112">
        <f>'תקציב החברה לפיתוח 2025'!O61</f>
        <v>9550000</v>
      </c>
      <c r="P65" s="112">
        <f>'תקציב החברה לפיתוח 2025'!P61</f>
        <v>2014604</v>
      </c>
      <c r="Q65" s="112">
        <f>'תקציב החברה לפיתוח 2025'!Q61</f>
        <v>0</v>
      </c>
      <c r="R65" s="112">
        <f>'תקציב החברה לפיתוח 2025'!R61</f>
        <v>0</v>
      </c>
      <c r="S65" s="112">
        <f>'תקציב החברה לפיתוח 2025'!S61</f>
        <v>0</v>
      </c>
      <c r="T65" s="112">
        <f>'תקציב החברה לפיתוח 2025'!T61</f>
        <v>0</v>
      </c>
      <c r="U65" s="257">
        <f>'תקציב החברה לפיתוח 2025'!U61</f>
        <v>0</v>
      </c>
      <c r="V65" s="112">
        <f>'תקציב החברה לפיתוח 2025'!V61</f>
        <v>0</v>
      </c>
      <c r="W65" s="112">
        <f>'תקציב החברה לפיתוח 2025'!W61</f>
        <v>0</v>
      </c>
      <c r="X65" s="112">
        <f>'תקציב החברה לפיתוח 2025'!X61</f>
        <v>0</v>
      </c>
      <c r="Y65" s="112">
        <f>'תקציב החברה לפיתוח 2025'!Y61</f>
        <v>0</v>
      </c>
      <c r="Z65" s="112">
        <f>'תקציב החברה לפיתוח 2025'!Z61</f>
        <v>0</v>
      </c>
      <c r="AA65" s="127">
        <f>'תקציב החברה לפיתוח 2025'!AA61</f>
        <v>0</v>
      </c>
      <c r="AB65" s="496" t="str">
        <f>'תקציב החברה לפיתוח 2025'!AB61</f>
        <v>ביצוע שצ"פים במתחם : מלכי יהודה (האקליפטוס), קורן,דן שומרון, דורי,משה שמיר.</v>
      </c>
      <c r="AC65" s="3">
        <f>'תקציב החברה לפיתוח 2025'!AC61</f>
        <v>746000</v>
      </c>
      <c r="AD65" s="123"/>
      <c r="AE65" s="123"/>
      <c r="AF65" s="123"/>
      <c r="AG65" s="123"/>
      <c r="AH65" s="123"/>
      <c r="AI65" s="123"/>
      <c r="AJ65" s="123"/>
      <c r="AK65" s="505"/>
      <c r="AL65" s="505"/>
      <c r="AM65" s="505"/>
      <c r="AN65" s="505"/>
      <c r="AO65" s="505"/>
      <c r="AP65" s="505"/>
      <c r="AQ65" s="505"/>
      <c r="AR65" s="505"/>
      <c r="AS65" s="123"/>
      <c r="AT65" s="123"/>
      <c r="AU65" s="123"/>
      <c r="AV65" s="123"/>
      <c r="AW65" s="123"/>
      <c r="AX65" s="123"/>
      <c r="AY65" s="123"/>
    </row>
    <row r="66" spans="1:56" s="5" customFormat="1" ht="60">
      <c r="A66" s="112">
        <f t="shared" si="3"/>
        <v>59</v>
      </c>
      <c r="B66" s="19">
        <f>'תקציב החברה לפיתוח 2025'!B81</f>
        <v>2220</v>
      </c>
      <c r="C66" s="202" t="str">
        <f>'תקציב החברה לפיתוח 2025'!C81</f>
        <v>גן יניב - פיתוח והקמת מתקני כושר</v>
      </c>
      <c r="D66" s="112">
        <f>'תקציב החברה לפיתוח 2025'!D81</f>
        <v>3000000</v>
      </c>
      <c r="E66" s="112">
        <f>'תקציב החברה לפיתוח 2025'!E81</f>
        <v>2700000</v>
      </c>
      <c r="F66" s="112">
        <f>'תקציב החברה לפיתוח 2025'!F81</f>
        <v>300000</v>
      </c>
      <c r="G66" s="112">
        <f>'תקציב החברה לפיתוח 2025'!G81</f>
        <v>2700000</v>
      </c>
      <c r="H66" s="112">
        <f>'תקציב החברה לפיתוח 2025'!H81</f>
        <v>2210037</v>
      </c>
      <c r="I66" s="112">
        <f>'תקציב החברה לפיתוח 2025'!I81</f>
        <v>0</v>
      </c>
      <c r="J66" s="112">
        <f>'תקציב החברה לפיתוח 2025'!J81</f>
        <v>369627</v>
      </c>
      <c r="K66" s="112">
        <f>'תקציב החברה לפיתוח 2025'!K81</f>
        <v>369627</v>
      </c>
      <c r="L66" s="112">
        <f>'תקציב החברה לפיתוח 2025'!L81</f>
        <v>2579664</v>
      </c>
      <c r="M66" s="112">
        <f>'תקציב החברה לפיתוח 2025'!M81</f>
        <v>120336</v>
      </c>
      <c r="N66" s="112">
        <f>'תקציב החברה לפיתוח 2025'!N81</f>
        <v>300000</v>
      </c>
      <c r="O66" s="112">
        <f>'תקציב החברה לפיתוח 2025'!O81</f>
        <v>0</v>
      </c>
      <c r="P66" s="112">
        <f>'תקציב החברה לפיתוח 2025'!P81</f>
        <v>120336</v>
      </c>
      <c r="Q66" s="112">
        <f>'תקציב החברה לפיתוח 2025'!Q81</f>
        <v>0</v>
      </c>
      <c r="R66" s="112">
        <f>'תקציב החברה לפיתוח 2025'!R81</f>
        <v>0</v>
      </c>
      <c r="S66" s="112">
        <f>'תקציב החברה לפיתוח 2025'!S81</f>
        <v>0</v>
      </c>
      <c r="T66" s="112">
        <f>'תקציב החברה לפיתוח 2025'!T81</f>
        <v>0</v>
      </c>
      <c r="U66" s="257">
        <f>'תקציב החברה לפיתוח 2025'!U81</f>
        <v>300000</v>
      </c>
      <c r="V66" s="112">
        <f>'תקציב החברה לפיתוח 2025'!V81</f>
        <v>300000</v>
      </c>
      <c r="W66" s="112">
        <f>'תקציב החברה לפיתוח 2025'!W81</f>
        <v>0</v>
      </c>
      <c r="X66" s="112">
        <f>'תקציב החברה לפיתוח 2025'!X81</f>
        <v>0</v>
      </c>
      <c r="Y66" s="112">
        <f>'תקציב החברה לפיתוח 2025'!Y81</f>
        <v>0</v>
      </c>
      <c r="Z66" s="112">
        <f>'תקציב החברה לפיתוח 2025'!Z81</f>
        <v>0</v>
      </c>
      <c r="AA66" s="127">
        <f>'תקציב החברה לפיתוח 2025'!AA81</f>
        <v>0</v>
      </c>
      <c r="AB66" s="202" t="str">
        <f>'תקציב החברה לפיתוח 2025'!AB81</f>
        <v>תכנון וביצוע הקמת מתקני כושר ופיתוח בשטח הגבול בין גינת הכלבים וחיבור לגן הציבורי בשטח של 1.3 דונם.</v>
      </c>
      <c r="AC66" s="3">
        <f>'תקציב החברה לפיתוח 2025'!AC81</f>
        <v>746000</v>
      </c>
      <c r="AD66" s="123"/>
      <c r="AE66" s="123"/>
      <c r="AF66" s="123"/>
      <c r="AG66" s="123"/>
      <c r="AH66" s="123"/>
      <c r="AI66" s="123"/>
      <c r="AJ66" s="123"/>
      <c r="AK66" s="505"/>
      <c r="AL66" s="505"/>
      <c r="AM66" s="505"/>
      <c r="AN66" s="505"/>
      <c r="AO66" s="505"/>
      <c r="AP66" s="505"/>
      <c r="AQ66" s="505"/>
      <c r="AR66" s="505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</row>
    <row r="67" spans="1:56" s="5" customFormat="1" ht="45">
      <c r="A67" s="112">
        <f t="shared" si="3"/>
        <v>60</v>
      </c>
      <c r="B67" s="19">
        <f>'תקציב החברה לפיתוח 2025'!B106</f>
        <v>20112</v>
      </c>
      <c r="C67" s="222" t="str">
        <f>'תקציב החברה לפיתוח 2025'!C106</f>
        <v>גן ווריזלנד</v>
      </c>
      <c r="D67" s="112">
        <f>'תקציב החברה לפיתוח 2025'!D106</f>
        <v>4700000</v>
      </c>
      <c r="E67" s="112">
        <f>'תקציב החברה לפיתוח 2025'!E106</f>
        <v>4700000</v>
      </c>
      <c r="F67" s="112">
        <f>'תקציב החברה לפיתוח 2025'!F106</f>
        <v>0</v>
      </c>
      <c r="G67" s="112">
        <f>'תקציב החברה לפיתוח 2025'!G106</f>
        <v>0</v>
      </c>
      <c r="H67" s="112">
        <f>'תקציב החברה לפיתוח 2025'!H106</f>
        <v>0</v>
      </c>
      <c r="I67" s="112">
        <f>'תקציב החברה לפיתוח 2025'!I106</f>
        <v>0</v>
      </c>
      <c r="J67" s="112">
        <f>'תקציב החברה לפיתוח 2025'!J106</f>
        <v>0</v>
      </c>
      <c r="K67" s="112">
        <f>'תקציב החברה לפיתוח 2025'!K106</f>
        <v>0</v>
      </c>
      <c r="L67" s="112">
        <f>'תקציב החברה לפיתוח 2025'!L106</f>
        <v>0</v>
      </c>
      <c r="M67" s="112">
        <f>'תקציב החברה לפיתוח 2025'!M106</f>
        <v>0</v>
      </c>
      <c r="N67" s="112">
        <f>'תקציב החברה לפיתוח 2025'!N106</f>
        <v>0</v>
      </c>
      <c r="O67" s="112">
        <f>'תקציב החברה לפיתוח 2025'!O106</f>
        <v>4700000</v>
      </c>
      <c r="P67" s="112">
        <f>'תקציב החברה לפיתוח 2025'!P106</f>
        <v>0</v>
      </c>
      <c r="Q67" s="112">
        <f>'תקציב החברה לפיתוח 2025'!Q106</f>
        <v>0</v>
      </c>
      <c r="R67" s="112">
        <f>'תקציב החברה לפיתוח 2025'!R106</f>
        <v>0</v>
      </c>
      <c r="S67" s="112">
        <f>'תקציב החברה לפיתוח 2025'!S106</f>
        <v>0</v>
      </c>
      <c r="T67" s="112">
        <f>'תקציב החברה לפיתוח 2025'!T106</f>
        <v>0</v>
      </c>
      <c r="U67" s="257">
        <f>'תקציב החברה לפיתוח 2025'!U106</f>
        <v>0</v>
      </c>
      <c r="V67" s="112">
        <f>'תקציב החברה לפיתוח 2025'!V106</f>
        <v>0</v>
      </c>
      <c r="W67" s="112">
        <f>'תקציב החברה לפיתוח 2025'!W106</f>
        <v>0</v>
      </c>
      <c r="X67" s="112">
        <f>'תקציב החברה לפיתוח 2025'!X106</f>
        <v>0</v>
      </c>
      <c r="Y67" s="112">
        <f>'תקציב החברה לפיתוח 2025'!Y106</f>
        <v>0</v>
      </c>
      <c r="Z67" s="112">
        <f>'תקציב החברה לפיתוח 2025'!Z106</f>
        <v>0</v>
      </c>
      <c r="AA67" s="112">
        <f>'תקציב החברה לפיתוח 2025'!AA106</f>
        <v>0</v>
      </c>
      <c r="AB67" s="202" t="str">
        <f>'תקציב החברה לפיתוח 2025'!AB106</f>
        <v>עבודות פיתוח החלק הדרום מערבי של הפארק ייעודי לנוער בהתאם לתוכנית השימור של הפארק.</v>
      </c>
      <c r="AC67" s="3">
        <f>'תקציב החברה לפיתוח 2025'!AC106</f>
        <v>746000</v>
      </c>
      <c r="AD67" s="123"/>
      <c r="AE67" s="123"/>
      <c r="AF67" s="123"/>
      <c r="AG67" s="123"/>
      <c r="AH67" s="123"/>
      <c r="AI67" s="123"/>
      <c r="AJ67" s="123"/>
      <c r="AK67" s="505"/>
      <c r="AL67" s="505"/>
      <c r="AM67" s="505"/>
      <c r="AN67" s="505"/>
      <c r="AO67" s="505"/>
      <c r="AP67" s="505"/>
      <c r="AQ67" s="505"/>
      <c r="AR67" s="505"/>
      <c r="AS67" s="123"/>
      <c r="AT67" s="123"/>
      <c r="AU67" s="123"/>
      <c r="AV67" s="123"/>
      <c r="AW67" s="123"/>
      <c r="AX67" s="123"/>
      <c r="AY67" s="123"/>
    </row>
    <row r="68" spans="1:56" s="40" customFormat="1">
      <c r="A68" s="236"/>
      <c r="B68" s="20"/>
      <c r="C68" s="270" t="s">
        <v>1331</v>
      </c>
      <c r="D68" s="236">
        <f>SUM(D19:D67)</f>
        <v>1636921330</v>
      </c>
      <c r="E68" s="236">
        <f t="shared" ref="E68:AA68" si="4">SUM(E19:E67)</f>
        <v>1574286330</v>
      </c>
      <c r="F68" s="236">
        <f t="shared" si="4"/>
        <v>62635000</v>
      </c>
      <c r="G68" s="236">
        <f t="shared" si="4"/>
        <v>751069226</v>
      </c>
      <c r="H68" s="236">
        <f t="shared" si="4"/>
        <v>700665058</v>
      </c>
      <c r="I68" s="236">
        <f t="shared" si="4"/>
        <v>0</v>
      </c>
      <c r="J68" s="236">
        <f t="shared" si="4"/>
        <v>15607932</v>
      </c>
      <c r="K68" s="236">
        <f t="shared" si="4"/>
        <v>15607932</v>
      </c>
      <c r="L68" s="236">
        <f t="shared" si="4"/>
        <v>716272990</v>
      </c>
      <c r="M68" s="236">
        <f t="shared" si="4"/>
        <v>60791675</v>
      </c>
      <c r="N68" s="236">
        <f t="shared" si="4"/>
        <v>91653425</v>
      </c>
      <c r="O68" s="236">
        <f t="shared" si="4"/>
        <v>768203240</v>
      </c>
      <c r="P68" s="236">
        <f t="shared" si="4"/>
        <v>34796236</v>
      </c>
      <c r="Q68" s="236">
        <f t="shared" si="4"/>
        <v>25295439</v>
      </c>
      <c r="R68" s="236">
        <f t="shared" si="4"/>
        <v>700000</v>
      </c>
      <c r="S68" s="236">
        <f t="shared" si="4"/>
        <v>25995439</v>
      </c>
      <c r="T68" s="236">
        <f t="shared" si="4"/>
        <v>0</v>
      </c>
      <c r="U68" s="236">
        <f t="shared" si="4"/>
        <v>91653425</v>
      </c>
      <c r="V68" s="236">
        <f t="shared" si="4"/>
        <v>52583172</v>
      </c>
      <c r="W68" s="236">
        <f t="shared" si="4"/>
        <v>0</v>
      </c>
      <c r="X68" s="236">
        <f t="shared" si="4"/>
        <v>0</v>
      </c>
      <c r="Y68" s="236">
        <f t="shared" si="4"/>
        <v>28600000</v>
      </c>
      <c r="Z68" s="236">
        <f t="shared" si="4"/>
        <v>0</v>
      </c>
      <c r="AA68" s="236">
        <f t="shared" si="4"/>
        <v>10470253</v>
      </c>
      <c r="AB68" s="263"/>
      <c r="AC68" s="20"/>
      <c r="AD68" s="232"/>
      <c r="AE68" s="232"/>
      <c r="AF68" s="232"/>
      <c r="AG68" s="232"/>
      <c r="AH68" s="232"/>
      <c r="AI68" s="232"/>
      <c r="AJ68" s="232"/>
      <c r="AK68" s="671"/>
      <c r="AL68" s="671"/>
      <c r="AM68" s="671"/>
      <c r="AN68" s="671"/>
      <c r="AO68" s="671"/>
      <c r="AP68" s="671"/>
      <c r="AQ68" s="671"/>
      <c r="AR68" s="671"/>
      <c r="AS68" s="232"/>
      <c r="AT68" s="232"/>
      <c r="AU68" s="232"/>
      <c r="AV68" s="232"/>
      <c r="AW68" s="232"/>
      <c r="AX68" s="232"/>
      <c r="AY68" s="232"/>
    </row>
    <row r="69" spans="1:56" s="5" customFormat="1">
      <c r="A69" s="112"/>
      <c r="B69" s="19"/>
      <c r="C69" s="208">
        <v>747</v>
      </c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257"/>
      <c r="V69" s="112"/>
      <c r="W69" s="112"/>
      <c r="X69" s="112"/>
      <c r="Y69" s="112"/>
      <c r="Z69" s="112"/>
      <c r="AA69" s="112"/>
      <c r="AB69" s="202"/>
      <c r="AC69" s="3"/>
      <c r="AD69" s="123"/>
      <c r="AE69" s="123"/>
      <c r="AF69" s="123"/>
      <c r="AG69" s="123"/>
      <c r="AH69" s="123"/>
      <c r="AI69" s="123"/>
      <c r="AJ69" s="123"/>
      <c r="AK69" s="505"/>
      <c r="AL69" s="505"/>
      <c r="AM69" s="505"/>
      <c r="AN69" s="505"/>
      <c r="AO69" s="505"/>
      <c r="AP69" s="505"/>
      <c r="AQ69" s="505"/>
      <c r="AR69" s="505"/>
      <c r="AS69" s="123"/>
      <c r="AT69" s="123"/>
      <c r="AU69" s="123"/>
      <c r="AV69" s="123"/>
      <c r="AW69" s="123"/>
      <c r="AX69" s="123"/>
      <c r="AY69" s="123"/>
    </row>
    <row r="70" spans="1:56" s="5" customFormat="1" ht="30">
      <c r="A70" s="112">
        <f>1+A67</f>
        <v>61</v>
      </c>
      <c r="B70" s="127">
        <f>'תקציב החברה לפיתוח 2025'!B13</f>
        <v>1375</v>
      </c>
      <c r="C70" s="222" t="str">
        <f>'תקציב החברה לפיתוח 2025'!C13</f>
        <v>הקמת בריכה ומרכז לאומנויות לחימה</v>
      </c>
      <c r="D70" s="112">
        <f>'תקציב החברה לפיתוח 2025'!D13</f>
        <v>42150000</v>
      </c>
      <c r="E70" s="112">
        <f>'תקציב החברה לפיתוח 2025'!E13</f>
        <v>42150000</v>
      </c>
      <c r="F70" s="112">
        <f>'תקציב החברה לפיתוח 2025'!F13</f>
        <v>0</v>
      </c>
      <c r="G70" s="112">
        <f>'תקציב החברה לפיתוח 2025'!G13</f>
        <v>30150000</v>
      </c>
      <c r="H70" s="112">
        <f>'תקציב החברה לפיתוח 2025'!H13</f>
        <v>30140054</v>
      </c>
      <c r="I70" s="112">
        <f>'תקציב החברה לפיתוח 2025'!I13</f>
        <v>0</v>
      </c>
      <c r="J70" s="112">
        <f>'תקציב החברה לפיתוח 2025'!J13</f>
        <v>0</v>
      </c>
      <c r="K70" s="112">
        <f>'תקציב החברה לפיתוח 2025'!K13</f>
        <v>0</v>
      </c>
      <c r="L70" s="112">
        <f>'תקציב החברה לפיתוח 2025'!L13</f>
        <v>30140054</v>
      </c>
      <c r="M70" s="112">
        <f>'תקציב החברה לפיתוח 2025'!M13</f>
        <v>9946</v>
      </c>
      <c r="N70" s="112">
        <f>'תקציב החברה לפיתוח 2025'!N13</f>
        <v>0</v>
      </c>
      <c r="O70" s="112">
        <f>'תקציב החברה לפיתוח 2025'!O13</f>
        <v>12000000</v>
      </c>
      <c r="P70" s="112">
        <f>'תקציב החברה לפיתוח 2025'!P13</f>
        <v>9946</v>
      </c>
      <c r="Q70" s="112">
        <f>'תקציב החברה לפיתוח 2025'!Q13</f>
        <v>0</v>
      </c>
      <c r="R70" s="112">
        <f>'תקציב החברה לפיתוח 2025'!R13</f>
        <v>0</v>
      </c>
      <c r="S70" s="112">
        <f>'תקציב החברה לפיתוח 2025'!S13</f>
        <v>0</v>
      </c>
      <c r="T70" s="112">
        <f>'תקציב החברה לפיתוח 2025'!T13</f>
        <v>0</v>
      </c>
      <c r="U70" s="257">
        <f>'תקציב החברה לפיתוח 2025'!U13</f>
        <v>0</v>
      </c>
      <c r="V70" s="112">
        <f>'תקציב החברה לפיתוח 2025'!V13</f>
        <v>0</v>
      </c>
      <c r="W70" s="112">
        <f>'תקציב החברה לפיתוח 2025'!W13</f>
        <v>0</v>
      </c>
      <c r="X70" s="112">
        <f>'תקציב החברה לפיתוח 2025'!X13</f>
        <v>0</v>
      </c>
      <c r="Y70" s="112">
        <f>'תקציב החברה לפיתוח 2025'!Y13</f>
        <v>0</v>
      </c>
      <c r="Z70" s="112">
        <f>'תקציב החברה לפיתוח 2025'!Z13</f>
        <v>0</v>
      </c>
      <c r="AA70" s="127">
        <f>'תקציב החברה לפיתוח 2025'!AA13</f>
        <v>0</v>
      </c>
      <c r="AB70" s="222" t="str">
        <f>'תקציב החברה לפיתוח 2025'!AB13</f>
        <v xml:space="preserve">תוספת קומה והקמת חדרי פעילויות. </v>
      </c>
      <c r="AC70" s="127">
        <f>'תקציב החברה לפיתוח 2025'!AC13</f>
        <v>747000</v>
      </c>
      <c r="AD70" s="123"/>
      <c r="AE70" s="123"/>
      <c r="AF70" s="123"/>
      <c r="AG70" s="123"/>
      <c r="AH70" s="123"/>
      <c r="AI70" s="123"/>
      <c r="AJ70" s="123"/>
      <c r="AK70" s="505"/>
      <c r="AL70" s="505"/>
      <c r="AM70" s="505"/>
      <c r="AN70" s="505"/>
      <c r="AO70" s="505"/>
      <c r="AP70" s="505"/>
      <c r="AQ70" s="505"/>
      <c r="AR70" s="505"/>
      <c r="AS70" s="123"/>
      <c r="AT70" s="123"/>
      <c r="AU70" s="123"/>
      <c r="AV70" s="123"/>
      <c r="AW70" s="123"/>
      <c r="AX70" s="123"/>
      <c r="AY70" s="123"/>
    </row>
    <row r="71" spans="1:56" s="5" customFormat="1" ht="45">
      <c r="A71" s="112">
        <f>1+A70</f>
        <v>62</v>
      </c>
      <c r="B71" s="19">
        <f>'תקציב החברה לפיתוח 2025'!B59</f>
        <v>2127</v>
      </c>
      <c r="C71" s="202" t="str">
        <f>'תקציב החברה לפיתוח 2025'!C59</f>
        <v>הגנה על מצוקי הים</v>
      </c>
      <c r="D71" s="112">
        <f>'תקציב החברה לפיתוח 2025'!D59</f>
        <v>2259000</v>
      </c>
      <c r="E71" s="112">
        <f>'תקציב החברה לפיתוח 2025'!E59</f>
        <v>2259000</v>
      </c>
      <c r="F71" s="112">
        <f>'תקציב החברה לפיתוח 2025'!F59</f>
        <v>0</v>
      </c>
      <c r="G71" s="112">
        <f>'תקציב החברה לפיתוח 2025'!G59</f>
        <v>1659000</v>
      </c>
      <c r="H71" s="112">
        <f>'תקציב החברה לפיתוח 2025'!H59</f>
        <v>762628</v>
      </c>
      <c r="I71" s="112">
        <f>'תקציב החברה לפיתוח 2025'!I59</f>
        <v>0</v>
      </c>
      <c r="J71" s="112">
        <f>'תקציב החברה לפיתוח 2025'!J59</f>
        <v>530575</v>
      </c>
      <c r="K71" s="112">
        <f>'תקציב החברה לפיתוח 2025'!K59</f>
        <v>530575</v>
      </c>
      <c r="L71" s="112">
        <f>'תקציב החברה לפיתוח 2025'!L59</f>
        <v>1293203</v>
      </c>
      <c r="M71" s="112">
        <f>'תקציב החברה לפיתוח 2025'!M59</f>
        <v>365797</v>
      </c>
      <c r="N71" s="112">
        <f>'תקציב החברה לפיתוח 2025'!N59</f>
        <v>300000</v>
      </c>
      <c r="O71" s="112">
        <f>'תקציב החברה לפיתוח 2025'!O59</f>
        <v>300000</v>
      </c>
      <c r="P71" s="112">
        <f>'תקציב החברה לפיתוח 2025'!P59</f>
        <v>365797</v>
      </c>
      <c r="Q71" s="112">
        <f>'תקציב החברה לפיתוח 2025'!Q59</f>
        <v>0</v>
      </c>
      <c r="R71" s="112">
        <f>'תקציב החברה לפיתוח 2025'!R59</f>
        <v>0</v>
      </c>
      <c r="S71" s="112">
        <f>'תקציב החברה לפיתוח 2025'!S59</f>
        <v>0</v>
      </c>
      <c r="T71" s="112">
        <f>'תקציב החברה לפיתוח 2025'!T59</f>
        <v>0</v>
      </c>
      <c r="U71" s="257">
        <f>'תקציב החברה לפיתוח 2025'!U59</f>
        <v>300000</v>
      </c>
      <c r="V71" s="112">
        <f>'תקציב החברה לפיתוח 2025'!V59</f>
        <v>300000</v>
      </c>
      <c r="W71" s="112">
        <f>'תקציב החברה לפיתוח 2025'!W59</f>
        <v>0</v>
      </c>
      <c r="X71" s="112">
        <f>'תקציב החברה לפיתוח 2025'!X59</f>
        <v>0</v>
      </c>
      <c r="Y71" s="112">
        <f>'תקציב החברה לפיתוח 2025'!Y59</f>
        <v>0</v>
      </c>
      <c r="Z71" s="112">
        <f>'תקציב החברה לפיתוח 2025'!Z59</f>
        <v>0</v>
      </c>
      <c r="AA71" s="127">
        <f>'תקציב החברה לפיתוח 2025'!AA59</f>
        <v>0</v>
      </c>
      <c r="AB71" s="202" t="str">
        <f>'תקציב החברה לפיתוח 2025'!AB59</f>
        <v xml:space="preserve">גיבוש תוכנית פעולות לעבודות הגנה על מצוקי חופי הים . המשך תכנון. מימון מ. הפנים. </v>
      </c>
      <c r="AC71" s="300">
        <f>'תקציב החברה לפיתוח 2025'!AC59</f>
        <v>747000</v>
      </c>
      <c r="AD71" s="123"/>
      <c r="AE71" s="123"/>
      <c r="AF71" s="123"/>
      <c r="AG71" s="123"/>
      <c r="AH71" s="123"/>
      <c r="AI71" s="123"/>
      <c r="AJ71" s="123"/>
      <c r="AK71" s="505"/>
      <c r="AL71" s="505"/>
      <c r="AM71" s="505"/>
      <c r="AN71" s="505"/>
      <c r="AO71" s="505"/>
      <c r="AP71" s="505"/>
      <c r="AQ71" s="505"/>
      <c r="AR71" s="505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</row>
    <row r="72" spans="1:56" s="40" customFormat="1">
      <c r="A72" s="236"/>
      <c r="B72" s="20"/>
      <c r="C72" s="263" t="s">
        <v>1334</v>
      </c>
      <c r="D72" s="236">
        <f>SUM(D70:D71)</f>
        <v>44409000</v>
      </c>
      <c r="E72" s="236">
        <f t="shared" ref="E72:AA72" si="5">SUM(E70:E71)</f>
        <v>44409000</v>
      </c>
      <c r="F72" s="236">
        <f t="shared" si="5"/>
        <v>0</v>
      </c>
      <c r="G72" s="236">
        <f t="shared" si="5"/>
        <v>31809000</v>
      </c>
      <c r="H72" s="236">
        <f t="shared" si="5"/>
        <v>30902682</v>
      </c>
      <c r="I72" s="236">
        <f t="shared" si="5"/>
        <v>0</v>
      </c>
      <c r="J72" s="236">
        <f t="shared" si="5"/>
        <v>530575</v>
      </c>
      <c r="K72" s="236">
        <f t="shared" si="5"/>
        <v>530575</v>
      </c>
      <c r="L72" s="236">
        <f t="shared" si="5"/>
        <v>31433257</v>
      </c>
      <c r="M72" s="236">
        <f t="shared" si="5"/>
        <v>375743</v>
      </c>
      <c r="N72" s="236">
        <f t="shared" si="5"/>
        <v>300000</v>
      </c>
      <c r="O72" s="236">
        <f t="shared" si="5"/>
        <v>12300000</v>
      </c>
      <c r="P72" s="236">
        <f t="shared" si="5"/>
        <v>375743</v>
      </c>
      <c r="Q72" s="236">
        <f t="shared" si="5"/>
        <v>0</v>
      </c>
      <c r="R72" s="236">
        <f t="shared" si="5"/>
        <v>0</v>
      </c>
      <c r="S72" s="236">
        <f t="shared" si="5"/>
        <v>0</v>
      </c>
      <c r="T72" s="236">
        <f t="shared" si="5"/>
        <v>0</v>
      </c>
      <c r="U72" s="236">
        <f t="shared" si="5"/>
        <v>300000</v>
      </c>
      <c r="V72" s="236">
        <f t="shared" si="5"/>
        <v>300000</v>
      </c>
      <c r="W72" s="236">
        <f t="shared" si="5"/>
        <v>0</v>
      </c>
      <c r="X72" s="236">
        <f t="shared" si="5"/>
        <v>0</v>
      </c>
      <c r="Y72" s="236">
        <f t="shared" si="5"/>
        <v>0</v>
      </c>
      <c r="Z72" s="236">
        <f t="shared" si="5"/>
        <v>0</v>
      </c>
      <c r="AA72" s="236">
        <f t="shared" si="5"/>
        <v>0</v>
      </c>
      <c r="AB72" s="263"/>
      <c r="AC72" s="508"/>
      <c r="AD72" s="232"/>
      <c r="AE72" s="232"/>
      <c r="AF72" s="232"/>
      <c r="AG72" s="232"/>
      <c r="AH72" s="232"/>
      <c r="AI72" s="232"/>
      <c r="AJ72" s="232"/>
      <c r="AK72" s="671"/>
      <c r="AL72" s="671"/>
      <c r="AM72" s="671"/>
      <c r="AN72" s="671"/>
      <c r="AO72" s="671"/>
      <c r="AP72" s="671"/>
      <c r="AQ72" s="671"/>
      <c r="AR72" s="671"/>
      <c r="AS72" s="232"/>
      <c r="AT72" s="232"/>
      <c r="AU72" s="232"/>
      <c r="AV72" s="232"/>
      <c r="AW72" s="232"/>
      <c r="AX72" s="232"/>
      <c r="AY72" s="232"/>
      <c r="AZ72" s="232"/>
      <c r="BA72" s="232"/>
      <c r="BB72" s="232"/>
      <c r="BC72" s="232"/>
      <c r="BD72" s="232"/>
    </row>
    <row r="73" spans="1:56" s="5" customFormat="1">
      <c r="A73" s="112"/>
      <c r="B73" s="19"/>
      <c r="C73" s="20">
        <v>76</v>
      </c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257"/>
      <c r="V73" s="112"/>
      <c r="W73" s="112"/>
      <c r="X73" s="112"/>
      <c r="Y73" s="112"/>
      <c r="Z73" s="112"/>
      <c r="AA73" s="127"/>
      <c r="AB73" s="202"/>
      <c r="AC73" s="300"/>
      <c r="AD73" s="123"/>
      <c r="AE73" s="123"/>
      <c r="AF73" s="123"/>
      <c r="AG73" s="123"/>
      <c r="AH73" s="123"/>
      <c r="AI73" s="123"/>
      <c r="AJ73" s="123"/>
      <c r="AK73" s="505"/>
      <c r="AL73" s="505"/>
      <c r="AM73" s="505"/>
      <c r="AN73" s="505"/>
      <c r="AO73" s="505"/>
      <c r="AP73" s="505"/>
      <c r="AQ73" s="505"/>
      <c r="AR73" s="505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</row>
    <row r="74" spans="1:56" s="5" customFormat="1" ht="30">
      <c r="A74" s="112">
        <f>1+A71</f>
        <v>63</v>
      </c>
      <c r="B74" s="127">
        <f>'תקציב החברה לפיתוח 2025'!B6</f>
        <v>576</v>
      </c>
      <c r="C74" s="222" t="str">
        <f>'תקציב החברה לפיתוח 2025'!C6</f>
        <v>בית העלמין החדש</v>
      </c>
      <c r="D74" s="112">
        <f>'תקציב החברה לפיתוח 2025'!D6</f>
        <v>78113000</v>
      </c>
      <c r="E74" s="112">
        <f>'תקציב החברה לפיתוח 2025'!E6</f>
        <v>78113000</v>
      </c>
      <c r="F74" s="112">
        <f>'תקציב החברה לפיתוח 2025'!F6</f>
        <v>0</v>
      </c>
      <c r="G74" s="112">
        <f>'תקציב החברה לפיתוח 2025'!G6</f>
        <v>58113000</v>
      </c>
      <c r="H74" s="112">
        <f>'תקציב החברה לפיתוח 2025'!H6</f>
        <v>57850912</v>
      </c>
      <c r="I74" s="112">
        <f>'תקציב החברה לפיתוח 2025'!I6</f>
        <v>0</v>
      </c>
      <c r="J74" s="112">
        <f>'תקציב החברה לפיתוח 2025'!J6</f>
        <v>52801</v>
      </c>
      <c r="K74" s="112">
        <f>'תקציב החברה לפיתוח 2025'!K6</f>
        <v>52801</v>
      </c>
      <c r="L74" s="112">
        <f>'תקציב החברה לפיתוח 2025'!L6</f>
        <v>57903713</v>
      </c>
      <c r="M74" s="112">
        <f>'תקציב החברה לפיתוח 2025'!M6</f>
        <v>209287</v>
      </c>
      <c r="N74" s="112">
        <f>'תקציב החברה לפיתוח 2025'!N6</f>
        <v>0</v>
      </c>
      <c r="O74" s="112">
        <f>'תקציב החברה לפיתוח 2025'!O6</f>
        <v>20000000</v>
      </c>
      <c r="P74" s="112">
        <f>'תקציב החברה לפיתוח 2025'!P6</f>
        <v>209287</v>
      </c>
      <c r="Q74" s="112">
        <f>'תקציב החברה לפיתוח 2025'!Q6</f>
        <v>0</v>
      </c>
      <c r="R74" s="112">
        <f>'תקציב החברה לפיתוח 2025'!R6</f>
        <v>0</v>
      </c>
      <c r="S74" s="112">
        <f>'תקציב החברה לפיתוח 2025'!S6</f>
        <v>0</v>
      </c>
      <c r="T74" s="112">
        <f>'תקציב החברה לפיתוח 2025'!T6</f>
        <v>0</v>
      </c>
      <c r="U74" s="257">
        <f>'תקציב החברה לפיתוח 2025'!U6</f>
        <v>0</v>
      </c>
      <c r="V74" s="112">
        <f>'תקציב החברה לפיתוח 2025'!V6</f>
        <v>0</v>
      </c>
      <c r="W74" s="112">
        <f>'תקציב החברה לפיתוח 2025'!W6</f>
        <v>0</v>
      </c>
      <c r="X74" s="112">
        <f>'תקציב החברה לפיתוח 2025'!X6</f>
        <v>0</v>
      </c>
      <c r="Y74" s="112">
        <f>'תקציב החברה לפיתוח 2025'!Y6</f>
        <v>0</v>
      </c>
      <c r="Z74" s="112">
        <f>'תקציב החברה לפיתוח 2025'!Z6</f>
        <v>0</v>
      </c>
      <c r="AA74" s="112">
        <f>'תקציב החברה לפיתוח 2025'!AA6</f>
        <v>0</v>
      </c>
      <c r="AB74" s="222" t="str">
        <f>'תקציב החברה לפיתוח 2025'!AB6</f>
        <v xml:space="preserve">עבודות הרחבת והכשרת חלקות נוספות  בבית העלמין החדש. </v>
      </c>
      <c r="AC74" s="127">
        <f>'תקציב החברה לפיתוח 2025'!AC6</f>
        <v>760000</v>
      </c>
      <c r="AD74" s="123"/>
      <c r="AE74" s="123"/>
      <c r="AF74" s="123"/>
      <c r="AG74" s="123"/>
      <c r="AH74" s="123"/>
      <c r="AI74" s="123"/>
      <c r="AJ74" s="123"/>
      <c r="AK74" s="505"/>
      <c r="AL74" s="505"/>
      <c r="AM74" s="505"/>
      <c r="AN74" s="505"/>
      <c r="AO74" s="505"/>
      <c r="AP74" s="505"/>
      <c r="AQ74" s="505"/>
      <c r="AR74" s="505"/>
      <c r="AS74" s="123"/>
      <c r="AT74" s="123"/>
      <c r="AU74" s="123"/>
      <c r="AV74" s="123"/>
      <c r="AW74" s="123"/>
      <c r="AX74" s="123"/>
      <c r="AY74" s="123"/>
    </row>
    <row r="75" spans="1:56" s="40" customFormat="1">
      <c r="A75" s="236"/>
      <c r="B75" s="208"/>
      <c r="C75" s="270" t="s">
        <v>1332</v>
      </c>
      <c r="D75" s="236">
        <f>SUM(D74)</f>
        <v>78113000</v>
      </c>
      <c r="E75" s="236">
        <f t="shared" ref="E75:AA75" si="6">SUM(E74)</f>
        <v>78113000</v>
      </c>
      <c r="F75" s="236">
        <f t="shared" si="6"/>
        <v>0</v>
      </c>
      <c r="G75" s="236">
        <f t="shared" si="6"/>
        <v>58113000</v>
      </c>
      <c r="H75" s="236">
        <f t="shared" si="6"/>
        <v>57850912</v>
      </c>
      <c r="I75" s="236">
        <f t="shared" si="6"/>
        <v>0</v>
      </c>
      <c r="J75" s="236">
        <f t="shared" si="6"/>
        <v>52801</v>
      </c>
      <c r="K75" s="236">
        <f t="shared" si="6"/>
        <v>52801</v>
      </c>
      <c r="L75" s="236">
        <f t="shared" si="6"/>
        <v>57903713</v>
      </c>
      <c r="M75" s="236">
        <f t="shared" si="6"/>
        <v>209287</v>
      </c>
      <c r="N75" s="236">
        <f t="shared" si="6"/>
        <v>0</v>
      </c>
      <c r="O75" s="236">
        <f t="shared" si="6"/>
        <v>20000000</v>
      </c>
      <c r="P75" s="236">
        <f t="shared" si="6"/>
        <v>209287</v>
      </c>
      <c r="Q75" s="236">
        <f t="shared" si="6"/>
        <v>0</v>
      </c>
      <c r="R75" s="236">
        <f t="shared" si="6"/>
        <v>0</v>
      </c>
      <c r="S75" s="236">
        <f t="shared" si="6"/>
        <v>0</v>
      </c>
      <c r="T75" s="236">
        <f t="shared" si="6"/>
        <v>0</v>
      </c>
      <c r="U75" s="236">
        <f t="shared" si="6"/>
        <v>0</v>
      </c>
      <c r="V75" s="236">
        <f t="shared" si="6"/>
        <v>0</v>
      </c>
      <c r="W75" s="236">
        <f t="shared" si="6"/>
        <v>0</v>
      </c>
      <c r="X75" s="236">
        <f t="shared" si="6"/>
        <v>0</v>
      </c>
      <c r="Y75" s="236">
        <f t="shared" si="6"/>
        <v>0</v>
      </c>
      <c r="Z75" s="236">
        <f t="shared" si="6"/>
        <v>0</v>
      </c>
      <c r="AA75" s="236">
        <f t="shared" si="6"/>
        <v>0</v>
      </c>
      <c r="AB75" s="270"/>
      <c r="AC75" s="208"/>
      <c r="AD75" s="232"/>
      <c r="AE75" s="232"/>
      <c r="AF75" s="232"/>
      <c r="AG75" s="232"/>
      <c r="AH75" s="232"/>
      <c r="AI75" s="232"/>
      <c r="AJ75" s="232"/>
      <c r="AK75" s="671"/>
      <c r="AL75" s="671"/>
      <c r="AM75" s="671"/>
      <c r="AN75" s="671"/>
      <c r="AO75" s="671"/>
      <c r="AP75" s="671"/>
      <c r="AQ75" s="671"/>
      <c r="AR75" s="671"/>
      <c r="AS75" s="232"/>
      <c r="AT75" s="232"/>
      <c r="AU75" s="232"/>
      <c r="AV75" s="232"/>
      <c r="AW75" s="232"/>
      <c r="AX75" s="232"/>
      <c r="AY75" s="232"/>
    </row>
    <row r="76" spans="1:56" s="5" customFormat="1">
      <c r="A76" s="112"/>
      <c r="B76" s="127"/>
      <c r="C76" s="208">
        <v>81</v>
      </c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257"/>
      <c r="V76" s="112"/>
      <c r="W76" s="112"/>
      <c r="X76" s="112"/>
      <c r="Y76" s="112"/>
      <c r="Z76" s="112"/>
      <c r="AA76" s="112"/>
      <c r="AB76" s="222"/>
      <c r="AC76" s="127"/>
      <c r="AD76" s="123"/>
      <c r="AE76" s="123"/>
      <c r="AF76" s="123"/>
      <c r="AG76" s="123"/>
      <c r="AH76" s="123"/>
      <c r="AI76" s="123"/>
      <c r="AJ76" s="123"/>
      <c r="AK76" s="505"/>
      <c r="AL76" s="505"/>
      <c r="AM76" s="505"/>
      <c r="AN76" s="505"/>
      <c r="AO76" s="505"/>
      <c r="AP76" s="505"/>
      <c r="AQ76" s="505"/>
      <c r="AR76" s="505"/>
      <c r="AS76" s="123"/>
      <c r="AT76" s="123"/>
      <c r="AU76" s="123"/>
      <c r="AV76" s="123"/>
      <c r="AW76" s="123"/>
      <c r="AX76" s="123"/>
      <c r="AY76" s="123"/>
    </row>
    <row r="77" spans="1:56" s="5" customFormat="1" ht="75">
      <c r="A77" s="112">
        <f>1+A74</f>
        <v>64</v>
      </c>
      <c r="B77" s="209">
        <f>'תקציב החברה לפיתוח 2025'!B28</f>
        <v>1909</v>
      </c>
      <c r="C77" s="222" t="str">
        <f>'תקציב החברה לפיתוח 2025'!C28</f>
        <v xml:space="preserve">שטח 408 גליל ים ב'-גנ"י, בי"ס, ספריה </v>
      </c>
      <c r="D77" s="112">
        <f>'תקציב החברה לפיתוח 2025'!D28</f>
        <v>184500000</v>
      </c>
      <c r="E77" s="112">
        <f>'תקציב החברה לפיתוח 2025'!E28</f>
        <v>184500000</v>
      </c>
      <c r="F77" s="112">
        <f>'תקציב החברה לפיתוח 2025'!F28</f>
        <v>0</v>
      </c>
      <c r="G77" s="112">
        <f>'תקציב החברה לפיתוח 2025'!G28</f>
        <v>180283198</v>
      </c>
      <c r="H77" s="112">
        <f>'תקציב החברה לפיתוח 2025'!H28</f>
        <v>177686049</v>
      </c>
      <c r="I77" s="112">
        <f>'תקציב החברה לפיתוח 2025'!I28</f>
        <v>0</v>
      </c>
      <c r="J77" s="112">
        <f>'תקציב החברה לפיתוח 2025'!J28</f>
        <v>2015800</v>
      </c>
      <c r="K77" s="112">
        <f>'תקציב החברה לפיתוח 2025'!K28</f>
        <v>2015800</v>
      </c>
      <c r="L77" s="112">
        <f>'תקציב החברה לפיתוח 2025'!L28</f>
        <v>179701849</v>
      </c>
      <c r="M77" s="112">
        <f>'תקציב החברה לפיתוח 2025'!M28</f>
        <v>798151</v>
      </c>
      <c r="N77" s="112">
        <f>'תקציב החברה לפיתוח 2025'!N28</f>
        <v>1000000</v>
      </c>
      <c r="O77" s="112">
        <f>'תקציב החברה לפיתוח 2025'!O28</f>
        <v>3000000</v>
      </c>
      <c r="P77" s="112">
        <f>'תקציב החברה לפיתוח 2025'!P28</f>
        <v>581349</v>
      </c>
      <c r="Q77" s="112">
        <f>'תקציב החברה לפיתוח 2025'!Q28</f>
        <v>216802</v>
      </c>
      <c r="R77" s="112">
        <f>'תקציב החברה לפיתוח 2025'!R28</f>
        <v>0</v>
      </c>
      <c r="S77" s="112">
        <f>'תקציב החברה לפיתוח 2025'!S28</f>
        <v>216802</v>
      </c>
      <c r="T77" s="112">
        <f>'תקציב החברה לפיתוח 2025'!T28</f>
        <v>0</v>
      </c>
      <c r="U77" s="257">
        <f>'תקציב החברה לפיתוח 2025'!U28</f>
        <v>1000000</v>
      </c>
      <c r="V77" s="112">
        <f>'תקציב החברה לפיתוח 2025'!V28</f>
        <v>1000000</v>
      </c>
      <c r="W77" s="112">
        <f>'תקציב החברה לפיתוח 2025'!W28</f>
        <v>0</v>
      </c>
      <c r="X77" s="112">
        <f>'תקציב החברה לפיתוח 2025'!X28</f>
        <v>0</v>
      </c>
      <c r="Y77" s="112">
        <f>'תקציב החברה לפיתוח 2025'!Y28</f>
        <v>0</v>
      </c>
      <c r="Z77" s="112">
        <f>'תקציב החברה לפיתוח 2025'!Z28</f>
        <v>0</v>
      </c>
      <c r="AA77" s="112">
        <f>'תקציב החברה לפיתוח 2025'!AA28</f>
        <v>0</v>
      </c>
      <c r="AB77" s="210" t="str">
        <f>'תקציב החברה לפיתוח 2025'!AB28</f>
        <v>בניית בי"ס יסודי 18 כיתות , 5 כיתות גן , מועדון תנועת נוער, אולם ספורט בינוני , מגרש ספורט משולב, חניון תתקרקעי 2 מפלסים.  מימון מ. החינוך בי"ס,גנ"י.</v>
      </c>
      <c r="AC77" s="127">
        <f>'תקציב החברה לפיתוח 2025'!AC28</f>
        <v>810000</v>
      </c>
      <c r="AD77" s="123"/>
      <c r="AE77" s="123"/>
      <c r="AF77" s="123"/>
      <c r="AG77" s="123"/>
      <c r="AH77" s="123"/>
      <c r="AI77" s="123"/>
      <c r="AJ77" s="123"/>
      <c r="AK77" s="505"/>
      <c r="AL77" s="505"/>
      <c r="AM77" s="505"/>
      <c r="AN77" s="505"/>
      <c r="AO77" s="505"/>
      <c r="AP77" s="505"/>
      <c r="AQ77" s="505"/>
      <c r="AR77" s="505"/>
      <c r="AS77" s="123"/>
      <c r="AT77" s="123"/>
      <c r="AU77" s="123"/>
      <c r="AV77" s="123"/>
      <c r="AW77" s="123"/>
      <c r="AX77" s="123"/>
      <c r="AY77" s="123"/>
      <c r="AZ77" s="128"/>
      <c r="BA77" s="128"/>
      <c r="BB77" s="128"/>
      <c r="BC77" s="128"/>
      <c r="BD77" s="128"/>
    </row>
    <row r="78" spans="1:56" s="5" customFormat="1" ht="30">
      <c r="A78" s="112">
        <f t="shared" ref="A78:A104" si="7">1+A77</f>
        <v>65</v>
      </c>
      <c r="B78" s="209">
        <f>'תקציב החברה לפיתוח 2025'!B29</f>
        <v>1911</v>
      </c>
      <c r="C78" s="222" t="str">
        <f>'תקציב החברה לפיתוח 2025'!C29</f>
        <v xml:space="preserve">כיתות מעון 5 יום 5 כיתות גן-. 404 ג.ים ב' </v>
      </c>
      <c r="D78" s="112">
        <f>'תקציב החברה לפיתוח 2025'!D29</f>
        <v>26936240</v>
      </c>
      <c r="E78" s="112">
        <f>'תקציב החברה לפיתוח 2025'!E29</f>
        <v>26936240</v>
      </c>
      <c r="F78" s="112">
        <f>'תקציב החברה לפיתוח 2025'!F29</f>
        <v>0</v>
      </c>
      <c r="G78" s="112">
        <f>'תקציב החברה לפיתוח 2025'!G29</f>
        <v>26936240</v>
      </c>
      <c r="H78" s="112">
        <f>'תקציב החברה לפיתוח 2025'!H29</f>
        <v>26792407</v>
      </c>
      <c r="I78" s="112">
        <f>'תקציב החברה לפיתוח 2025'!I29</f>
        <v>0</v>
      </c>
      <c r="J78" s="112">
        <f>'תקציב החברה לפיתוח 2025'!J29</f>
        <v>41815</v>
      </c>
      <c r="K78" s="112">
        <f>'תקציב החברה לפיתוח 2025'!K29</f>
        <v>41815</v>
      </c>
      <c r="L78" s="112">
        <f>'תקציב החברה לפיתוח 2025'!L29</f>
        <v>26834222</v>
      </c>
      <c r="M78" s="112">
        <f>'תקציב החברה לפיתוח 2025'!M29</f>
        <v>102018</v>
      </c>
      <c r="N78" s="112">
        <f>'תקציב החברה לפיתוח 2025'!N29</f>
        <v>0</v>
      </c>
      <c r="O78" s="112">
        <f>'תקציב החברה לפיתוח 2025'!O29</f>
        <v>0</v>
      </c>
      <c r="P78" s="112">
        <f>'תקציב החברה לפיתוח 2025'!P29</f>
        <v>102018</v>
      </c>
      <c r="Q78" s="112">
        <f>'תקציב החברה לפיתוח 2025'!Q29</f>
        <v>0</v>
      </c>
      <c r="R78" s="112">
        <f>'תקציב החברה לפיתוח 2025'!R29</f>
        <v>0</v>
      </c>
      <c r="S78" s="112">
        <f>'תקציב החברה לפיתוח 2025'!S29</f>
        <v>0</v>
      </c>
      <c r="T78" s="112">
        <f>'תקציב החברה לפיתוח 2025'!T29</f>
        <v>0</v>
      </c>
      <c r="U78" s="257">
        <f>'תקציב החברה לפיתוח 2025'!U29</f>
        <v>0</v>
      </c>
      <c r="V78" s="112">
        <f>'תקציב החברה לפיתוח 2025'!V29</f>
        <v>0</v>
      </c>
      <c r="W78" s="112">
        <f>'תקציב החברה לפיתוח 2025'!W29</f>
        <v>0</v>
      </c>
      <c r="X78" s="112">
        <f>'תקציב החברה לפיתוח 2025'!X29</f>
        <v>0</v>
      </c>
      <c r="Y78" s="112">
        <f>'תקציב החברה לפיתוח 2025'!Y29</f>
        <v>0</v>
      </c>
      <c r="Z78" s="112">
        <f>'תקציב החברה לפיתוח 2025'!Z29</f>
        <v>0</v>
      </c>
      <c r="AA78" s="127">
        <f>'תקציב החברה לפיתוח 2025'!AA29</f>
        <v>0</v>
      </c>
      <c r="AB78" s="210" t="str">
        <f>'תקציב החברה לפיתוח 2025'!AB29</f>
        <v>בניית 10 כיתות גן .   חן סופיים. התב"ר לסגירה.</v>
      </c>
      <c r="AC78" s="509">
        <f>'תקציב החברה לפיתוח 2025'!AC29</f>
        <v>810000</v>
      </c>
      <c r="AD78" s="123"/>
      <c r="AE78" s="123"/>
      <c r="AF78" s="123"/>
      <c r="AG78" s="123"/>
      <c r="AH78" s="123"/>
      <c r="AI78" s="123"/>
      <c r="AJ78" s="123"/>
      <c r="AK78" s="505"/>
      <c r="AL78" s="505"/>
      <c r="AM78" s="505"/>
      <c r="AN78" s="505"/>
      <c r="AO78" s="505"/>
      <c r="AP78" s="505"/>
      <c r="AQ78" s="505"/>
      <c r="AR78" s="505"/>
      <c r="AS78" s="123"/>
      <c r="AT78" s="123"/>
      <c r="AU78" s="123"/>
      <c r="AV78" s="123"/>
      <c r="AW78" s="123"/>
      <c r="AX78" s="123"/>
      <c r="AY78" s="123"/>
      <c r="AZ78" s="212"/>
      <c r="BA78" s="212"/>
      <c r="BB78" s="212"/>
      <c r="BC78" s="212"/>
      <c r="BD78" s="212"/>
    </row>
    <row r="79" spans="1:56" s="5" customFormat="1" ht="60">
      <c r="A79" s="112">
        <f t="shared" si="7"/>
        <v>66</v>
      </c>
      <c r="B79" s="209">
        <f>'תקציב החברה לפיתוח 2025'!B30</f>
        <v>1912</v>
      </c>
      <c r="C79" s="222" t="str">
        <f>'תקציב החברה לפיתוח 2025'!C30</f>
        <v xml:space="preserve">קיריית החינוך ( מגרש 406)-ספריה, מרכז קהילתי </v>
      </c>
      <c r="D79" s="112">
        <f>'תקציב החברה לפיתוח 2025'!D30</f>
        <v>430000000</v>
      </c>
      <c r="E79" s="112">
        <f>'תקציב החברה לפיתוח 2025'!E30</f>
        <v>430000000</v>
      </c>
      <c r="F79" s="112">
        <f>'תקציב החברה לפיתוח 2025'!F30</f>
        <v>0</v>
      </c>
      <c r="G79" s="112">
        <f>'תקציב החברה לפיתוח 2025'!G30</f>
        <v>335004251</v>
      </c>
      <c r="H79" s="112">
        <f>'תקציב החברה לפיתוח 2025'!H30</f>
        <v>329081460</v>
      </c>
      <c r="I79" s="112">
        <f>'תקציב החברה לפיתוח 2025'!I30</f>
        <v>0</v>
      </c>
      <c r="J79" s="112">
        <f>'תקציב החברה לפיתוח 2025'!J30</f>
        <v>4819165</v>
      </c>
      <c r="K79" s="112">
        <f>'תקציב החברה לפיתוח 2025'!K30</f>
        <v>4819165</v>
      </c>
      <c r="L79" s="112">
        <f>'תקציב החברה לפיתוח 2025'!L30</f>
        <v>333900625</v>
      </c>
      <c r="M79" s="112">
        <f>'תקציב החברה לפיתוח 2025'!M30</f>
        <v>18927628</v>
      </c>
      <c r="N79" s="112">
        <f>'תקציב החברה לפיתוח 2025'!N30</f>
        <v>6000000</v>
      </c>
      <c r="O79" s="112">
        <f>'תקציב החברה לפיתוח 2025'!O30</f>
        <v>71171747</v>
      </c>
      <c r="P79" s="112">
        <f>'תקציב החברה לפיתוח 2025'!P30</f>
        <v>1103626</v>
      </c>
      <c r="Q79" s="112">
        <f>'תקציב החברה לפיתוח 2025'!Q30</f>
        <v>17824002</v>
      </c>
      <c r="R79" s="112">
        <f>'תקציב החברה לפיתוח 2025'!R30</f>
        <v>0</v>
      </c>
      <c r="S79" s="112">
        <f>'תקציב החברה לפיתוח 2025'!S30</f>
        <v>17824002</v>
      </c>
      <c r="T79" s="112">
        <f>'תקציב החברה לפיתוח 2025'!T30</f>
        <v>0</v>
      </c>
      <c r="U79" s="257">
        <f>'תקציב החברה לפיתוח 2025'!U30</f>
        <v>6000000</v>
      </c>
      <c r="V79" s="112">
        <f>'תקציב החברה לפיתוח 2025'!V30</f>
        <v>4424002</v>
      </c>
      <c r="W79" s="112">
        <f>'תקציב החברה לפיתוח 2025'!W30</f>
        <v>0</v>
      </c>
      <c r="X79" s="112">
        <f>'תקציב החברה לפיתוח 2025'!X30</f>
        <v>0</v>
      </c>
      <c r="Y79" s="112">
        <f>'תקציב החברה לפיתוח 2025'!Y30</f>
        <v>0</v>
      </c>
      <c r="Z79" s="112">
        <f>'תקציב החברה לפיתוח 2025'!Z30</f>
        <v>0</v>
      </c>
      <c r="AA79" s="112">
        <f>'תקציב החברה לפיתוח 2025'!AA30</f>
        <v>1575998</v>
      </c>
      <c r="AB79" s="210" t="str">
        <f>'תקציב החברה לפיתוח 2025'!AB30</f>
        <v xml:space="preserve">בניית בי"ס יסודי (18) , 24 כיתות חט"ב ותיכון ,א.ס בינוני , מגרש ספורט , חניון תתקרקעי 2 מפלסים, שצ"פ שבט צופים מימון מ. החינוך. </v>
      </c>
      <c r="AC79" s="127">
        <f>'תקציב החברה לפיתוח 2025'!AC30</f>
        <v>810000</v>
      </c>
      <c r="AD79" s="123"/>
      <c r="AE79" s="123"/>
      <c r="AF79" s="123"/>
      <c r="AG79" s="123"/>
      <c r="AH79" s="123"/>
      <c r="AI79" s="123"/>
      <c r="AJ79" s="123"/>
      <c r="AK79" s="505"/>
      <c r="AL79" s="505"/>
      <c r="AM79" s="505"/>
      <c r="AN79" s="505"/>
      <c r="AO79" s="505"/>
      <c r="AP79" s="505"/>
      <c r="AQ79" s="505"/>
      <c r="AR79" s="505"/>
      <c r="AS79" s="123"/>
      <c r="AT79" s="123"/>
      <c r="AU79" s="123"/>
      <c r="AV79" s="123"/>
      <c r="AW79" s="123"/>
      <c r="AX79" s="123"/>
      <c r="AY79" s="123"/>
    </row>
    <row r="80" spans="1:56" s="148" customFormat="1" ht="30">
      <c r="A80" s="112">
        <f t="shared" si="7"/>
        <v>67</v>
      </c>
      <c r="B80" s="209">
        <f>'תקציב החברה לפיתוח 2025'!B31</f>
        <v>1914</v>
      </c>
      <c r="C80" s="222" t="str">
        <f>'תקציב החברה לפיתוח 2025'!C31</f>
        <v>גן 3 כיתות 401 גליל ים ב'</v>
      </c>
      <c r="D80" s="112">
        <f>'תקציב החברה לפיתוח 2025'!D31</f>
        <v>8100000</v>
      </c>
      <c r="E80" s="112">
        <f>'תקציב החברה לפיתוח 2025'!E31</f>
        <v>8100000</v>
      </c>
      <c r="F80" s="112">
        <f>'תקציב החברה לפיתוח 2025'!F31</f>
        <v>0</v>
      </c>
      <c r="G80" s="112">
        <f>'תקציב החברה לפיתוח 2025'!G31</f>
        <v>8100000</v>
      </c>
      <c r="H80" s="112">
        <f>'תקציב החברה לפיתוח 2025'!H31</f>
        <v>7872636</v>
      </c>
      <c r="I80" s="112">
        <f>'תקציב החברה לפיתוח 2025'!I31</f>
        <v>0</v>
      </c>
      <c r="J80" s="112">
        <f>'תקציב החברה לפיתוח 2025'!J31</f>
        <v>0</v>
      </c>
      <c r="K80" s="112">
        <f>'תקציב החברה לפיתוח 2025'!K31</f>
        <v>0</v>
      </c>
      <c r="L80" s="112">
        <f>'תקציב החברה לפיתוח 2025'!L31</f>
        <v>7872636</v>
      </c>
      <c r="M80" s="112">
        <f>'תקציב החברה לפיתוח 2025'!M31</f>
        <v>227364</v>
      </c>
      <c r="N80" s="112">
        <f>'תקציב החברה לפיתוח 2025'!N31</f>
        <v>0</v>
      </c>
      <c r="O80" s="112">
        <f>'תקציב החברה לפיתוח 2025'!O31</f>
        <v>0</v>
      </c>
      <c r="P80" s="112">
        <f>'תקציב החברה לפיתוח 2025'!P31</f>
        <v>227364</v>
      </c>
      <c r="Q80" s="112">
        <f>'תקציב החברה לפיתוח 2025'!Q31</f>
        <v>0</v>
      </c>
      <c r="R80" s="112">
        <f>'תקציב החברה לפיתוח 2025'!R31</f>
        <v>0</v>
      </c>
      <c r="S80" s="112">
        <f>'תקציב החברה לפיתוח 2025'!S31</f>
        <v>0</v>
      </c>
      <c r="T80" s="112">
        <f>'תקציב החברה לפיתוח 2025'!T31</f>
        <v>0</v>
      </c>
      <c r="U80" s="257">
        <f>'תקציב החברה לפיתוח 2025'!U31</f>
        <v>0</v>
      </c>
      <c r="V80" s="112">
        <f>'תקציב החברה לפיתוח 2025'!V31</f>
        <v>0</v>
      </c>
      <c r="W80" s="112">
        <f>'תקציב החברה לפיתוח 2025'!W31</f>
        <v>0</v>
      </c>
      <c r="X80" s="112">
        <f>'תקציב החברה לפיתוח 2025'!X31</f>
        <v>0</v>
      </c>
      <c r="Y80" s="112">
        <f>'תקציב החברה לפיתוח 2025'!Y31</f>
        <v>0</v>
      </c>
      <c r="Z80" s="112">
        <f>'תקציב החברה לפיתוח 2025'!Z31</f>
        <v>0</v>
      </c>
      <c r="AA80" s="127">
        <f>'תקציב החברה לפיתוח 2025'!AA31</f>
        <v>0</v>
      </c>
      <c r="AB80" s="262" t="str">
        <f>'תקציב החברה לפיתוח 2025'!AB31</f>
        <v xml:space="preserve">במקביל, תבר הצטיידות בחינוך . חן סופיים התב"ר לסגירה. </v>
      </c>
      <c r="AC80" s="127">
        <f>'תקציב החברה לפיתוח 2025'!AC31</f>
        <v>810000</v>
      </c>
      <c r="AD80" s="123"/>
      <c r="AE80" s="123"/>
      <c r="AF80" s="123"/>
      <c r="AG80" s="123"/>
      <c r="AH80" s="123"/>
      <c r="AI80" s="123"/>
      <c r="AJ80" s="123"/>
      <c r="AK80" s="505"/>
      <c r="AL80" s="505"/>
      <c r="AM80" s="505"/>
      <c r="AN80" s="505"/>
      <c r="AO80" s="505"/>
      <c r="AP80" s="505"/>
      <c r="AQ80" s="505"/>
      <c r="AR80" s="505"/>
      <c r="AS80" s="123"/>
      <c r="AT80" s="123"/>
      <c r="AU80" s="123"/>
      <c r="AV80" s="123"/>
      <c r="AW80" s="123"/>
      <c r="AX80" s="123"/>
      <c r="AY80" s="123"/>
      <c r="AZ80" s="212"/>
      <c r="BA80" s="212"/>
      <c r="BB80" s="212"/>
      <c r="BC80" s="212"/>
      <c r="BD80" s="212"/>
    </row>
    <row r="81" spans="1:56" s="5" customFormat="1" ht="45">
      <c r="A81" s="112">
        <f t="shared" si="7"/>
        <v>68</v>
      </c>
      <c r="B81" s="209">
        <f>'תקציב החברה לפיתוח 2025'!B34</f>
        <v>1957</v>
      </c>
      <c r="C81" s="222" t="str">
        <f>'תקציב החברה לפיתוח 2025'!C34</f>
        <v xml:space="preserve">מתחם קמפוס המדעים הרצליה </v>
      </c>
      <c r="D81" s="112">
        <f>'תקציב החברה לפיתוח 2025'!D34</f>
        <v>75000000</v>
      </c>
      <c r="E81" s="112">
        <f>'תקציב החברה לפיתוח 2025'!E34</f>
        <v>75000000</v>
      </c>
      <c r="F81" s="112">
        <f>'תקציב החברה לפיתוח 2025'!F34</f>
        <v>0</v>
      </c>
      <c r="G81" s="112">
        <f>'תקציב החברה לפיתוח 2025'!G34</f>
        <v>52999826</v>
      </c>
      <c r="H81" s="112">
        <f>'תקציב החברה לפיתוח 2025'!H34</f>
        <v>51152735</v>
      </c>
      <c r="I81" s="112">
        <f>'תקציב החברה לפיתוח 2025'!I34</f>
        <v>0</v>
      </c>
      <c r="J81" s="112">
        <f>'תקציב החברה לפיתוח 2025'!J34</f>
        <v>1400100</v>
      </c>
      <c r="K81" s="112">
        <f>'תקציב החברה לפיתוח 2025'!K34</f>
        <v>1400100</v>
      </c>
      <c r="L81" s="112">
        <f>'תקציב החברה לפיתוח 2025'!L34</f>
        <v>52552835</v>
      </c>
      <c r="M81" s="112">
        <f>'תקציב החברה לפיתוח 2025'!M34</f>
        <v>18075384</v>
      </c>
      <c r="N81" s="112">
        <f>'תקציב החברה לפיתוח 2025'!N34</f>
        <v>4371781</v>
      </c>
      <c r="O81" s="112">
        <f>'תקציב החברה לפיתוח 2025'!O34</f>
        <v>0</v>
      </c>
      <c r="P81" s="112">
        <f>'תקציב החברה לפיתוח 2025'!P34</f>
        <v>446991</v>
      </c>
      <c r="Q81" s="112">
        <f>'תקציב החברה לפיתוח 2025'!Q34</f>
        <v>9628393</v>
      </c>
      <c r="R81" s="112">
        <f>'תקציב החברה לפיתוח 2025'!R34</f>
        <v>8000000</v>
      </c>
      <c r="S81" s="112">
        <f>'תקציב החברה לפיתוח 2025'!S34</f>
        <v>17628393</v>
      </c>
      <c r="T81" s="112">
        <f>'תקציב החברה לפיתוח 2025'!T34</f>
        <v>0</v>
      </c>
      <c r="U81" s="257">
        <f>'תקציב החברה לפיתוח 2025'!U34</f>
        <v>4371781</v>
      </c>
      <c r="V81" s="112">
        <f>'תקציב החברה לפיתוח 2025'!V34</f>
        <v>3300000</v>
      </c>
      <c r="W81" s="112">
        <f>'תקציב החברה לפיתוח 2025'!W34</f>
        <v>0</v>
      </c>
      <c r="X81" s="112">
        <f>'תקציב החברה לפיתוח 2025'!X34</f>
        <v>0</v>
      </c>
      <c r="Y81" s="112">
        <f>'תקציב החברה לפיתוח 2025'!Y34</f>
        <v>0</v>
      </c>
      <c r="Z81" s="112">
        <f>'תקציב החברה לפיתוח 2025'!Z34</f>
        <v>0</v>
      </c>
      <c r="AA81" s="112">
        <f>'תקציב החברה לפיתוח 2025'!AA34</f>
        <v>1071781</v>
      </c>
      <c r="AB81" s="222" t="str">
        <f>'תקציב החברה לפיתוח 2025'!AB34</f>
        <v>הקמת קמפוס מדעים:בי"ס להנדסאים ותיכון חדש. כולל הצטיידות. מימון מ. החינוך.</v>
      </c>
      <c r="AC81" s="127">
        <f>'תקציב החברה לפיתוח 2025'!AC34</f>
        <v>810000</v>
      </c>
      <c r="AD81" s="123"/>
      <c r="AE81" s="123"/>
      <c r="AF81" s="123"/>
      <c r="AG81" s="123"/>
      <c r="AH81" s="123"/>
      <c r="AI81" s="123"/>
      <c r="AJ81" s="123"/>
      <c r="AK81" s="505"/>
      <c r="AL81" s="505"/>
      <c r="AM81" s="505"/>
      <c r="AN81" s="505"/>
      <c r="AO81" s="505"/>
      <c r="AP81" s="505"/>
      <c r="AQ81" s="505"/>
      <c r="AR81" s="505"/>
      <c r="AS81" s="123"/>
      <c r="AT81" s="123"/>
      <c r="AU81" s="123"/>
      <c r="AV81" s="123"/>
      <c r="AW81" s="123"/>
      <c r="AX81" s="123"/>
      <c r="AY81" s="123"/>
      <c r="AZ81" s="126"/>
      <c r="BA81" s="126"/>
      <c r="BB81" s="126"/>
      <c r="BC81" s="126"/>
      <c r="BD81" s="126"/>
    </row>
    <row r="82" spans="1:56" s="5" customFormat="1" ht="30">
      <c r="A82" s="112">
        <f t="shared" si="7"/>
        <v>69</v>
      </c>
      <c r="B82" s="209">
        <f>'תקציב החברה לפיתוח 2025'!B35</f>
        <v>1960</v>
      </c>
      <c r="C82" s="222" t="str">
        <f>'תקציב החברה לפיתוח 2025'!C35</f>
        <v>גן 3 כיתות 402 גליל ים ב'(כולל חניון)</v>
      </c>
      <c r="D82" s="112">
        <f>'תקציב החברה לפיתוח 2025'!D35</f>
        <v>21480000</v>
      </c>
      <c r="E82" s="112">
        <f>'תקציב החברה לפיתוח 2025'!E35</f>
        <v>21480000</v>
      </c>
      <c r="F82" s="112">
        <f>'תקציב החברה לפיתוח 2025'!F35</f>
        <v>0</v>
      </c>
      <c r="G82" s="112">
        <f>'תקציב החברה לפיתוח 2025'!G35</f>
        <v>21480000</v>
      </c>
      <c r="H82" s="112">
        <f>'תקציב החברה לפיתוח 2025'!H35</f>
        <v>21157676</v>
      </c>
      <c r="I82" s="112">
        <f>'תקציב החברה לפיתוח 2025'!I35</f>
        <v>0</v>
      </c>
      <c r="J82" s="112">
        <f>'תקציב החברה לפיתוח 2025'!J35</f>
        <v>61233</v>
      </c>
      <c r="K82" s="112">
        <f>'תקציב החברה לפיתוח 2025'!K35</f>
        <v>61233</v>
      </c>
      <c r="L82" s="112">
        <f>'תקציב החברה לפיתוח 2025'!L35</f>
        <v>21218909</v>
      </c>
      <c r="M82" s="112">
        <f>'תקציב החברה לפיתוח 2025'!M35</f>
        <v>261091</v>
      </c>
      <c r="N82" s="112">
        <f>'תקציב החברה לפיתוח 2025'!N35</f>
        <v>0</v>
      </c>
      <c r="O82" s="112">
        <f>'תקציב החברה לפיתוח 2025'!O35</f>
        <v>0</v>
      </c>
      <c r="P82" s="112">
        <f>'תקציב החברה לפיתוח 2025'!P35</f>
        <v>261091</v>
      </c>
      <c r="Q82" s="112">
        <f>'תקציב החברה לפיתוח 2025'!Q35</f>
        <v>0</v>
      </c>
      <c r="R82" s="112">
        <f>'תקציב החברה לפיתוח 2025'!R35</f>
        <v>0</v>
      </c>
      <c r="S82" s="112">
        <f>'תקציב החברה לפיתוח 2025'!S35</f>
        <v>0</v>
      </c>
      <c r="T82" s="112">
        <f>'תקציב החברה לפיתוח 2025'!T35</f>
        <v>0</v>
      </c>
      <c r="U82" s="257">
        <f>'תקציב החברה לפיתוח 2025'!U35</f>
        <v>0</v>
      </c>
      <c r="V82" s="112">
        <f>'תקציב החברה לפיתוח 2025'!V35</f>
        <v>0</v>
      </c>
      <c r="W82" s="112">
        <f>'תקציב החברה לפיתוח 2025'!W35</f>
        <v>0</v>
      </c>
      <c r="X82" s="112">
        <f>'תקציב החברה לפיתוח 2025'!X35</f>
        <v>0</v>
      </c>
      <c r="Y82" s="112">
        <f>'תקציב החברה לפיתוח 2025'!Y35</f>
        <v>0</v>
      </c>
      <c r="Z82" s="112">
        <f>'תקציב החברה לפיתוח 2025'!Z35</f>
        <v>0</v>
      </c>
      <c r="AA82" s="112">
        <f>'תקציב החברה לפיתוח 2025'!AA35</f>
        <v>0</v>
      </c>
      <c r="AB82" s="210" t="str">
        <f>'תקציב החברה לפיתוח 2025'!AB35</f>
        <v xml:space="preserve">בניית 3 כיתות גן , בניית החניון במימון  חברת אפריקה ישראל. </v>
      </c>
      <c r="AC82" s="127">
        <f>'תקציב החברה לפיתוח 2025'!AC35</f>
        <v>810000</v>
      </c>
      <c r="AD82" s="123"/>
      <c r="AE82" s="123"/>
      <c r="AF82" s="123"/>
      <c r="AG82" s="123"/>
      <c r="AH82" s="123"/>
      <c r="AI82" s="123"/>
      <c r="AJ82" s="123"/>
      <c r="AK82" s="505"/>
      <c r="AL82" s="505"/>
      <c r="AM82" s="505"/>
      <c r="AN82" s="505"/>
      <c r="AO82" s="505"/>
      <c r="AP82" s="505"/>
      <c r="AQ82" s="505"/>
      <c r="AR82" s="505"/>
      <c r="AS82" s="123"/>
      <c r="AT82" s="123"/>
      <c r="AU82" s="123"/>
      <c r="AV82" s="123"/>
      <c r="AW82" s="123"/>
      <c r="AX82" s="123"/>
      <c r="AY82" s="123"/>
      <c r="AZ82" s="126"/>
      <c r="BA82" s="126"/>
      <c r="BB82" s="126"/>
      <c r="BC82" s="126"/>
      <c r="BD82" s="126"/>
    </row>
    <row r="83" spans="1:56" s="5" customFormat="1" ht="45">
      <c r="A83" s="112">
        <f t="shared" si="7"/>
        <v>70</v>
      </c>
      <c r="B83" s="209">
        <f>'תקציב החברה לפיתוח 2025'!B37</f>
        <v>1965</v>
      </c>
      <c r="C83" s="222" t="str">
        <f>'תקציב החברה לפיתוח 2025'!C37</f>
        <v>בית ספר יסודי 18 כיתות מגרש 304 גלילי ים א'</v>
      </c>
      <c r="D83" s="112">
        <f>'תקציב החברה לפיתוח 2025'!D37</f>
        <v>87000000</v>
      </c>
      <c r="E83" s="112">
        <f>'תקציב החברה לפיתוח 2025'!E37</f>
        <v>87000000</v>
      </c>
      <c r="F83" s="112">
        <f>'תקציב החברה לפיתוח 2025'!F37</f>
        <v>0</v>
      </c>
      <c r="G83" s="112">
        <f>'תקציב החברה לפיתוח 2025'!G37</f>
        <v>4650000</v>
      </c>
      <c r="H83" s="112">
        <f>'תקציב החברה לפיתוח 2025'!H37</f>
        <v>3395704</v>
      </c>
      <c r="I83" s="112">
        <f>'תקציב החברה לפיתוח 2025'!I37</f>
        <v>0</v>
      </c>
      <c r="J83" s="112">
        <f>'תקציב החברה לפיתוח 2025'!J37</f>
        <v>1251722</v>
      </c>
      <c r="K83" s="112">
        <f>'תקציב החברה לפיתוח 2025'!K37</f>
        <v>1251722</v>
      </c>
      <c r="L83" s="112">
        <f>'תקציב החברה לפיתוח 2025'!L37</f>
        <v>4647426</v>
      </c>
      <c r="M83" s="112">
        <f>'תקציב החברה לפיתוח 2025'!M37</f>
        <v>11401070</v>
      </c>
      <c r="N83" s="112">
        <f>'תקציב החברה לפיתוח 2025'!N37</f>
        <v>13000000</v>
      </c>
      <c r="O83" s="112">
        <f>'תקציב החברה לפיתוח 2025'!O37</f>
        <v>57951504</v>
      </c>
      <c r="P83" s="112">
        <f>'תקציב החברה לפיתוח 2025'!P37</f>
        <v>2574</v>
      </c>
      <c r="Q83" s="112">
        <f>'תקציב החברה לפיתוח 2025'!Q37</f>
        <v>11398496</v>
      </c>
      <c r="R83" s="112">
        <f>'תקציב החברה לפיתוח 2025'!R37</f>
        <v>0</v>
      </c>
      <c r="S83" s="112">
        <f>'תקציב החברה לפיתוח 2025'!S37</f>
        <v>11398496</v>
      </c>
      <c r="T83" s="112">
        <f>'תקציב החברה לפיתוח 2025'!T37</f>
        <v>0</v>
      </c>
      <c r="U83" s="257">
        <f>'תקציב החברה לפיתוח 2025'!U37</f>
        <v>13000000</v>
      </c>
      <c r="V83" s="112">
        <f>'תקציב החברה לפיתוח 2025'!V37</f>
        <v>11448496</v>
      </c>
      <c r="W83" s="112">
        <f>'תקציב החברה לפיתוח 2025'!W37</f>
        <v>0</v>
      </c>
      <c r="X83" s="112">
        <f>'תקציב החברה לפיתוח 2025'!X37</f>
        <v>0</v>
      </c>
      <c r="Y83" s="112">
        <f>'תקציב החברה לפיתוח 2025'!Y37</f>
        <v>0</v>
      </c>
      <c r="Z83" s="112">
        <f>'תקציב החברה לפיתוח 2025'!Z37</f>
        <v>0</v>
      </c>
      <c r="AA83" s="112">
        <f>'תקציב החברה לפיתוח 2025'!AA37</f>
        <v>1551504</v>
      </c>
      <c r="AB83" s="210" t="str">
        <f>'תקציב החברה לפיתוח 2025'!AB37</f>
        <v>בי"ס יסודי בשטח 304.תכנון וביצוע.  מימון מ. החינוך.</v>
      </c>
      <c r="AC83" s="127">
        <f>'תקציב החברה לפיתוח 2025'!AC37</f>
        <v>810000</v>
      </c>
      <c r="AD83" s="123"/>
      <c r="AE83" s="123"/>
      <c r="AF83" s="123"/>
      <c r="AG83" s="123"/>
      <c r="AH83" s="123"/>
      <c r="AI83" s="123"/>
      <c r="AJ83" s="123"/>
      <c r="AK83" s="505"/>
      <c r="AL83" s="505"/>
      <c r="AM83" s="505"/>
      <c r="AN83" s="505"/>
      <c r="AO83" s="505"/>
      <c r="AP83" s="505"/>
      <c r="AQ83" s="505"/>
      <c r="AR83" s="505"/>
      <c r="AS83" s="123"/>
      <c r="AT83" s="123"/>
      <c r="AU83" s="123"/>
      <c r="AV83" s="123"/>
      <c r="AW83" s="123"/>
      <c r="AX83" s="123"/>
      <c r="AY83" s="123"/>
      <c r="AZ83" s="126"/>
      <c r="BA83" s="126"/>
      <c r="BB83" s="126"/>
      <c r="BC83" s="126"/>
      <c r="BD83" s="126"/>
    </row>
    <row r="84" spans="1:56" s="5" customFormat="1" ht="30">
      <c r="A84" s="112">
        <f t="shared" si="7"/>
        <v>71</v>
      </c>
      <c r="B84" s="3">
        <f>'תקציב החברה לפיתוח 2025'!B38</f>
        <v>2001</v>
      </c>
      <c r="C84" s="202" t="str">
        <f>'תקציב החברה לפיתוח 2025'!C38</f>
        <v>בניית בי"ס ברחוב משה (ירוק)</v>
      </c>
      <c r="D84" s="112">
        <f>'תקציב החברה לפיתוח 2025'!D38</f>
        <v>33600000</v>
      </c>
      <c r="E84" s="112">
        <f>'תקציב החברה לפיתוח 2025'!E38</f>
        <v>32700000</v>
      </c>
      <c r="F84" s="112">
        <f>'תקציב החברה לפיתוח 2025'!F38</f>
        <v>900000</v>
      </c>
      <c r="G84" s="112">
        <f>'תקציב החברה לפיתוח 2025'!G38</f>
        <v>26398700</v>
      </c>
      <c r="H84" s="112">
        <f>'תקציב החברה לפיתוח 2025'!H38</f>
        <v>20473758</v>
      </c>
      <c r="I84" s="112">
        <f>'תקציב החברה לפיתוח 2025'!I38</f>
        <v>0</v>
      </c>
      <c r="J84" s="112">
        <f>'תקציב החברה לפיתוח 2025'!J38</f>
        <v>4426023</v>
      </c>
      <c r="K84" s="112">
        <f>'תקציב החברה לפיתוח 2025'!K38</f>
        <v>4426023</v>
      </c>
      <c r="L84" s="112">
        <f>'תקציב החברה לפיתוח 2025'!L38</f>
        <v>24899781</v>
      </c>
      <c r="M84" s="112">
        <f>'תקציב החברה לפיתוח 2025'!M38</f>
        <v>7800219</v>
      </c>
      <c r="N84" s="112">
        <f>'תקציב החברה לפיתוח 2025'!N38</f>
        <v>900000</v>
      </c>
      <c r="O84" s="112">
        <f>'תקציב החברה לפיתוח 2025'!O38</f>
        <v>0</v>
      </c>
      <c r="P84" s="112">
        <f>'תקציב החברה לפיתוח 2025'!P38</f>
        <v>1498919</v>
      </c>
      <c r="Q84" s="112">
        <f>'תקציב החברה לפיתוח 2025'!Q38</f>
        <v>1601300</v>
      </c>
      <c r="R84" s="112">
        <f>'תקציב החברה לפיתוח 2025'!R38</f>
        <v>4700000</v>
      </c>
      <c r="S84" s="112">
        <f>'תקציב החברה לפיתוח 2025'!S38</f>
        <v>6301300</v>
      </c>
      <c r="T84" s="112">
        <f>'תקציב החברה לפיתוח 2025'!T38</f>
        <v>0</v>
      </c>
      <c r="U84" s="257">
        <f>'תקציב החברה לפיתוח 2025'!U38</f>
        <v>900000</v>
      </c>
      <c r="V84" s="112">
        <f>'תקציב החברה לפיתוח 2025'!V38</f>
        <v>900000</v>
      </c>
      <c r="W84" s="112">
        <f>'תקציב החברה לפיתוח 2025'!W38</f>
        <v>0</v>
      </c>
      <c r="X84" s="112">
        <f>'תקציב החברה לפיתוח 2025'!X38</f>
        <v>0</v>
      </c>
      <c r="Y84" s="112">
        <f>'תקציב החברה לפיתוח 2025'!Y38</f>
        <v>0</v>
      </c>
      <c r="Z84" s="112">
        <f>'תקציב החברה לפיתוח 2025'!Z38</f>
        <v>0</v>
      </c>
      <c r="AA84" s="127">
        <f>'תקציב החברה לפיתוח 2025'!AA38</f>
        <v>0</v>
      </c>
      <c r="AB84" s="202" t="str">
        <f>'תקציב החברה לפיתוח 2025'!AB38</f>
        <v>בניית בית ספר ברח' משה-12 כתות. כולל הצטיידות.</v>
      </c>
      <c r="AC84" s="3">
        <f>'תקציב החברה לפיתוח 2025'!AC38</f>
        <v>810000</v>
      </c>
      <c r="AD84" s="123"/>
      <c r="AE84" s="123"/>
      <c r="AF84" s="123"/>
      <c r="AG84" s="123"/>
      <c r="AH84" s="123"/>
      <c r="AI84" s="123"/>
      <c r="AJ84" s="123"/>
      <c r="AK84" s="505"/>
      <c r="AL84" s="505"/>
      <c r="AM84" s="505"/>
      <c r="AN84" s="505"/>
      <c r="AO84" s="505"/>
      <c r="AP84" s="505"/>
      <c r="AQ84" s="505"/>
      <c r="AR84" s="505"/>
      <c r="AS84" s="123"/>
      <c r="AT84" s="123"/>
      <c r="AU84" s="123"/>
      <c r="AV84" s="123"/>
      <c r="AW84" s="123"/>
      <c r="AX84" s="123"/>
      <c r="AY84" s="123"/>
      <c r="AZ84" s="126"/>
      <c r="BA84" s="126"/>
      <c r="BB84" s="126"/>
      <c r="BC84" s="126"/>
      <c r="BD84" s="126"/>
    </row>
    <row r="85" spans="1:56" s="5" customFormat="1" ht="45">
      <c r="A85" s="112">
        <f t="shared" si="7"/>
        <v>72</v>
      </c>
      <c r="B85" s="127">
        <f>'תקציב החברה לפיתוח 2025'!B43</f>
        <v>2015</v>
      </c>
      <c r="C85" s="222" t="str">
        <f>'תקציב החברה לפיתוח 2025'!C43</f>
        <v xml:space="preserve"> מרכז מדעים וקהילה </v>
      </c>
      <c r="D85" s="112">
        <f>'תקציב החברה לפיתוח 2025'!D43</f>
        <v>54000000</v>
      </c>
      <c r="E85" s="112">
        <f>'תקציב החברה לפיתוח 2025'!E43</f>
        <v>54000000</v>
      </c>
      <c r="F85" s="112">
        <f>'תקציב החברה לפיתוח 2025'!F43</f>
        <v>0</v>
      </c>
      <c r="G85" s="112">
        <f>'תקציב החברה לפיתוח 2025'!G43</f>
        <v>54000000</v>
      </c>
      <c r="H85" s="112">
        <f>'תקציב החברה לפיתוח 2025'!H43</f>
        <v>52574788</v>
      </c>
      <c r="I85" s="112">
        <f>'תקציב החברה לפיתוח 2025'!I43</f>
        <v>0</v>
      </c>
      <c r="J85" s="112">
        <f>'תקציב החברה לפיתוח 2025'!J43</f>
        <v>101802</v>
      </c>
      <c r="K85" s="112">
        <f>'תקציב החברה לפיתוח 2025'!K43</f>
        <v>101802</v>
      </c>
      <c r="L85" s="112">
        <f>'תקציב החברה לפיתוח 2025'!L43</f>
        <v>52676590</v>
      </c>
      <c r="M85" s="112">
        <f>'תקציב החברה לפיתוח 2025'!M43</f>
        <v>1323410</v>
      </c>
      <c r="N85" s="112">
        <f>'תקציב החברה לפיתוח 2025'!N43</f>
        <v>0</v>
      </c>
      <c r="O85" s="112">
        <f>'תקציב החברה לפיתוח 2025'!O43</f>
        <v>0</v>
      </c>
      <c r="P85" s="112">
        <f>'תקציב החברה לפיתוח 2025'!P43</f>
        <v>1323410</v>
      </c>
      <c r="Q85" s="112">
        <f>'תקציב החברה לפיתוח 2025'!Q43</f>
        <v>0</v>
      </c>
      <c r="R85" s="112">
        <f>'תקציב החברה לפיתוח 2025'!R43</f>
        <v>0</v>
      </c>
      <c r="S85" s="112">
        <f>'תקציב החברה לפיתוח 2025'!S43</f>
        <v>0</v>
      </c>
      <c r="T85" s="112">
        <f>'תקציב החברה לפיתוח 2025'!T43</f>
        <v>0</v>
      </c>
      <c r="U85" s="257">
        <f>'תקציב החברה לפיתוח 2025'!U43</f>
        <v>0</v>
      </c>
      <c r="V85" s="112">
        <f>'תקציב החברה לפיתוח 2025'!V43</f>
        <v>0</v>
      </c>
      <c r="W85" s="112">
        <f>'תקציב החברה לפיתוח 2025'!W43</f>
        <v>0</v>
      </c>
      <c r="X85" s="112">
        <f>'תקציב החברה לפיתוח 2025'!X43</f>
        <v>0</v>
      </c>
      <c r="Y85" s="112">
        <f>'תקציב החברה לפיתוח 2025'!Y43</f>
        <v>0</v>
      </c>
      <c r="Z85" s="112">
        <f>'תקציב החברה לפיתוח 2025'!Z43</f>
        <v>0</v>
      </c>
      <c r="AA85" s="127">
        <f>'תקציב החברה לפיתוח 2025'!AA43</f>
        <v>0</v>
      </c>
      <c r="AB85" s="222" t="str">
        <f>'תקציב החברה לפיתוח 2025'!AB43</f>
        <v>עבודות בניה ופיתוח מרכז מדעיים וקהילה באלתרמן. מבנה 5 קומות ופיתוח. חן סופיים. לקראת סיום.</v>
      </c>
      <c r="AC85" s="127">
        <f>'תקציב החברה לפיתוח 2025'!AC43</f>
        <v>810000</v>
      </c>
      <c r="AD85" s="123"/>
      <c r="AE85" s="123"/>
      <c r="AF85" s="123"/>
      <c r="AG85" s="123"/>
      <c r="AH85" s="123"/>
      <c r="AI85" s="123"/>
      <c r="AJ85" s="123"/>
      <c r="AK85" s="505"/>
      <c r="AL85" s="505"/>
      <c r="AM85" s="505"/>
      <c r="AN85" s="505"/>
      <c r="AO85" s="505"/>
      <c r="AP85" s="505"/>
      <c r="AQ85" s="505"/>
      <c r="AR85" s="505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</row>
    <row r="86" spans="1:56" s="5" customFormat="1" ht="30">
      <c r="A86" s="112">
        <f t="shared" si="7"/>
        <v>73</v>
      </c>
      <c r="B86" s="127">
        <f>'תקציב החברה לפיתוח 2025'!B46</f>
        <v>2024</v>
      </c>
      <c r="C86" s="222" t="str">
        <f>'תקציב החברה לפיתוח 2025'!C46</f>
        <v>גנ"י מרכז ויצמן תמר תאנה</v>
      </c>
      <c r="D86" s="112">
        <f>'תקציב החברה לפיתוח 2025'!D46</f>
        <v>18400000</v>
      </c>
      <c r="E86" s="112">
        <f>'תקציב החברה לפיתוח 2025'!E46</f>
        <v>18400000</v>
      </c>
      <c r="F86" s="112">
        <f>'תקציב החברה לפיתוח 2025'!F46</f>
        <v>0</v>
      </c>
      <c r="G86" s="112">
        <f>'תקציב החברה לפיתוח 2025'!G46</f>
        <v>18032749</v>
      </c>
      <c r="H86" s="112">
        <f>'תקציב החברה לפיתוח 2025'!H46</f>
        <v>17018970</v>
      </c>
      <c r="I86" s="112">
        <f>'תקציב החברה לפיתוח 2025'!I46</f>
        <v>0</v>
      </c>
      <c r="J86" s="112">
        <f>'תקציב החברה לפיתוח 2025'!J46</f>
        <v>443912</v>
      </c>
      <c r="K86" s="112">
        <f>'תקציב החברה לפיתוח 2025'!K46</f>
        <v>443912</v>
      </c>
      <c r="L86" s="112">
        <f>'תקציב החברה לפיתוח 2025'!L46</f>
        <v>17462882</v>
      </c>
      <c r="M86" s="112">
        <f>'תקציב החברה לפיתוח 2025'!M46</f>
        <v>569867</v>
      </c>
      <c r="N86" s="112">
        <f>'תקציב החברה לפיתוח 2025'!N46</f>
        <v>367251</v>
      </c>
      <c r="O86" s="112">
        <f>'תקציב החברה לפיתוח 2025'!O46</f>
        <v>0</v>
      </c>
      <c r="P86" s="112">
        <f>'תקציב החברה לפיתוח 2025'!P46</f>
        <v>569867</v>
      </c>
      <c r="Q86" s="112">
        <f>'תקציב החברה לפיתוח 2025'!Q46</f>
        <v>0</v>
      </c>
      <c r="R86" s="112">
        <f>'תקציב החברה לפיתוח 2025'!R46</f>
        <v>0</v>
      </c>
      <c r="S86" s="112">
        <f>'תקציב החברה לפיתוח 2025'!S46</f>
        <v>0</v>
      </c>
      <c r="T86" s="112">
        <f>'תקציב החברה לפיתוח 2025'!T46</f>
        <v>0</v>
      </c>
      <c r="U86" s="257">
        <f>'תקציב החברה לפיתוח 2025'!U46</f>
        <v>367251</v>
      </c>
      <c r="V86" s="112">
        <f>'תקציב החברה לפיתוח 2025'!V46</f>
        <v>0</v>
      </c>
      <c r="W86" s="112">
        <f>'תקציב החברה לפיתוח 2025'!W46</f>
        <v>0</v>
      </c>
      <c r="X86" s="112">
        <f>'תקציב החברה לפיתוח 2025'!X46</f>
        <v>0</v>
      </c>
      <c r="Y86" s="112">
        <f>'תקציב החברה לפיתוח 2025'!Y46</f>
        <v>0</v>
      </c>
      <c r="Z86" s="112">
        <f>'תקציב החברה לפיתוח 2025'!Z46</f>
        <v>0</v>
      </c>
      <c r="AA86" s="112">
        <f>'תקציב החברה לפיתוח 2025'!AA46</f>
        <v>367251</v>
      </c>
      <c r="AB86" s="222" t="str">
        <f>'תקציב החברה לפיתוח 2025'!AB46</f>
        <v>בניית 6 כיתות גנ"י במתחם ויצמן. מימון מ. החינוך עדכון.</v>
      </c>
      <c r="AC86" s="127">
        <f>'תקציב החברה לפיתוח 2025'!AC46</f>
        <v>810000</v>
      </c>
      <c r="AD86" s="123"/>
      <c r="AE86" s="123"/>
      <c r="AF86" s="123"/>
      <c r="AG86" s="123"/>
      <c r="AH86" s="123"/>
      <c r="AI86" s="123"/>
      <c r="AJ86" s="123"/>
      <c r="AK86" s="505"/>
      <c r="AL86" s="505"/>
      <c r="AM86" s="505"/>
      <c r="AN86" s="505"/>
      <c r="AO86" s="505"/>
      <c r="AP86" s="505"/>
      <c r="AQ86" s="505"/>
      <c r="AR86" s="505"/>
      <c r="AS86" s="123"/>
      <c r="AT86" s="123"/>
      <c r="AU86" s="123"/>
      <c r="AV86" s="123"/>
      <c r="AW86" s="123"/>
      <c r="AX86" s="123"/>
      <c r="AY86" s="123"/>
      <c r="AZ86" s="126"/>
      <c r="BA86" s="126"/>
      <c r="BB86" s="126"/>
      <c r="BC86" s="126"/>
      <c r="BD86" s="126"/>
    </row>
    <row r="87" spans="1:56" s="5" customFormat="1" ht="60">
      <c r="A87" s="112">
        <f t="shared" si="7"/>
        <v>74</v>
      </c>
      <c r="B87" s="19">
        <f>'תקציב החברה לפיתוח 2025'!B50</f>
        <v>2097</v>
      </c>
      <c r="C87" s="222" t="str">
        <f>'תקציב החברה לפיתוח 2025'!C50</f>
        <v>בית ספר בן גוריון</v>
      </c>
      <c r="D87" s="112">
        <f>'תקציב החברה לפיתוח 2025'!D50</f>
        <v>79000000</v>
      </c>
      <c r="E87" s="112">
        <f>'תקציב החברה לפיתוח 2025'!E50</f>
        <v>79000000</v>
      </c>
      <c r="F87" s="112">
        <f>'תקציב החברה לפיתוח 2025'!F50</f>
        <v>0</v>
      </c>
      <c r="G87" s="112">
        <f>'תקציב החברה לפיתוח 2025'!G50</f>
        <v>55912875</v>
      </c>
      <c r="H87" s="112">
        <f>'תקציב החברה לפיתוח 2025'!H50</f>
        <v>44784730</v>
      </c>
      <c r="I87" s="112">
        <f>'תקציב החברה לפיתוח 2025'!I50</f>
        <v>0</v>
      </c>
      <c r="J87" s="112">
        <f>'תקציב החברה לפיתוח 2025'!J50</f>
        <v>9449929</v>
      </c>
      <c r="K87" s="112">
        <f>'תקציב החברה לפיתוח 2025'!K50</f>
        <v>9449929</v>
      </c>
      <c r="L87" s="112">
        <f>'תקציב החברה לפיתוח 2025'!L50</f>
        <v>54234659</v>
      </c>
      <c r="M87" s="112">
        <f>'תקציב החברה לפיתוח 2025'!M50</f>
        <v>9178216</v>
      </c>
      <c r="N87" s="112">
        <f>'תקציב החברה לפיתוח 2025'!N50</f>
        <v>13087125</v>
      </c>
      <c r="O87" s="112">
        <f>'תקציב החברה לפיתוח 2025'!O50</f>
        <v>2500000</v>
      </c>
      <c r="P87" s="112">
        <f>'תקציב החברה לפיתוח 2025'!P50</f>
        <v>1678216</v>
      </c>
      <c r="Q87" s="112">
        <f>'תקציב החברה לפיתוח 2025'!Q50</f>
        <v>0</v>
      </c>
      <c r="R87" s="112">
        <f>'תקציב החברה לפיתוח 2025'!R50</f>
        <v>7500000</v>
      </c>
      <c r="S87" s="112">
        <f>'תקציב החברה לפיתוח 2025'!S50</f>
        <v>7500000</v>
      </c>
      <c r="T87" s="112">
        <f>'תקציב החברה לפיתוח 2025'!T50</f>
        <v>0</v>
      </c>
      <c r="U87" s="257">
        <f>'תקציב החברה לפיתוח 2025'!U50</f>
        <v>13087125</v>
      </c>
      <c r="V87" s="112">
        <f>'תקציב החברה לפיתוח 2025'!V50</f>
        <v>9978386</v>
      </c>
      <c r="W87" s="112">
        <f>'תקציב החברה לפיתוח 2025'!W50</f>
        <v>0</v>
      </c>
      <c r="X87" s="112">
        <f>'תקציב החברה לפיתוח 2025'!X50</f>
        <v>0</v>
      </c>
      <c r="Y87" s="112">
        <f>'תקציב החברה לפיתוח 2025'!Y50</f>
        <v>0</v>
      </c>
      <c r="Z87" s="112">
        <f>'תקציב החברה לפיתוח 2025'!Z50</f>
        <v>0</v>
      </c>
      <c r="AA87" s="112">
        <f>'תקציב החברה לפיתוח 2025'!AA50</f>
        <v>3108739</v>
      </c>
      <c r="AB87" s="207" t="str">
        <f>'תקציב החברה לפיתוח 2025'!AB50</f>
        <v>תכנון שיפוץ/הריסה ובניה מחדש של בי"ס. הריסה של 18 כיתות, ובניה של 24 כיתות,6 כיתות  ח"מ. מימון מ. החינוך תוספת הרשאה.</v>
      </c>
      <c r="AC87" s="127">
        <f>'תקציב החברה לפיתוח 2025'!AC50</f>
        <v>810000</v>
      </c>
      <c r="AD87" s="123"/>
      <c r="AE87" s="123"/>
      <c r="AF87" s="123"/>
      <c r="AG87" s="123"/>
      <c r="AH87" s="123"/>
      <c r="AI87" s="123"/>
      <c r="AJ87" s="123"/>
      <c r="AK87" s="505"/>
      <c r="AL87" s="505"/>
      <c r="AM87" s="505"/>
      <c r="AN87" s="505"/>
      <c r="AO87" s="505"/>
      <c r="AP87" s="505"/>
      <c r="AQ87" s="505"/>
      <c r="AR87" s="505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</row>
    <row r="88" spans="1:56" s="5" customFormat="1" ht="75">
      <c r="A88" s="112">
        <f t="shared" si="7"/>
        <v>75</v>
      </c>
      <c r="B88" s="19">
        <f>'תקציב החברה לפיתוח 2025'!B60</f>
        <v>2149</v>
      </c>
      <c r="C88" s="496" t="str">
        <f>'תקציב החברה לפיתוח 2025'!C60</f>
        <v>בחינת התכנות (*) עדכון לגנ"י למוס"ח חדשים במתחמים שונים</v>
      </c>
      <c r="D88" s="112">
        <f>'תקציב החברה לפיתוח 2025'!D60</f>
        <v>2500000</v>
      </c>
      <c r="E88" s="112">
        <f>'תקציב החברה לפיתוח 2025'!E60</f>
        <v>2500000</v>
      </c>
      <c r="F88" s="112">
        <f>'תקציב החברה לפיתוח 2025'!F60</f>
        <v>0</v>
      </c>
      <c r="G88" s="112">
        <f>'תקציב החברה לפיתוח 2025'!G60</f>
        <v>1700000</v>
      </c>
      <c r="H88" s="112">
        <f>'תקציב החברה לפיתוח 2025'!H60</f>
        <v>1392356</v>
      </c>
      <c r="I88" s="112">
        <f>'תקציב החברה לפיתוח 2025'!I60</f>
        <v>0</v>
      </c>
      <c r="J88" s="112">
        <f>'תקציב החברה לפיתוח 2025'!J60</f>
        <v>88157</v>
      </c>
      <c r="K88" s="112">
        <f>'תקציב החברה לפיתוח 2025'!K60</f>
        <v>88157</v>
      </c>
      <c r="L88" s="112">
        <f>'תקציב החברה לפיתוח 2025'!L60</f>
        <v>1480513</v>
      </c>
      <c r="M88" s="112">
        <f>'תקציב החברה לפיתוח 2025'!M60</f>
        <v>819487</v>
      </c>
      <c r="N88" s="112">
        <f>'תקציב החברה לפיתוח 2025'!N60</f>
        <v>200000</v>
      </c>
      <c r="O88" s="112">
        <f>'תקציב החברה לפיתוח 2025'!O60</f>
        <v>0</v>
      </c>
      <c r="P88" s="112">
        <f>'תקציב החברה לפיתוח 2025'!P60</f>
        <v>219487</v>
      </c>
      <c r="Q88" s="112">
        <f>'תקציב החברה לפיתוח 2025'!Q60</f>
        <v>600000</v>
      </c>
      <c r="R88" s="112">
        <f>'תקציב החברה לפיתוח 2025'!R60</f>
        <v>0</v>
      </c>
      <c r="S88" s="112">
        <f>'תקציב החברה לפיתוח 2025'!S60</f>
        <v>600000</v>
      </c>
      <c r="T88" s="112">
        <f>'תקציב החברה לפיתוח 2025'!T60</f>
        <v>0</v>
      </c>
      <c r="U88" s="257">
        <f>'תקציב החברה לפיתוח 2025'!U60</f>
        <v>200000</v>
      </c>
      <c r="V88" s="112">
        <f>'תקציב החברה לפיתוח 2025'!V60</f>
        <v>200000</v>
      </c>
      <c r="W88" s="112">
        <f>'תקציב החברה לפיתוח 2025'!W60</f>
        <v>0</v>
      </c>
      <c r="X88" s="112">
        <f>'תקציב החברה לפיתוח 2025'!X60</f>
        <v>0</v>
      </c>
      <c r="Y88" s="112">
        <f>'תקציב החברה לפיתוח 2025'!Y60</f>
        <v>0</v>
      </c>
      <c r="Z88" s="112">
        <f>'תקציב החברה לפיתוח 2025'!Z60</f>
        <v>0</v>
      </c>
      <c r="AA88" s="127">
        <f>'תקציב החברה לפיתוח 2025'!AA60</f>
        <v>0</v>
      </c>
      <c r="AB88" s="202" t="str">
        <f>'תקציב החברה לפיתוח 2025'!AB60</f>
        <v>בדיקת התכנות לבניית מוס"ח במתחמים שונים ברחבי העיר בהתאם לצרכים העירוניים מעת לעת. 2025: כולל בדיקת היתכנות במגרשים בגליל ים ג'. עדכון שם.</v>
      </c>
      <c r="AC88" s="3">
        <f>'תקציב החברה לפיתוח 2025'!AC60</f>
        <v>810000</v>
      </c>
      <c r="AD88" s="123"/>
      <c r="AE88" s="123"/>
      <c r="AF88" s="123"/>
      <c r="AG88" s="123"/>
      <c r="AH88" s="123"/>
      <c r="AI88" s="123"/>
      <c r="AJ88" s="123"/>
      <c r="AK88" s="505"/>
      <c r="AL88" s="505"/>
      <c r="AM88" s="505"/>
      <c r="AN88" s="505"/>
      <c r="AO88" s="505"/>
      <c r="AP88" s="505"/>
      <c r="AQ88" s="505"/>
      <c r="AR88" s="505"/>
      <c r="AS88" s="123"/>
      <c r="AT88" s="123"/>
      <c r="AU88" s="123"/>
      <c r="AV88" s="123"/>
      <c r="AW88" s="123"/>
      <c r="AX88" s="123"/>
      <c r="AY88" s="123"/>
      <c r="AZ88" s="148"/>
      <c r="BA88" s="148"/>
      <c r="BB88" s="148"/>
      <c r="BC88" s="148"/>
      <c r="BD88" s="148"/>
    </row>
    <row r="89" spans="1:56" s="5" customFormat="1" ht="60">
      <c r="A89" s="112">
        <f t="shared" si="7"/>
        <v>76</v>
      </c>
      <c r="B89" s="19">
        <f>'תקציב החברה לפיתוח 2025'!B63</f>
        <v>2152</v>
      </c>
      <c r="C89" s="202" t="str">
        <f>'תקציב החברה לפיתוח 2025'!C63</f>
        <v>בית ספר בן צבי</v>
      </c>
      <c r="D89" s="112">
        <f>'תקציב החברה לפיתוח 2025'!D63</f>
        <v>27600000</v>
      </c>
      <c r="E89" s="112">
        <f>'תקציב החברה לפיתוח 2025'!E63</f>
        <v>16000000</v>
      </c>
      <c r="F89" s="112">
        <f>'תקציב החברה לפיתוח 2025'!F63</f>
        <v>11600000</v>
      </c>
      <c r="G89" s="112">
        <f>'תקציב החברה לפיתוח 2025'!G63</f>
        <v>1331810</v>
      </c>
      <c r="H89" s="112">
        <f>'תקציב החברה לפיתוח 2025'!H63</f>
        <v>1320807</v>
      </c>
      <c r="I89" s="112">
        <f>'תקציב החברה לפיתוח 2025'!I63</f>
        <v>0</v>
      </c>
      <c r="J89" s="112">
        <f>'תקציב החברה לפיתוח 2025'!J63</f>
        <v>10450</v>
      </c>
      <c r="K89" s="112">
        <f>'תקציב החברה לפיתוח 2025'!K63</f>
        <v>10450</v>
      </c>
      <c r="L89" s="112">
        <f>'תקציב החברה לפיתוח 2025'!L63</f>
        <v>1331257</v>
      </c>
      <c r="M89" s="112">
        <f>'תקציב החברה לפיתוח 2025'!M63</f>
        <v>553</v>
      </c>
      <c r="N89" s="112">
        <f>'תקציב החברה לפיתוח 2025'!N63</f>
        <v>300000</v>
      </c>
      <c r="O89" s="112">
        <f>'תקציב החברה לפיתוח 2025'!O63</f>
        <v>25968190</v>
      </c>
      <c r="P89" s="112">
        <f>'תקציב החברה לפיתוח 2025'!P63</f>
        <v>553</v>
      </c>
      <c r="Q89" s="112">
        <f>'תקציב החברה לפיתוח 2025'!Q63</f>
        <v>0</v>
      </c>
      <c r="R89" s="112">
        <f>'תקציב החברה לפיתוח 2025'!R63</f>
        <v>0</v>
      </c>
      <c r="S89" s="112">
        <f>'תקציב החברה לפיתוח 2025'!S63</f>
        <v>0</v>
      </c>
      <c r="T89" s="112">
        <f>'תקציב החברה לפיתוח 2025'!T63</f>
        <v>0</v>
      </c>
      <c r="U89" s="257">
        <f>'תקציב החברה לפיתוח 2025'!U63</f>
        <v>300000</v>
      </c>
      <c r="V89" s="112">
        <f>'תקציב החברה לפיתוח 2025'!V63</f>
        <v>300000</v>
      </c>
      <c r="W89" s="112">
        <f>'תקציב החברה לפיתוח 2025'!W63</f>
        <v>0</v>
      </c>
      <c r="X89" s="112">
        <f>'תקציב החברה לפיתוח 2025'!X63</f>
        <v>0</v>
      </c>
      <c r="Y89" s="112">
        <f>'תקציב החברה לפיתוח 2025'!Y63</f>
        <v>0</v>
      </c>
      <c r="Z89" s="112">
        <f>'תקציב החברה לפיתוח 2025'!Z63</f>
        <v>0</v>
      </c>
      <c r="AA89" s="127">
        <f>'תקציב החברה לפיתוח 2025'!AA63</f>
        <v>0</v>
      </c>
      <c r="AB89" s="496" t="str">
        <f>'תקציב החברה לפיתוח 2025'!AB63</f>
        <v>הריסת מבני ספח והקמת מבנה חדש.תכנון ראשוני בי"ס בן צבי. תוספת 6 כיתות הרחבה ל - 24 כיתות. קדם מימון מ. החינוך.</v>
      </c>
      <c r="AC89" s="3">
        <f>'תקציב החברה לפיתוח 2025'!AC63</f>
        <v>810000</v>
      </c>
      <c r="AD89" s="123"/>
      <c r="AE89" s="123"/>
      <c r="AF89" s="123"/>
      <c r="AG89" s="123"/>
      <c r="AH89" s="123"/>
      <c r="AI89" s="123"/>
      <c r="AJ89" s="123"/>
      <c r="AK89" s="505"/>
      <c r="AL89" s="505"/>
      <c r="AM89" s="505"/>
      <c r="AN89" s="505"/>
      <c r="AO89" s="505"/>
      <c r="AP89" s="505"/>
      <c r="AQ89" s="505"/>
      <c r="AR89" s="505"/>
      <c r="AS89" s="123"/>
      <c r="AT89" s="123"/>
      <c r="AU89" s="123"/>
      <c r="AV89" s="123"/>
      <c r="AW89" s="123"/>
      <c r="AX89" s="123"/>
      <c r="AY89" s="123"/>
      <c r="AZ89" s="6"/>
      <c r="BA89" s="6"/>
      <c r="BB89" s="6"/>
      <c r="BC89" s="6"/>
      <c r="BD89" s="6"/>
    </row>
    <row r="90" spans="1:56" s="5" customFormat="1" ht="45">
      <c r="A90" s="112">
        <f t="shared" si="7"/>
        <v>77</v>
      </c>
      <c r="B90" s="19">
        <f>'תקציב החברה לפיתוח 2025'!B65</f>
        <v>2175</v>
      </c>
      <c r="C90" s="202" t="str">
        <f>'תקציב החברה לפיתוח 2025'!C65</f>
        <v>גנ"י דוד השמעוני</v>
      </c>
      <c r="D90" s="112">
        <f>'תקציב החברה לפיתוח 2025'!D65</f>
        <v>20521912</v>
      </c>
      <c r="E90" s="112">
        <f>'תקציב החברה לפיתוח 2025'!E65</f>
        <v>21000000</v>
      </c>
      <c r="F90" s="112">
        <f>'תקציב החברה לפיתוח 2025'!F65</f>
        <v>-478088</v>
      </c>
      <c r="G90" s="112">
        <f>'תקציב החברה לפיתוח 2025'!G65</f>
        <v>18945297</v>
      </c>
      <c r="H90" s="112">
        <f>'תקציב החברה לפיתוח 2025'!H65</f>
        <v>18593055</v>
      </c>
      <c r="I90" s="112">
        <f>'תקציב החברה לפיתוח 2025'!I65</f>
        <v>0</v>
      </c>
      <c r="J90" s="112">
        <f>'תקציב החברה לפיתוח 2025'!J65</f>
        <v>144237</v>
      </c>
      <c r="K90" s="112">
        <f>'תקציב החברה לפיתוח 2025'!K65</f>
        <v>144237</v>
      </c>
      <c r="L90" s="112">
        <f>'תקציב החברה לפיתוח 2025'!L65</f>
        <v>18737292</v>
      </c>
      <c r="M90" s="112">
        <f>'תקציב החברה לפיתוח 2025'!M65</f>
        <v>1784620</v>
      </c>
      <c r="N90" s="112">
        <f>'תקציב החברה לפיתוח 2025'!N65</f>
        <v>0</v>
      </c>
      <c r="O90" s="112">
        <f>'תקציב החברה לפיתוח 2025'!O65</f>
        <v>0</v>
      </c>
      <c r="P90" s="112">
        <f>'תקציב החברה לפיתוח 2025'!P65</f>
        <v>208005</v>
      </c>
      <c r="Q90" s="112">
        <f>'תקציב החברה לפיתוח 2025'!Q65</f>
        <v>1576615</v>
      </c>
      <c r="R90" s="112">
        <f>'תקציב החברה לפיתוח 2025'!R65</f>
        <v>0</v>
      </c>
      <c r="S90" s="112">
        <f>'תקציב החברה לפיתוח 2025'!S65</f>
        <v>1576615</v>
      </c>
      <c r="T90" s="112">
        <f>'תקציב החברה לפיתוח 2025'!T65</f>
        <v>0</v>
      </c>
      <c r="U90" s="257">
        <f>'תקציב החברה לפיתוח 2025'!U65</f>
        <v>0</v>
      </c>
      <c r="V90" s="112">
        <f>'תקציב החברה לפיתוח 2025'!V65</f>
        <v>0</v>
      </c>
      <c r="W90" s="112">
        <f>'תקציב החברה לפיתוח 2025'!W65</f>
        <v>0</v>
      </c>
      <c r="X90" s="112">
        <f>'תקציב החברה לפיתוח 2025'!X65</f>
        <v>0</v>
      </c>
      <c r="Y90" s="112">
        <f>'תקציב החברה לפיתוח 2025'!Y65</f>
        <v>0</v>
      </c>
      <c r="Z90" s="112">
        <f>'תקציב החברה לפיתוח 2025'!Z65</f>
        <v>0</v>
      </c>
      <c r="AA90" s="112">
        <f>'תקציב החברה לפיתוח 2025'!AA65</f>
        <v>0</v>
      </c>
      <c r="AB90" s="202" t="str">
        <f>'תקציב החברה לפיתוח 2025'!AB65</f>
        <v>תכנון וביצוע הקמת 5 כיתות גן במתחם השמעוני. מימון מ. החינוך. הצטיידות תב"ר 20044 בחינוך.</v>
      </c>
      <c r="AC90" s="3">
        <f>'תקציב החברה לפיתוח 2025'!AC65</f>
        <v>810000</v>
      </c>
      <c r="AD90" s="123"/>
      <c r="AE90" s="123"/>
      <c r="AF90" s="123"/>
      <c r="AG90" s="123"/>
      <c r="AH90" s="123"/>
      <c r="AI90" s="123"/>
      <c r="AJ90" s="123"/>
      <c r="AK90" s="505"/>
      <c r="AL90" s="505"/>
      <c r="AM90" s="505"/>
      <c r="AN90" s="505"/>
      <c r="AO90" s="505"/>
      <c r="AP90" s="505"/>
      <c r="AQ90" s="505"/>
      <c r="AR90" s="505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</row>
    <row r="91" spans="1:56" s="5" customFormat="1" ht="45">
      <c r="A91" s="112">
        <f t="shared" si="7"/>
        <v>78</v>
      </c>
      <c r="B91" s="19">
        <f>'תקציב החברה לפיתוח 2025'!B67</f>
        <v>2182</v>
      </c>
      <c r="C91" s="202" t="str">
        <f>'תקציב החברה לפיתוח 2025'!C67</f>
        <v>תכנון שב"צ דן שומרון בי"ס על יסודי</v>
      </c>
      <c r="D91" s="112">
        <f>'תקציב החברה לפיתוח 2025'!D67</f>
        <v>3900000</v>
      </c>
      <c r="E91" s="112">
        <f>'תקציב החברה לפיתוח 2025'!E67</f>
        <v>3900000</v>
      </c>
      <c r="F91" s="112">
        <f>'תקציב החברה לפיתוח 2025'!F67</f>
        <v>0</v>
      </c>
      <c r="G91" s="112">
        <f>'תקציב החברה לפיתוח 2025'!G67</f>
        <v>2350000</v>
      </c>
      <c r="H91" s="112">
        <f>'תקציב החברה לפיתוח 2025'!H67</f>
        <v>1658836</v>
      </c>
      <c r="I91" s="112">
        <f>'תקציב החברה לפיתוח 2025'!I67</f>
        <v>0</v>
      </c>
      <c r="J91" s="112">
        <f>'תקציב החברה לפיתוח 2025'!J67</f>
        <v>615471</v>
      </c>
      <c r="K91" s="112">
        <f>'תקציב החברה לפיתוח 2025'!K67</f>
        <v>615471</v>
      </c>
      <c r="L91" s="112">
        <f>'תקציב החברה לפיתוח 2025'!L67</f>
        <v>2274307</v>
      </c>
      <c r="M91" s="112">
        <f>'תקציב החברה לפיתוח 2025'!M67</f>
        <v>75693</v>
      </c>
      <c r="N91" s="112">
        <f>'תקציב החברה לפיתוח 2025'!N67</f>
        <v>200000</v>
      </c>
      <c r="O91" s="112">
        <f>'תקציב החברה לפיתוח 2025'!O67</f>
        <v>1350000</v>
      </c>
      <c r="P91" s="112">
        <f>'תקציב החברה לפיתוח 2025'!P67</f>
        <v>75693</v>
      </c>
      <c r="Q91" s="112">
        <f>'תקציב החברה לפיתוח 2025'!Q67</f>
        <v>0</v>
      </c>
      <c r="R91" s="112">
        <f>'תקציב החברה לפיתוח 2025'!R67</f>
        <v>0</v>
      </c>
      <c r="S91" s="112">
        <f>'תקציב החברה לפיתוח 2025'!S67</f>
        <v>0</v>
      </c>
      <c r="T91" s="112">
        <f>'תקציב החברה לפיתוח 2025'!T67</f>
        <v>0</v>
      </c>
      <c r="U91" s="257">
        <f>'תקציב החברה לפיתוח 2025'!U67</f>
        <v>200000</v>
      </c>
      <c r="V91" s="112">
        <f>'תקציב החברה לפיתוח 2025'!V67</f>
        <v>200000</v>
      </c>
      <c r="W91" s="112">
        <f>'תקציב החברה לפיתוח 2025'!W67</f>
        <v>0</v>
      </c>
      <c r="X91" s="112">
        <f>'תקציב החברה לפיתוח 2025'!X67</f>
        <v>0</v>
      </c>
      <c r="Y91" s="112">
        <f>'תקציב החברה לפיתוח 2025'!Y67</f>
        <v>0</v>
      </c>
      <c r="Z91" s="112">
        <f>'תקציב החברה לפיתוח 2025'!Z67</f>
        <v>0</v>
      </c>
      <c r="AA91" s="127">
        <f>'תקציב החברה לפיתוח 2025'!AA67</f>
        <v>0</v>
      </c>
      <c r="AB91" s="202" t="str">
        <f>'תקציב החברה לפיתוח 2025'!AB67</f>
        <v>הקמת תיכון 30 כיתות בשב"צ דן שומרון גוש 656 חל' 991. תכנון. קדם מימון מ. החינוך.</v>
      </c>
      <c r="AC91" s="3">
        <f>'תקציב החברה לפיתוח 2025'!AC67</f>
        <v>810000</v>
      </c>
      <c r="AD91" s="123"/>
      <c r="AE91" s="123"/>
      <c r="AF91" s="123"/>
      <c r="AG91" s="123"/>
      <c r="AH91" s="123"/>
      <c r="AI91" s="123"/>
      <c r="AJ91" s="123"/>
      <c r="AK91" s="505"/>
      <c r="AL91" s="505"/>
      <c r="AM91" s="505"/>
      <c r="AN91" s="505"/>
      <c r="AO91" s="505"/>
      <c r="AP91" s="505"/>
      <c r="AQ91" s="505"/>
      <c r="AR91" s="505"/>
      <c r="AS91" s="123"/>
      <c r="AT91" s="123"/>
      <c r="AU91" s="123"/>
      <c r="AV91" s="123"/>
      <c r="AW91" s="123"/>
      <c r="AX91" s="123"/>
      <c r="AY91" s="123"/>
    </row>
    <row r="92" spans="1:56" s="5" customFormat="1" ht="30">
      <c r="A92" s="112">
        <f t="shared" si="7"/>
        <v>79</v>
      </c>
      <c r="B92" s="19">
        <f>'תקציב החברה לפיתוח 2025'!B68</f>
        <v>2185</v>
      </c>
      <c r="C92" s="202" t="str">
        <f>'תקציב החברה לפיתוח 2025'!C68</f>
        <v>תוספת 6 כיתות לימוד בי"ס שז"ר</v>
      </c>
      <c r="D92" s="112">
        <f>'תקציב החברה לפיתוח 2025'!D68</f>
        <v>40000000</v>
      </c>
      <c r="E92" s="112">
        <f>'תקציב החברה לפיתוח 2025'!E68</f>
        <v>40000000</v>
      </c>
      <c r="F92" s="112">
        <f>'תקציב החברה לפיתוח 2025'!F68</f>
        <v>0</v>
      </c>
      <c r="G92" s="112">
        <f>'תקציב החברה לפיתוח 2025'!G68</f>
        <v>6387282</v>
      </c>
      <c r="H92" s="112">
        <f>'תקציב החברה לפיתוח 2025'!H68</f>
        <v>4507524</v>
      </c>
      <c r="I92" s="112">
        <f>'תקציב החברה לפיתוח 2025'!I68</f>
        <v>0</v>
      </c>
      <c r="J92" s="112">
        <f>'תקציב החברה לפיתוח 2025'!J68</f>
        <v>1603498</v>
      </c>
      <c r="K92" s="112">
        <f>'תקציב החברה לפיתוח 2025'!K68</f>
        <v>1603498</v>
      </c>
      <c r="L92" s="112">
        <f>'תקציב החברה לפיתוח 2025'!L68</f>
        <v>6111022</v>
      </c>
      <c r="M92" s="112">
        <f>'תקציב החברה לפיתוח 2025'!M68</f>
        <v>2276260</v>
      </c>
      <c r="N92" s="112">
        <f>'תקציב החברה לפיתוח 2025'!N68</f>
        <v>2707129</v>
      </c>
      <c r="O92" s="112">
        <f>'תקציב החברה לפיתוח 2025'!O68</f>
        <v>28905589</v>
      </c>
      <c r="P92" s="112">
        <f>'תקציב החברה לפיתוח 2025'!P68</f>
        <v>276260</v>
      </c>
      <c r="Q92" s="112">
        <f>'תקציב החברה לפיתוח 2025'!Q68</f>
        <v>2000000</v>
      </c>
      <c r="R92" s="112">
        <f>'תקציב החברה לפיתוח 2025'!R68</f>
        <v>0</v>
      </c>
      <c r="S92" s="112">
        <f>'תקציב החברה לפיתוח 2025'!S68</f>
        <v>2000000</v>
      </c>
      <c r="T92" s="112">
        <f>'תקציב החברה לפיתוח 2025'!T68</f>
        <v>0</v>
      </c>
      <c r="U92" s="257">
        <f>'תקציב החברה לפיתוח 2025'!U68</f>
        <v>2707129</v>
      </c>
      <c r="V92" s="112">
        <f>'תקציב החברה לפיתוח 2025'!V68</f>
        <v>2707129</v>
      </c>
      <c r="W92" s="112">
        <f>'תקציב החברה לפיתוח 2025'!W68</f>
        <v>0</v>
      </c>
      <c r="X92" s="112">
        <f>'תקציב החברה לפיתוח 2025'!X68</f>
        <v>0</v>
      </c>
      <c r="Y92" s="112">
        <f>'תקציב החברה לפיתוח 2025'!Y68</f>
        <v>0</v>
      </c>
      <c r="Z92" s="112">
        <f>'תקציב החברה לפיתוח 2025'!Z68</f>
        <v>0</v>
      </c>
      <c r="AA92" s="112">
        <f>'תקציב החברה לפיתוח 2025'!AA68</f>
        <v>0</v>
      </c>
      <c r="AB92" s="202" t="str">
        <f>'תקציב החברה לפיתוח 2025'!AB68</f>
        <v xml:space="preserve">אולם ספורט ותוספת 6 כיתות בי"ס שז"ר. </v>
      </c>
      <c r="AC92" s="3">
        <f>'תקציב החברה לפיתוח 2025'!AC68</f>
        <v>810000</v>
      </c>
      <c r="AD92" s="123"/>
      <c r="AE92" s="123"/>
      <c r="AF92" s="123"/>
      <c r="AG92" s="123"/>
      <c r="AH92" s="123"/>
      <c r="AI92" s="123"/>
      <c r="AJ92" s="123"/>
      <c r="AK92" s="505"/>
      <c r="AL92" s="505"/>
      <c r="AM92" s="505"/>
      <c r="AN92" s="505"/>
      <c r="AO92" s="505"/>
      <c r="AP92" s="505"/>
      <c r="AQ92" s="505"/>
      <c r="AR92" s="505"/>
      <c r="AS92" s="123"/>
      <c r="AT92" s="123"/>
      <c r="AU92" s="123"/>
      <c r="AV92" s="123"/>
      <c r="AW92" s="123"/>
      <c r="AX92" s="123"/>
      <c r="AY92" s="123"/>
      <c r="AZ92" s="131"/>
      <c r="BA92" s="131"/>
      <c r="BB92" s="131"/>
      <c r="BC92" s="131"/>
      <c r="BD92" s="131"/>
    </row>
    <row r="93" spans="1:56" s="148" customFormat="1" ht="75">
      <c r="A93" s="112">
        <f t="shared" si="7"/>
        <v>80</v>
      </c>
      <c r="B93" s="19">
        <f>'תקציב החברה לפיתוח 2025'!B75</f>
        <v>2201</v>
      </c>
      <c r="C93" s="202" t="str">
        <f>'תקציב החברה לפיתוח 2025'!C75</f>
        <v>מתחם בי"ס הנדיב</v>
      </c>
      <c r="D93" s="112">
        <f>'תקציב החברה לפיתוח 2025'!D75</f>
        <v>120000000</v>
      </c>
      <c r="E93" s="112">
        <f>'תקציב החברה לפיתוח 2025'!E75</f>
        <v>120000000</v>
      </c>
      <c r="F93" s="112">
        <f>'תקציב החברה לפיתוח 2025'!F75</f>
        <v>0</v>
      </c>
      <c r="G93" s="112">
        <f>'תקציב החברה לפיתוח 2025'!G75</f>
        <v>17176755</v>
      </c>
      <c r="H93" s="112">
        <f>'תקציב החברה לפיתוח 2025'!H75</f>
        <v>16318666</v>
      </c>
      <c r="I93" s="112">
        <f>'תקציב החברה לפיתוח 2025'!I75</f>
        <v>0</v>
      </c>
      <c r="J93" s="112">
        <f>'תקציב החברה לפיתוח 2025'!J75</f>
        <v>809898</v>
      </c>
      <c r="K93" s="112">
        <f>'תקציב החברה לפיתוח 2025'!K75</f>
        <v>809898</v>
      </c>
      <c r="L93" s="112">
        <f>'תקציב החברה לפיתוח 2025'!L75</f>
        <v>17128564</v>
      </c>
      <c r="M93" s="112">
        <f>'תקציב החברה לפיתוח 2025'!M75</f>
        <v>8448191</v>
      </c>
      <c r="N93" s="112">
        <f>'תקציב החברה לפיתוח 2025'!N75</f>
        <v>30000000</v>
      </c>
      <c r="O93" s="112">
        <f>'תקציב החברה לפיתוח 2025'!O75</f>
        <v>64423245</v>
      </c>
      <c r="P93" s="112">
        <f>'תקציב החברה לפיתוח 2025'!P75</f>
        <v>48191</v>
      </c>
      <c r="Q93" s="112">
        <f>'תקציב החברה לפיתוח 2025'!Q75</f>
        <v>8400000</v>
      </c>
      <c r="R93" s="112">
        <f>'תקציב החברה לפיתוח 2025'!R75</f>
        <v>0</v>
      </c>
      <c r="S93" s="112">
        <f>'תקציב החברה לפיתוח 2025'!S75</f>
        <v>8400000</v>
      </c>
      <c r="T93" s="112">
        <f>'תקציב החברה לפיתוח 2025'!T75</f>
        <v>0</v>
      </c>
      <c r="U93" s="257">
        <f>'תקציב החברה לפיתוח 2025'!U75</f>
        <v>30000000</v>
      </c>
      <c r="V93" s="112">
        <f>'תקציב החברה לפיתוח 2025'!V75</f>
        <v>27743015</v>
      </c>
      <c r="W93" s="112">
        <f>'תקציב החברה לפיתוח 2025'!W75</f>
        <v>0</v>
      </c>
      <c r="X93" s="112">
        <f>'תקציב החברה לפיתוח 2025'!X75</f>
        <v>0</v>
      </c>
      <c r="Y93" s="112">
        <f>'תקציב החברה לפיתוח 2025'!Y75</f>
        <v>0</v>
      </c>
      <c r="Z93" s="112">
        <f>'תקציב החברה לפיתוח 2025'!Z75</f>
        <v>0</v>
      </c>
      <c r="AA93" s="112">
        <f>'תקציב החברה לפיתוח 2025'!AA75</f>
        <v>2256985</v>
      </c>
      <c r="AB93" s="202" t="str">
        <f>'תקציב החברה לפיתוח 2025'!AB75</f>
        <v>הריסת מבנים קיימים ובניה מתחם חדש:בי"ס יסודי 24 כיתות, 4 כיתות ח"מ, אולם ספורט, מגרש ספורט מוצלל, 4 כיתות גנ"י. מימון מ. החינוך.</v>
      </c>
      <c r="AC93" s="3">
        <f>'תקציב החברה לפיתוח 2025'!AC75</f>
        <v>810000</v>
      </c>
      <c r="AD93" s="123"/>
      <c r="AE93" s="123"/>
      <c r="AF93" s="123"/>
      <c r="AG93" s="123"/>
      <c r="AH93" s="123"/>
      <c r="AI93" s="123"/>
      <c r="AJ93" s="123"/>
      <c r="AK93" s="505"/>
      <c r="AL93" s="505"/>
      <c r="AM93" s="505"/>
      <c r="AN93" s="505"/>
      <c r="AO93" s="505"/>
      <c r="AP93" s="505"/>
      <c r="AQ93" s="505"/>
      <c r="AR93" s="505"/>
      <c r="AS93" s="123"/>
      <c r="AT93" s="123"/>
      <c r="AU93" s="123"/>
      <c r="AV93" s="123"/>
      <c r="AW93" s="123"/>
      <c r="AX93" s="123"/>
      <c r="AY93" s="123"/>
      <c r="AZ93" s="131"/>
      <c r="BA93" s="131"/>
      <c r="BB93" s="131"/>
      <c r="BC93" s="131"/>
      <c r="BD93" s="131"/>
    </row>
    <row r="94" spans="1:56" s="148" customFormat="1" ht="45">
      <c r="A94" s="112">
        <f t="shared" si="7"/>
        <v>81</v>
      </c>
      <c r="B94" s="19">
        <f>'תקציב החברה לפיתוח 2025'!B77</f>
        <v>2205</v>
      </c>
      <c r="C94" s="202" t="str">
        <f>'תקציב החברה לפיתוח 2025'!C77</f>
        <v xml:space="preserve">תיכון היובל </v>
      </c>
      <c r="D94" s="112">
        <f>'תקציב החברה לפיתוח 2025'!D77</f>
        <v>19125000</v>
      </c>
      <c r="E94" s="112">
        <f>'תקציב החברה לפיתוח 2025'!E77</f>
        <v>19125000</v>
      </c>
      <c r="F94" s="112">
        <f>'תקציב החברה לפיתוח 2025'!F77</f>
        <v>0</v>
      </c>
      <c r="G94" s="112">
        <f>'תקציב החברה לפיתוח 2025'!G77</f>
        <v>19125000</v>
      </c>
      <c r="H94" s="112">
        <f>'תקציב החברה לפיתוח 2025'!H77</f>
        <v>18256281</v>
      </c>
      <c r="I94" s="112">
        <f>'תקציב החברה לפיתוח 2025'!I77</f>
        <v>0</v>
      </c>
      <c r="J94" s="112">
        <f>'תקציב החברה לפיתוח 2025'!J77</f>
        <v>616927</v>
      </c>
      <c r="K94" s="112">
        <f>'תקציב החברה לפיתוח 2025'!K77</f>
        <v>616927</v>
      </c>
      <c r="L94" s="112">
        <f>'תקציב החברה לפיתוח 2025'!L77</f>
        <v>18873208</v>
      </c>
      <c r="M94" s="112">
        <f>'תקציב החברה לפיתוח 2025'!M77</f>
        <v>251792</v>
      </c>
      <c r="N94" s="112">
        <f>'תקציב החברה לפיתוח 2025'!N77</f>
        <v>0</v>
      </c>
      <c r="O94" s="112">
        <f>'תקציב החברה לפיתוח 2025'!O77</f>
        <v>0</v>
      </c>
      <c r="P94" s="112">
        <f>'תקציב החברה לפיתוח 2025'!P77</f>
        <v>251792</v>
      </c>
      <c r="Q94" s="112">
        <f>'תקציב החברה לפיתוח 2025'!Q77</f>
        <v>0</v>
      </c>
      <c r="R94" s="112">
        <f>'תקציב החברה לפיתוח 2025'!R77</f>
        <v>0</v>
      </c>
      <c r="S94" s="112">
        <f>'תקציב החברה לפיתוח 2025'!S77</f>
        <v>0</v>
      </c>
      <c r="T94" s="112">
        <f>'תקציב החברה לפיתוח 2025'!T77</f>
        <v>0</v>
      </c>
      <c r="U94" s="257">
        <f>'תקציב החברה לפיתוח 2025'!U77</f>
        <v>0</v>
      </c>
      <c r="V94" s="112">
        <f>'תקציב החברה לפיתוח 2025'!V77</f>
        <v>0</v>
      </c>
      <c r="W94" s="112">
        <f>'תקציב החברה לפיתוח 2025'!W77</f>
        <v>0</v>
      </c>
      <c r="X94" s="112">
        <f>'תקציב החברה לפיתוח 2025'!X77</f>
        <v>0</v>
      </c>
      <c r="Y94" s="112">
        <f>'תקציב החברה לפיתוח 2025'!Y77</f>
        <v>0</v>
      </c>
      <c r="Z94" s="112">
        <f>'תקציב החברה לפיתוח 2025'!Z77</f>
        <v>0</v>
      </c>
      <c r="AA94" s="127">
        <f>'תקציב החברה לפיתוח 2025'!AA77</f>
        <v>0</v>
      </c>
      <c r="AB94" s="496" t="str">
        <f>'תקציב החברה לפיתוח 2025'!AB77</f>
        <v>תכנון וביצוע של תוספת 6 כיתות ומעבדות בתיכון היובל.מימון מ. החינוך.</v>
      </c>
      <c r="AC94" s="3">
        <f>'תקציב החברה לפיתוח 2025'!AC77</f>
        <v>810000</v>
      </c>
      <c r="AD94" s="123"/>
      <c r="AE94" s="123"/>
      <c r="AF94" s="123"/>
      <c r="AG94" s="123"/>
      <c r="AH94" s="123"/>
      <c r="AI94" s="123"/>
      <c r="AJ94" s="123"/>
      <c r="AK94" s="505"/>
      <c r="AL94" s="505"/>
      <c r="AM94" s="505"/>
      <c r="AN94" s="505"/>
      <c r="AO94" s="505"/>
      <c r="AP94" s="505"/>
      <c r="AQ94" s="505"/>
      <c r="AR94" s="505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</row>
    <row r="95" spans="1:56" s="5" customFormat="1" ht="30">
      <c r="A95" s="112">
        <f t="shared" si="7"/>
        <v>82</v>
      </c>
      <c r="B95" s="19">
        <f>'תקציב החברה לפיתוח 2025'!B78</f>
        <v>2206</v>
      </c>
      <c r="C95" s="202" t="str">
        <f>'תקציב החברה לפיתוח 2025'!C78</f>
        <v>חט"ב באלתרמן</v>
      </c>
      <c r="D95" s="112">
        <f>'תקציב החברה לפיתוח 2025'!D78</f>
        <v>92000000</v>
      </c>
      <c r="E95" s="112">
        <f>'תקציב החברה לפיתוח 2025'!E78</f>
        <v>92000000</v>
      </c>
      <c r="F95" s="112">
        <f>'תקציב החברה לפיתוח 2025'!F78</f>
        <v>0</v>
      </c>
      <c r="G95" s="112">
        <f>'תקציב החברה לפיתוח 2025'!G78</f>
        <v>11366551</v>
      </c>
      <c r="H95" s="112">
        <f>'תקציב החברה לפיתוח 2025'!H78</f>
        <v>10311620</v>
      </c>
      <c r="I95" s="112">
        <f>'תקציב החברה לפיתוח 2025'!I78</f>
        <v>0</v>
      </c>
      <c r="J95" s="112">
        <f>'תקציב החברה לפיתוח 2025'!J78</f>
        <v>577370</v>
      </c>
      <c r="K95" s="112">
        <f>'תקציב החברה לפיתוח 2025'!K78</f>
        <v>577370</v>
      </c>
      <c r="L95" s="112">
        <f>'תקציב החברה לפיתוח 2025'!L78</f>
        <v>10888990</v>
      </c>
      <c r="M95" s="112">
        <f>'תקציב החברה לפיתוח 2025'!M78</f>
        <v>4977561</v>
      </c>
      <c r="N95" s="112">
        <f>'תקציב החברה לפיתוח 2025'!N78</f>
        <v>15133449</v>
      </c>
      <c r="O95" s="112">
        <f>'תקציב החברה לפיתוח 2025'!O78</f>
        <v>61000000</v>
      </c>
      <c r="P95" s="112">
        <f>'תקציב החברה לפיתוח 2025'!P78</f>
        <v>477561</v>
      </c>
      <c r="Q95" s="112">
        <f>'תקציב החברה לפיתוח 2025'!Q78</f>
        <v>4500000</v>
      </c>
      <c r="R95" s="112">
        <f>'תקציב החברה לפיתוח 2025'!R78</f>
        <v>0</v>
      </c>
      <c r="S95" s="112">
        <f>'תקציב החברה לפיתוח 2025'!S78</f>
        <v>4500000</v>
      </c>
      <c r="T95" s="112">
        <f>'תקציב החברה לפיתוח 2025'!T78</f>
        <v>0</v>
      </c>
      <c r="U95" s="257">
        <f>'תקציב החברה לפיתוח 2025'!U78</f>
        <v>15133449</v>
      </c>
      <c r="V95" s="112">
        <f>'תקציב החברה לפיתוח 2025'!V78</f>
        <v>15133449</v>
      </c>
      <c r="W95" s="112">
        <f>'תקציב החברה לפיתוח 2025'!W78</f>
        <v>0</v>
      </c>
      <c r="X95" s="112">
        <f>'תקציב החברה לפיתוח 2025'!X78</f>
        <v>0</v>
      </c>
      <c r="Y95" s="112">
        <f>'תקציב החברה לפיתוח 2025'!Y78</f>
        <v>0</v>
      </c>
      <c r="Z95" s="112">
        <f>'תקציב החברה לפיתוח 2025'!Z78</f>
        <v>0</v>
      </c>
      <c r="AA95" s="127">
        <f>'תקציב החברה לפיתוח 2025'!AA78</f>
        <v>0</v>
      </c>
      <c r="AB95" s="263" t="str">
        <f>'תקציב החברה לפיתוח 2025'!AB78</f>
        <v>תכנון חט"ב חדשה 24 כיתות באלתרמן. קדם מימון מ. החינוך.</v>
      </c>
      <c r="AC95" s="3">
        <f>'תקציב החברה לפיתוח 2025'!AC78</f>
        <v>810000</v>
      </c>
      <c r="AD95" s="123"/>
      <c r="AE95" s="123"/>
      <c r="AF95" s="123"/>
      <c r="AG95" s="123"/>
      <c r="AH95" s="123"/>
      <c r="AI95" s="123"/>
      <c r="AJ95" s="123"/>
      <c r="AK95" s="505"/>
      <c r="AL95" s="505"/>
      <c r="AM95" s="505"/>
      <c r="AN95" s="505"/>
      <c r="AO95" s="505"/>
      <c r="AP95" s="505"/>
      <c r="AQ95" s="505"/>
      <c r="AR95" s="505"/>
      <c r="AS95" s="123"/>
      <c r="AT95" s="123"/>
      <c r="AU95" s="123"/>
      <c r="AV95" s="123"/>
      <c r="AW95" s="123"/>
      <c r="AX95" s="123"/>
      <c r="AY95" s="123"/>
    </row>
    <row r="96" spans="1:56" s="5" customFormat="1" ht="30">
      <c r="A96" s="112">
        <f t="shared" si="7"/>
        <v>83</v>
      </c>
      <c r="B96" s="19">
        <f>'תקציב החברה לפיתוח 2025'!B79</f>
        <v>2209</v>
      </c>
      <c r="C96" s="202" t="str">
        <f>'תקציב החברה לפיתוח 2025'!C79</f>
        <v>בית ספר ברנר (תוספת 6 כיתות)</v>
      </c>
      <c r="D96" s="112">
        <f>'תקציב החברה לפיתוח 2025'!D79</f>
        <v>46500000</v>
      </c>
      <c r="E96" s="112">
        <f>'תקציב החברה לפיתוח 2025'!E79</f>
        <v>46500000</v>
      </c>
      <c r="F96" s="112">
        <f>'תקציב החברה לפיתוח 2025'!F79</f>
        <v>0</v>
      </c>
      <c r="G96" s="112">
        <f>'תקציב החברה לפיתוח 2025'!G79</f>
        <v>1500000</v>
      </c>
      <c r="H96" s="112">
        <f>'תקציב החברה לפיתוח 2025'!H79</f>
        <v>1380226</v>
      </c>
      <c r="I96" s="112">
        <f>'תקציב החברה לפיתוח 2025'!I79</f>
        <v>0</v>
      </c>
      <c r="J96" s="112">
        <f>'תקציב החברה לפיתוח 2025'!J79</f>
        <v>114206</v>
      </c>
      <c r="K96" s="112">
        <f>'תקציב החברה לפיתוח 2025'!K79</f>
        <v>114206</v>
      </c>
      <c r="L96" s="112">
        <f>'תקציב החברה לפיתוח 2025'!L79</f>
        <v>1494432</v>
      </c>
      <c r="M96" s="112">
        <f>'תקציב החברה לפיתוח 2025'!M79</f>
        <v>305568</v>
      </c>
      <c r="N96" s="112">
        <f>'תקציב החברה לפיתוח 2025'!N79</f>
        <v>258358</v>
      </c>
      <c r="O96" s="112">
        <f>'תקציב החברה לפיתוח 2025'!O79</f>
        <v>44441642</v>
      </c>
      <c r="P96" s="112">
        <f>'תקציב החברה לפיתוח 2025'!P79</f>
        <v>5568</v>
      </c>
      <c r="Q96" s="112">
        <f>'תקציב החברה לפיתוח 2025'!Q79</f>
        <v>300000</v>
      </c>
      <c r="R96" s="112">
        <f>'תקציב החברה לפיתוח 2025'!R79</f>
        <v>0</v>
      </c>
      <c r="S96" s="112">
        <f>'תקציב החברה לפיתוח 2025'!S79</f>
        <v>300000</v>
      </c>
      <c r="T96" s="112">
        <f>'תקציב החברה לפיתוח 2025'!T79</f>
        <v>0</v>
      </c>
      <c r="U96" s="257">
        <f>'תקציב החברה לפיתוח 2025'!U79</f>
        <v>258358</v>
      </c>
      <c r="V96" s="112">
        <f>'תקציב החברה לפיתוח 2025'!V79</f>
        <v>258358</v>
      </c>
      <c r="W96" s="112">
        <f>'תקציב החברה לפיתוח 2025'!W79</f>
        <v>0</v>
      </c>
      <c r="X96" s="112">
        <f>'תקציב החברה לפיתוח 2025'!X79</f>
        <v>0</v>
      </c>
      <c r="Y96" s="112">
        <f>'תקציב החברה לפיתוח 2025'!Y79</f>
        <v>0</v>
      </c>
      <c r="Z96" s="112">
        <f>'תקציב החברה לפיתוח 2025'!Z79</f>
        <v>0</v>
      </c>
      <c r="AA96" s="112">
        <f>'תקציב החברה לפיתוח 2025'!AA79</f>
        <v>0</v>
      </c>
      <c r="AB96" s="496" t="str">
        <f>'תקציב החברה לפיתוח 2025'!AB79</f>
        <v>תכנון וביצוע תוספת 8 כיתות בי"ס ברנר ובניית אולם ספורט.</v>
      </c>
      <c r="AC96" s="3">
        <f>'תקציב החברה לפיתוח 2025'!AC79</f>
        <v>810000</v>
      </c>
      <c r="AD96" s="123"/>
      <c r="AE96" s="123"/>
      <c r="AF96" s="123"/>
      <c r="AG96" s="123"/>
      <c r="AH96" s="123"/>
      <c r="AI96" s="123"/>
      <c r="AJ96" s="123"/>
      <c r="AK96" s="505"/>
      <c r="AL96" s="505"/>
      <c r="AM96" s="505"/>
      <c r="AN96" s="505"/>
      <c r="AO96" s="505"/>
      <c r="AP96" s="505"/>
      <c r="AQ96" s="505"/>
      <c r="AR96" s="505"/>
      <c r="AS96" s="123"/>
      <c r="AT96" s="123"/>
      <c r="AU96" s="123"/>
      <c r="AV96" s="123"/>
      <c r="AW96" s="123"/>
      <c r="AX96" s="123"/>
      <c r="AY96" s="123"/>
    </row>
    <row r="97" spans="1:56" s="5" customFormat="1" ht="60">
      <c r="A97" s="112">
        <f t="shared" si="7"/>
        <v>84</v>
      </c>
      <c r="B97" s="19">
        <f>'תקציב החברה לפיתוח 2025'!B86</f>
        <v>20011</v>
      </c>
      <c r="C97" s="202" t="str">
        <f>'תקציב החברה לפיתוח 2025'!C86</f>
        <v xml:space="preserve">גנ"י ומעון יום שיקומי  חנה רובינא </v>
      </c>
      <c r="D97" s="112">
        <f>'תקציב החברה לפיתוח 2025'!D86</f>
        <v>21500000</v>
      </c>
      <c r="E97" s="112">
        <f>'תקציב החברה לפיתוח 2025'!E86</f>
        <v>21500000</v>
      </c>
      <c r="F97" s="112">
        <f>'תקציב החברה לפיתוח 2025'!F86</f>
        <v>0</v>
      </c>
      <c r="G97" s="112">
        <f>'תקציב החברה לפיתוח 2025'!G86</f>
        <v>1500000</v>
      </c>
      <c r="H97" s="112">
        <f>'תקציב החברה לפיתוח 2025'!H86</f>
        <v>1294812</v>
      </c>
      <c r="I97" s="112">
        <f>'תקציב החברה לפיתוח 2025'!I86</f>
        <v>0</v>
      </c>
      <c r="J97" s="112">
        <f>'תקציב החברה לפיתוח 2025'!J86</f>
        <v>191925</v>
      </c>
      <c r="K97" s="112">
        <f>'תקציב החברה לפיתוח 2025'!K86</f>
        <v>191925</v>
      </c>
      <c r="L97" s="112">
        <f>'תקציב החברה לפיתוח 2025'!L86</f>
        <v>1486737</v>
      </c>
      <c r="M97" s="112">
        <f>'תקציב החברה לפיתוח 2025'!M86</f>
        <v>13753</v>
      </c>
      <c r="N97" s="112">
        <f>'תקציב החברה לפיתוח 2025'!N86</f>
        <v>1000490</v>
      </c>
      <c r="O97" s="112">
        <f>'תקציב החברה לפיתוח 2025'!O86</f>
        <v>18999020</v>
      </c>
      <c r="P97" s="112">
        <f>'תקציב החברה לפיתוח 2025'!P86</f>
        <v>13263</v>
      </c>
      <c r="Q97" s="112">
        <f>'תקציב החברה לפיתוח 2025'!Q86</f>
        <v>490</v>
      </c>
      <c r="R97" s="112">
        <f>'תקציב החברה לפיתוח 2025'!R86</f>
        <v>0</v>
      </c>
      <c r="S97" s="112">
        <f>'תקציב החברה לפיתוח 2025'!S86</f>
        <v>490</v>
      </c>
      <c r="T97" s="112">
        <f>'תקציב החברה לפיתוח 2025'!T86</f>
        <v>0</v>
      </c>
      <c r="U97" s="257">
        <f>'תקציב החברה לפיתוח 2025'!U86</f>
        <v>1000490</v>
      </c>
      <c r="V97" s="112">
        <f>'תקציב החברה לפיתוח 2025'!V86</f>
        <v>1000490</v>
      </c>
      <c r="W97" s="112">
        <f>'תקציב החברה לפיתוח 2025'!W86</f>
        <v>0</v>
      </c>
      <c r="X97" s="112">
        <f>'תקציב החברה לפיתוח 2025'!X86</f>
        <v>0</v>
      </c>
      <c r="Y97" s="112">
        <f>'תקציב החברה לפיתוח 2025'!Y86</f>
        <v>0</v>
      </c>
      <c r="Z97" s="112">
        <f>'תקציב החברה לפיתוח 2025'!Z86</f>
        <v>0</v>
      </c>
      <c r="AA97" s="112">
        <f>'תקציב החברה לפיתוח 2025'!AA86</f>
        <v>0</v>
      </c>
      <c r="AB97" s="202" t="str">
        <f>'תקציב החברה לפיתוח 2025'!AB86</f>
        <v xml:space="preserve"> בניה 2 כיתות גנ"י ו3 כיתות  מעון יום שיקומי בחנה רובינא. מימון מ. החינוך, קרן שלם והמוסד לב.לאומי. הצטיידות גם בתב"ר 20044 בחינוך.</v>
      </c>
      <c r="AC97" s="3">
        <f>'תקציב החברה לפיתוח 2025'!AC86</f>
        <v>810000</v>
      </c>
      <c r="AD97" s="123"/>
      <c r="AE97" s="123"/>
      <c r="AF97" s="123"/>
      <c r="AG97" s="123"/>
      <c r="AH97" s="123"/>
      <c r="AI97" s="123"/>
      <c r="AJ97" s="123"/>
      <c r="AK97" s="505"/>
      <c r="AL97" s="505"/>
      <c r="AM97" s="505"/>
      <c r="AN97" s="505"/>
      <c r="AO97" s="505"/>
      <c r="AP97" s="505"/>
      <c r="AQ97" s="505"/>
      <c r="AR97" s="505"/>
      <c r="AS97" s="123"/>
      <c r="AT97" s="123"/>
      <c r="AU97" s="123"/>
      <c r="AV97" s="123"/>
      <c r="AW97" s="123"/>
      <c r="AX97" s="123"/>
      <c r="AY97" s="123"/>
    </row>
    <row r="98" spans="1:56" s="5" customFormat="1" ht="45">
      <c r="A98" s="112">
        <f t="shared" si="7"/>
        <v>85</v>
      </c>
      <c r="B98" s="19">
        <f>'תקציב החברה לפיתוח 2025'!B87</f>
        <v>20013</v>
      </c>
      <c r="C98" s="202" t="str">
        <f>'תקציב החברה לפיתוח 2025'!C87</f>
        <v>גנ"י ומעונות יום רח' הזמר העברי מתחם המסילה</v>
      </c>
      <c r="D98" s="112">
        <f>'תקציב החברה לפיתוח 2025'!D87</f>
        <v>1000000</v>
      </c>
      <c r="E98" s="112">
        <f>'תקציב החברה לפיתוח 2025'!E87</f>
        <v>1000000</v>
      </c>
      <c r="F98" s="112">
        <f>'תקציב החברה לפיתוח 2025'!F87</f>
        <v>0</v>
      </c>
      <c r="G98" s="112">
        <f>'תקציב החברה לפיתוח 2025'!G87</f>
        <v>1000000</v>
      </c>
      <c r="H98" s="112">
        <f>'תקציב החברה לפיתוח 2025'!H87</f>
        <v>767414</v>
      </c>
      <c r="I98" s="112">
        <f>'תקציב החברה לפיתוח 2025'!I87</f>
        <v>0</v>
      </c>
      <c r="J98" s="112">
        <f>'תקציב החברה לפיתוח 2025'!J87</f>
        <v>214420</v>
      </c>
      <c r="K98" s="112">
        <f>'תקציב החברה לפיתוח 2025'!K87</f>
        <v>214420</v>
      </c>
      <c r="L98" s="112">
        <f>'תקציב החברה לפיתוח 2025'!L87</f>
        <v>981834</v>
      </c>
      <c r="M98" s="112">
        <f>'תקציב החברה לפיתוח 2025'!M87</f>
        <v>18166</v>
      </c>
      <c r="N98" s="112">
        <f>'תקציב החברה לפיתוח 2025'!N87</f>
        <v>0</v>
      </c>
      <c r="O98" s="112">
        <f>'תקציב החברה לפיתוח 2025'!O87</f>
        <v>0</v>
      </c>
      <c r="P98" s="112">
        <f>'תקציב החברה לפיתוח 2025'!P87</f>
        <v>18166</v>
      </c>
      <c r="Q98" s="112">
        <f>'תקציב החברה לפיתוח 2025'!Q87</f>
        <v>0</v>
      </c>
      <c r="R98" s="112">
        <f>'תקציב החברה לפיתוח 2025'!R87</f>
        <v>0</v>
      </c>
      <c r="S98" s="112">
        <f>'תקציב החברה לפיתוח 2025'!S87</f>
        <v>0</v>
      </c>
      <c r="T98" s="112">
        <f>'תקציב החברה לפיתוח 2025'!T87</f>
        <v>0</v>
      </c>
      <c r="U98" s="257">
        <f>'תקציב החברה לפיתוח 2025'!U87</f>
        <v>0</v>
      </c>
      <c r="V98" s="112">
        <f>'תקציב החברה לפיתוח 2025'!V87</f>
        <v>0</v>
      </c>
      <c r="W98" s="112">
        <f>'תקציב החברה לפיתוח 2025'!W87</f>
        <v>0</v>
      </c>
      <c r="X98" s="112">
        <f>'תקציב החברה לפיתוח 2025'!X87</f>
        <v>0</v>
      </c>
      <c r="Y98" s="112">
        <f>'תקציב החברה לפיתוח 2025'!Y87</f>
        <v>0</v>
      </c>
      <c r="Z98" s="112">
        <f>'תקציב החברה לפיתוח 2025'!Z87</f>
        <v>0</v>
      </c>
      <c r="AA98" s="127">
        <f>'תקציב החברה לפיתוח 2025'!AA87</f>
        <v>0</v>
      </c>
      <c r="AB98" s="202" t="str">
        <f>'תקציב החברה לפיתוח 2025'!AB87</f>
        <v>תכנון 4 גנ"י ומעונות יום במתחם המסילה. קדם מימון מ. החינוך.</v>
      </c>
      <c r="AC98" s="3">
        <f>'תקציב החברה לפיתוח 2025'!AC87</f>
        <v>810000</v>
      </c>
      <c r="AD98" s="123"/>
      <c r="AE98" s="123"/>
      <c r="AF98" s="123"/>
      <c r="AG98" s="123"/>
      <c r="AH98" s="123"/>
      <c r="AI98" s="123"/>
      <c r="AJ98" s="123"/>
      <c r="AK98" s="505"/>
      <c r="AL98" s="505"/>
      <c r="AM98" s="505"/>
      <c r="AN98" s="505"/>
      <c r="AO98" s="505"/>
      <c r="AP98" s="505"/>
      <c r="AQ98" s="505"/>
      <c r="AR98" s="505"/>
      <c r="AS98" s="123"/>
      <c r="AT98" s="123"/>
      <c r="AU98" s="123"/>
      <c r="AV98" s="123"/>
      <c r="AW98" s="123"/>
      <c r="AX98" s="123"/>
      <c r="AY98" s="123"/>
    </row>
    <row r="99" spans="1:56" s="5" customFormat="1" ht="45">
      <c r="A99" s="112">
        <f t="shared" si="7"/>
        <v>86</v>
      </c>
      <c r="B99" s="3">
        <f>'תקציב החברה לפיתוח 2025'!B95</f>
        <v>20082</v>
      </c>
      <c r="C99" s="202" t="str">
        <f>'תקציב החברה לפיתוח 2025'!C95</f>
        <v>בי"ס קרן אור</v>
      </c>
      <c r="D99" s="112">
        <f>'תקציב החברה לפיתוח 2025'!D95</f>
        <v>500000</v>
      </c>
      <c r="E99" s="112">
        <f>'תקציב החברה לפיתוח 2025'!E95</f>
        <v>500000</v>
      </c>
      <c r="F99" s="112">
        <f>'תקציב החברה לפיתוח 2025'!F95</f>
        <v>0</v>
      </c>
      <c r="G99" s="112">
        <f>'תקציב החברה לפיתוח 2025'!G95</f>
        <v>500000</v>
      </c>
      <c r="H99" s="112">
        <f>'תקציב החברה לפיתוח 2025'!H95</f>
        <v>12464</v>
      </c>
      <c r="I99" s="112">
        <f>'תקציב החברה לפיתוח 2025'!I95</f>
        <v>0</v>
      </c>
      <c r="J99" s="112">
        <f>'תקציב החברה לפיתוח 2025'!J95</f>
        <v>118687</v>
      </c>
      <c r="K99" s="112">
        <f>'תקציב החברה לפיתוח 2025'!K95</f>
        <v>118687</v>
      </c>
      <c r="L99" s="112">
        <f>'תקציב החברה לפיתוח 2025'!L95</f>
        <v>131151</v>
      </c>
      <c r="M99" s="112">
        <f>'תקציב החברה לפיתוח 2025'!M95</f>
        <v>368849</v>
      </c>
      <c r="N99" s="112">
        <f>'תקציב החברה לפיתוח 2025'!N95</f>
        <v>0</v>
      </c>
      <c r="O99" s="112">
        <f>'תקציב החברה לפיתוח 2025'!O95</f>
        <v>0</v>
      </c>
      <c r="P99" s="112">
        <f>'תקציב החברה לפיתוח 2025'!P95</f>
        <v>368849</v>
      </c>
      <c r="Q99" s="112">
        <f>'תקציב החברה לפיתוח 2025'!Q95</f>
        <v>0</v>
      </c>
      <c r="R99" s="112">
        <f>'תקציב החברה לפיתוח 2025'!R95</f>
        <v>0</v>
      </c>
      <c r="S99" s="112">
        <f>'תקציב החברה לפיתוח 2025'!S95</f>
        <v>0</v>
      </c>
      <c r="T99" s="112">
        <f>'תקציב החברה לפיתוח 2025'!T95</f>
        <v>0</v>
      </c>
      <c r="U99" s="257">
        <f>'תקציב החברה לפיתוח 2025'!U95</f>
        <v>0</v>
      </c>
      <c r="V99" s="112">
        <f>'תקציב החברה לפיתוח 2025'!V95</f>
        <v>0</v>
      </c>
      <c r="W99" s="112">
        <f>'תקציב החברה לפיתוח 2025'!W95</f>
        <v>0</v>
      </c>
      <c r="X99" s="112">
        <f>'תקציב החברה לפיתוח 2025'!X95</f>
        <v>0</v>
      </c>
      <c r="Y99" s="112">
        <f>'תקציב החברה לפיתוח 2025'!Y95</f>
        <v>0</v>
      </c>
      <c r="Z99" s="112">
        <f>'תקציב החברה לפיתוח 2025'!Z95</f>
        <v>0</v>
      </c>
      <c r="AA99" s="127">
        <f>'תקציב החברה לפיתוח 2025'!AA95</f>
        <v>0</v>
      </c>
      <c r="AB99" s="202" t="str">
        <f>'תקציב החברה לפיתוח 2025'!AB95</f>
        <v>בי"ס קבע "קרן אור" ליד בי"ס "אופק"  עד 10 כיתות. תכנון ראשוני .</v>
      </c>
      <c r="AC99" s="3">
        <f>'תקציב החברה לפיתוח 2025'!AC95</f>
        <v>810000</v>
      </c>
      <c r="AD99" s="123"/>
      <c r="AE99" s="123"/>
      <c r="AF99" s="123"/>
      <c r="AG99" s="123"/>
      <c r="AH99" s="123"/>
      <c r="AI99" s="123"/>
      <c r="AJ99" s="123"/>
      <c r="AK99" s="505"/>
      <c r="AL99" s="505"/>
      <c r="AM99" s="505"/>
      <c r="AN99" s="505"/>
      <c r="AO99" s="505"/>
      <c r="AP99" s="505"/>
      <c r="AQ99" s="505"/>
      <c r="AR99" s="505"/>
      <c r="AS99" s="123"/>
      <c r="AT99" s="123"/>
      <c r="AU99" s="123"/>
      <c r="AV99" s="123"/>
      <c r="AW99" s="123"/>
      <c r="AX99" s="123"/>
      <c r="AY99" s="123"/>
    </row>
    <row r="100" spans="1:56" s="5" customFormat="1" ht="45">
      <c r="A100" s="112">
        <f t="shared" si="7"/>
        <v>87</v>
      </c>
      <c r="B100" s="3">
        <f>'תקציב החברה לפיתוח 2025'!B96</f>
        <v>20083</v>
      </c>
      <c r="C100" s="202" t="str">
        <f>'תקציב החברה לפיתוח 2025'!C96</f>
        <v>שב"צ ויצמן</v>
      </c>
      <c r="D100" s="112">
        <f>'תקציב החברה לפיתוח 2025'!D96</f>
        <v>500000</v>
      </c>
      <c r="E100" s="112">
        <f>'תקציב החברה לפיתוח 2025'!E96</f>
        <v>500000</v>
      </c>
      <c r="F100" s="112">
        <f>'תקציב החברה לפיתוח 2025'!F96</f>
        <v>0</v>
      </c>
      <c r="G100" s="112">
        <f>'תקציב החברה לפיתוח 2025'!G96</f>
        <v>250000</v>
      </c>
      <c r="H100" s="112">
        <f>'תקציב החברה לפיתוח 2025'!H96</f>
        <v>176266</v>
      </c>
      <c r="I100" s="112">
        <f>'תקציב החברה לפיתוח 2025'!I96</f>
        <v>0</v>
      </c>
      <c r="J100" s="112">
        <f>'תקציב החברה לפיתוח 2025'!J96</f>
        <v>71775</v>
      </c>
      <c r="K100" s="112">
        <f>'תקציב החברה לפיתוח 2025'!K96</f>
        <v>71775</v>
      </c>
      <c r="L100" s="112">
        <f>'תקציב החברה לפיתוח 2025'!L96</f>
        <v>248041</v>
      </c>
      <c r="M100" s="112">
        <f>'תקציב החברה לפיתוח 2025'!M96</f>
        <v>1959</v>
      </c>
      <c r="N100" s="112">
        <f>'תקציב החברה לפיתוח 2025'!N96</f>
        <v>250000</v>
      </c>
      <c r="O100" s="112">
        <f>'תקציב החברה לפיתוח 2025'!O96</f>
        <v>0</v>
      </c>
      <c r="P100" s="112">
        <f>'תקציב החברה לפיתוח 2025'!P96</f>
        <v>1959</v>
      </c>
      <c r="Q100" s="112">
        <f>'תקציב החברה לפיתוח 2025'!Q96</f>
        <v>0</v>
      </c>
      <c r="R100" s="112">
        <f>'תקציב החברה לפיתוח 2025'!R96</f>
        <v>0</v>
      </c>
      <c r="S100" s="112">
        <f>'תקציב החברה לפיתוח 2025'!S96</f>
        <v>0</v>
      </c>
      <c r="T100" s="112">
        <f>'תקציב החברה לפיתוח 2025'!T96</f>
        <v>0</v>
      </c>
      <c r="U100" s="257">
        <f>'תקציב החברה לפיתוח 2025'!U96</f>
        <v>250000</v>
      </c>
      <c r="V100" s="112">
        <f>'תקציב החברה לפיתוח 2025'!V96</f>
        <v>250000</v>
      </c>
      <c r="W100" s="112">
        <f>'תקציב החברה לפיתוח 2025'!W96</f>
        <v>0</v>
      </c>
      <c r="X100" s="112">
        <f>'תקציב החברה לפיתוח 2025'!X96</f>
        <v>0</v>
      </c>
      <c r="Y100" s="112">
        <f>'תקציב החברה לפיתוח 2025'!Y96</f>
        <v>0</v>
      </c>
      <c r="Z100" s="112">
        <f>'תקציב החברה לפיתוח 2025'!Z96</f>
        <v>0</v>
      </c>
      <c r="AA100" s="127">
        <f>'תקציב החברה לפיתוח 2025'!AA96</f>
        <v>0</v>
      </c>
      <c r="AB100" s="202" t="str">
        <f>'תקציב החברה לפיתוח 2025'!AB96</f>
        <v>תכנון והקמת בי"ס 18 כיתות , מתנ"ס,גנ"י ומעונות יום, אולם ספורט ומגרשי ספורט. תכנון ראשוני.</v>
      </c>
      <c r="AC100" s="3">
        <f>'תקציב החברה לפיתוח 2025'!AC96</f>
        <v>810000</v>
      </c>
      <c r="AD100" s="123"/>
      <c r="AE100" s="123"/>
      <c r="AF100" s="123"/>
      <c r="AG100" s="123"/>
      <c r="AH100" s="123"/>
      <c r="AI100" s="123"/>
      <c r="AJ100" s="123"/>
      <c r="AK100" s="505"/>
      <c r="AL100" s="505"/>
      <c r="AM100" s="505"/>
      <c r="AN100" s="505"/>
      <c r="AO100" s="505"/>
      <c r="AP100" s="505"/>
      <c r="AQ100" s="505"/>
      <c r="AR100" s="505"/>
      <c r="AS100" s="123"/>
      <c r="AT100" s="123"/>
      <c r="AU100" s="123"/>
      <c r="AV100" s="123"/>
      <c r="AW100" s="123"/>
      <c r="AX100" s="123"/>
      <c r="AY100" s="123"/>
    </row>
    <row r="101" spans="1:56" s="5" customFormat="1" ht="30">
      <c r="A101" s="112">
        <f t="shared" si="7"/>
        <v>88</v>
      </c>
      <c r="B101" s="19">
        <f>'תקציב החברה לפיתוח 2025'!B104</f>
        <v>20110</v>
      </c>
      <c r="C101" s="222" t="str">
        <f>'תקציב החברה לפיתוח 2025'!C104</f>
        <v>בי"ס יסודי קרית השחקים הר' 1082</v>
      </c>
      <c r="D101" s="112">
        <f>'תקציב החברה לפיתוח 2025'!D104</f>
        <v>600000</v>
      </c>
      <c r="E101" s="112">
        <f>'תקציב החברה לפיתוח 2025'!E104</f>
        <v>600000</v>
      </c>
      <c r="F101" s="112">
        <f>'תקציב החברה לפיתוח 2025'!F104</f>
        <v>0</v>
      </c>
      <c r="G101" s="112">
        <f>'תקציב החברה לפיתוח 2025'!G104</f>
        <v>250000</v>
      </c>
      <c r="H101" s="112">
        <f>'תקציב החברה לפיתוח 2025'!H104</f>
        <v>14263</v>
      </c>
      <c r="I101" s="112">
        <f>'תקציב החברה לפיתוח 2025'!I104</f>
        <v>0</v>
      </c>
      <c r="J101" s="112">
        <f>'תקציב החברה לפיתוח 2025'!J104</f>
        <v>233777</v>
      </c>
      <c r="K101" s="112">
        <f>'תקציב החברה לפיתוח 2025'!K104</f>
        <v>233777</v>
      </c>
      <c r="L101" s="112">
        <f>'תקציב החברה לפיתוח 2025'!L104</f>
        <v>248040</v>
      </c>
      <c r="M101" s="112">
        <f>'תקציב החברה לפיתוח 2025'!M104</f>
        <v>251960</v>
      </c>
      <c r="N101" s="112">
        <f>'תקציב החברה לפיתוח 2025'!N104</f>
        <v>100000</v>
      </c>
      <c r="O101" s="112">
        <f>'תקציב החברה לפיתוח 2025'!O104</f>
        <v>0</v>
      </c>
      <c r="P101" s="112">
        <f>'תקציב החברה לפיתוח 2025'!P104</f>
        <v>1960</v>
      </c>
      <c r="Q101" s="112">
        <f>'תקציב החברה לפיתוח 2025'!Q104</f>
        <v>250000</v>
      </c>
      <c r="R101" s="112">
        <f>'תקציב החברה לפיתוח 2025'!R104</f>
        <v>0</v>
      </c>
      <c r="S101" s="112">
        <f>'תקציב החברה לפיתוח 2025'!S104</f>
        <v>250000</v>
      </c>
      <c r="T101" s="112">
        <f>'תקציב החברה לפיתוח 2025'!T104</f>
        <v>0</v>
      </c>
      <c r="U101" s="257">
        <f>'תקציב החברה לפיתוח 2025'!U104</f>
        <v>100000</v>
      </c>
      <c r="V101" s="112">
        <f>'תקציב החברה לפיתוח 2025'!V104</f>
        <v>0</v>
      </c>
      <c r="W101" s="112">
        <f>'תקציב החברה לפיתוח 2025'!W104</f>
        <v>0</v>
      </c>
      <c r="X101" s="112">
        <f>'תקציב החברה לפיתוח 2025'!X104</f>
        <v>0</v>
      </c>
      <c r="Y101" s="112">
        <f>'תקציב החברה לפיתוח 2025'!Y104</f>
        <v>100000</v>
      </c>
      <c r="Z101" s="112">
        <f>'תקציב החברה לפיתוח 2025'!Z104</f>
        <v>0</v>
      </c>
      <c r="AA101" s="112">
        <f>'תקציב החברה לפיתוח 2025'!AA104</f>
        <v>0</v>
      </c>
      <c r="AB101" s="202" t="str">
        <f>'תקציב החברה לפיתוח 2025'!AB104</f>
        <v>תכנון ראשוני. קרן ייעודית.</v>
      </c>
      <c r="AC101" s="3">
        <f>'תקציב החברה לפיתוח 2025'!AC104</f>
        <v>810000</v>
      </c>
      <c r="AD101" s="123"/>
      <c r="AE101" s="123"/>
      <c r="AF101" s="123"/>
      <c r="AG101" s="123"/>
      <c r="AH101" s="123"/>
      <c r="AI101" s="123"/>
      <c r="AJ101" s="123"/>
      <c r="AK101" s="505"/>
      <c r="AL101" s="505"/>
      <c r="AM101" s="505"/>
      <c r="AN101" s="505"/>
      <c r="AO101" s="505"/>
      <c r="AP101" s="505"/>
      <c r="AQ101" s="505"/>
      <c r="AR101" s="505"/>
      <c r="AS101" s="123"/>
      <c r="AT101" s="123"/>
      <c r="AU101" s="123"/>
      <c r="AV101" s="123"/>
      <c r="AW101" s="123"/>
      <c r="AX101" s="123"/>
      <c r="AY101" s="123"/>
    </row>
    <row r="102" spans="1:56" s="5" customFormat="1" ht="60">
      <c r="A102" s="112">
        <f t="shared" si="7"/>
        <v>89</v>
      </c>
      <c r="B102" s="19">
        <f>'תקציב החברה לפיתוח 2025'!B108</f>
        <v>20114</v>
      </c>
      <c r="C102" s="222" t="str">
        <f>'תקציב החברה לפיתוח 2025'!C108</f>
        <v>גנ"י נוספים גליל ים</v>
      </c>
      <c r="D102" s="112">
        <f>'תקציב החברה לפיתוח 2025'!D108</f>
        <v>9000000</v>
      </c>
      <c r="E102" s="112">
        <f>'תקציב החברה לפיתוח 2025'!E108</f>
        <v>5000000</v>
      </c>
      <c r="F102" s="112">
        <f>'תקציב החברה לפיתוח 2025'!F108</f>
        <v>4000000</v>
      </c>
      <c r="G102" s="112">
        <f>'תקציב החברה לפיתוח 2025'!G108</f>
        <v>0</v>
      </c>
      <c r="H102" s="112">
        <f>'תקציב החברה לפיתוח 2025'!H108</f>
        <v>0</v>
      </c>
      <c r="I102" s="112">
        <f>'תקציב החברה לפיתוח 2025'!I108</f>
        <v>0</v>
      </c>
      <c r="J102" s="112">
        <f>'תקציב החברה לפיתוח 2025'!J108</f>
        <v>0</v>
      </c>
      <c r="K102" s="112">
        <f>'תקציב החברה לפיתוח 2025'!K108</f>
        <v>0</v>
      </c>
      <c r="L102" s="112">
        <f>'תקציב החברה לפיתוח 2025'!L108</f>
        <v>0</v>
      </c>
      <c r="M102" s="112">
        <f>'תקציב החברה לפיתוח 2025'!M108</f>
        <v>0</v>
      </c>
      <c r="N102" s="112">
        <f>'תקציב החברה לפיתוח 2025'!N108</f>
        <v>6000000</v>
      </c>
      <c r="O102" s="112">
        <f>'תקציב החברה לפיתוח 2025'!O108</f>
        <v>3000000</v>
      </c>
      <c r="P102" s="112">
        <f>'תקציב החברה לפיתוח 2025'!P108</f>
        <v>0</v>
      </c>
      <c r="Q102" s="112">
        <f>'תקציב החברה לפיתוח 2025'!Q108</f>
        <v>0</v>
      </c>
      <c r="R102" s="112">
        <f>'תקציב החברה לפיתוח 2025'!R108</f>
        <v>0</v>
      </c>
      <c r="S102" s="112">
        <f>'תקציב החברה לפיתוח 2025'!S108</f>
        <v>0</v>
      </c>
      <c r="T102" s="112">
        <f>'תקציב החברה לפיתוח 2025'!T108</f>
        <v>0</v>
      </c>
      <c r="U102" s="257">
        <f>'תקציב החברה לפיתוח 2025'!U108</f>
        <v>6000000</v>
      </c>
      <c r="V102" s="112">
        <f>'תקציב החברה לפיתוח 2025'!V108</f>
        <v>6000000</v>
      </c>
      <c r="W102" s="112">
        <f>'תקציב החברה לפיתוח 2025'!W108</f>
        <v>0</v>
      </c>
      <c r="X102" s="112">
        <f>'תקציב החברה לפיתוח 2025'!X108</f>
        <v>0</v>
      </c>
      <c r="Y102" s="112">
        <f>'תקציב החברה לפיתוח 2025'!Y108</f>
        <v>0</v>
      </c>
      <c r="Z102" s="112">
        <f>'תקציב החברה לפיתוח 2025'!Z108</f>
        <v>0</v>
      </c>
      <c r="AA102" s="112">
        <f>'תקציב החברה לפיתוח 2025'!AA108</f>
        <v>0</v>
      </c>
      <c r="AB102" s="202" t="str">
        <f>'תקציב החברה לפיתוח 2025'!AB108</f>
        <v>בניית 3 כיתות גן  נוספים כולל מרחבים מוגנים לאור הגידול באוכלוסיה . רח' התזמורת גליל ים ב'. צפי איכלוס 9/2025.</v>
      </c>
      <c r="AC102" s="3">
        <f>'תקציב החברה לפיתוח 2025'!AC108</f>
        <v>810000</v>
      </c>
      <c r="AD102" s="123"/>
      <c r="AE102" s="123"/>
      <c r="AF102" s="123"/>
      <c r="AG102" s="123"/>
      <c r="AH102" s="123"/>
      <c r="AI102" s="123"/>
      <c r="AJ102" s="123"/>
      <c r="AK102" s="505"/>
      <c r="AL102" s="505"/>
      <c r="AM102" s="505"/>
      <c r="AN102" s="505"/>
      <c r="AO102" s="505"/>
      <c r="AP102" s="505"/>
      <c r="AQ102" s="505"/>
      <c r="AR102" s="505"/>
      <c r="AS102" s="123"/>
      <c r="AT102" s="123"/>
      <c r="AU102" s="123"/>
      <c r="AV102" s="123"/>
      <c r="AW102" s="123"/>
      <c r="AX102" s="123"/>
      <c r="AY102" s="123"/>
    </row>
    <row r="103" spans="1:56" s="5" customFormat="1">
      <c r="A103" s="112">
        <f t="shared" si="7"/>
        <v>90</v>
      </c>
      <c r="B103" s="19">
        <f>'תקציב החברה לפיתוח 2025'!B110</f>
        <v>20139</v>
      </c>
      <c r="C103" s="222" t="str">
        <f>'תקציב החברה לפיתוח 2025'!C110</f>
        <v>שיפוצים מוס"ח</v>
      </c>
      <c r="D103" s="112">
        <f>'תקציב החברה לפיתוח 2025'!D110</f>
        <v>27500000</v>
      </c>
      <c r="E103" s="112">
        <f>'תקציב החברה לפיתוח 2025'!E110</f>
        <v>27500000</v>
      </c>
      <c r="F103" s="112">
        <f>'תקציב החברה לפיתוח 2025'!F110</f>
        <v>0</v>
      </c>
      <c r="G103" s="112">
        <f>'תקציב החברה לפיתוח 2025'!G110</f>
        <v>25500000</v>
      </c>
      <c r="H103" s="112">
        <f>'תקציב החברה לפיתוח 2025'!H110</f>
        <v>6086728</v>
      </c>
      <c r="I103" s="112">
        <f>'תקציב החברה לפיתוח 2025'!I110</f>
        <v>0</v>
      </c>
      <c r="J103" s="112">
        <f>'תקציב החברה לפיתוח 2025'!J110</f>
        <v>1214071</v>
      </c>
      <c r="K103" s="112">
        <f>'תקציב החברה לפיתוח 2025'!K110</f>
        <v>1214071</v>
      </c>
      <c r="L103" s="112">
        <f>'תקציב החברה לפיתוח 2025'!L110</f>
        <v>7300799</v>
      </c>
      <c r="M103" s="112">
        <f>'תקציב החברה לפיתוח 2025'!M110</f>
        <v>20199201</v>
      </c>
      <c r="N103" s="112">
        <f>'תקציב החברה לפיתוח 2025'!N110</f>
        <v>0</v>
      </c>
      <c r="O103" s="112">
        <f>'תקציב החברה לפיתוח 2025'!O110</f>
        <v>0</v>
      </c>
      <c r="P103" s="112">
        <f>'תקציב החברה לפיתוח 2025'!P110</f>
        <v>18199201</v>
      </c>
      <c r="Q103" s="112">
        <f>'תקציב החברה לפיתוח 2025'!Q110</f>
        <v>0</v>
      </c>
      <c r="R103" s="112">
        <f>'תקציב החברה לפיתוח 2025'!R110</f>
        <v>2000000</v>
      </c>
      <c r="S103" s="112">
        <f>'תקציב החברה לפיתוח 2025'!S110</f>
        <v>2000000</v>
      </c>
      <c r="T103" s="112">
        <f>'תקציב החברה לפיתוח 2025'!T110</f>
        <v>0</v>
      </c>
      <c r="U103" s="257">
        <f>'תקציב החברה לפיתוח 2025'!U110</f>
        <v>0</v>
      </c>
      <c r="V103" s="112">
        <f>'תקציב החברה לפיתוח 2025'!V110</f>
        <v>0</v>
      </c>
      <c r="W103" s="112">
        <f>'תקציב החברה לפיתוח 2025'!W110</f>
        <v>0</v>
      </c>
      <c r="X103" s="112">
        <f>'תקציב החברה לפיתוח 2025'!X110</f>
        <v>0</v>
      </c>
      <c r="Y103" s="112">
        <f>'תקציב החברה לפיתוח 2025'!Y110</f>
        <v>0</v>
      </c>
      <c r="Z103" s="112">
        <f>'תקציב החברה לפיתוח 2025'!Z110</f>
        <v>0</v>
      </c>
      <c r="AA103" s="112">
        <f>'תקציב החברה לפיתוח 2025'!AA110</f>
        <v>0</v>
      </c>
      <c r="AB103" s="202" t="str">
        <f>'תקציב החברה לפיתוח 2025'!AB110</f>
        <v>שיפוצים מוס"ח היערכות לשנה"ל.</v>
      </c>
      <c r="AC103" s="3">
        <f>'תקציב החברה לפיתוח 2025'!AC110</f>
        <v>810000</v>
      </c>
      <c r="AD103" s="123"/>
      <c r="AE103" s="123"/>
      <c r="AF103" s="123"/>
      <c r="AG103" s="123"/>
      <c r="AH103" s="123"/>
      <c r="AI103" s="123"/>
      <c r="AJ103" s="123"/>
      <c r="AK103" s="505"/>
      <c r="AL103" s="505"/>
      <c r="AM103" s="505"/>
      <c r="AN103" s="505"/>
      <c r="AO103" s="505"/>
      <c r="AP103" s="505"/>
      <c r="AQ103" s="505"/>
      <c r="AR103" s="505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</row>
    <row r="104" spans="1:56" s="5" customFormat="1" ht="45">
      <c r="A104" s="112">
        <f t="shared" si="7"/>
        <v>91</v>
      </c>
      <c r="B104" s="19">
        <f>'תקציב החברה לפיתוח 2025'!B111</f>
        <v>20148</v>
      </c>
      <c r="C104" s="222" t="str">
        <f>'תקציב החברה לפיתוח 2025'!C111</f>
        <v>גנ"י גליל ים ג'</v>
      </c>
      <c r="D104" s="112">
        <f>'תקציב החברה לפיתוח 2025'!D111</f>
        <v>500000</v>
      </c>
      <c r="E104" s="112">
        <f>'תקציב החברה לפיתוח 2025'!E111</f>
        <v>0</v>
      </c>
      <c r="F104" s="112">
        <f>'תקציב החברה לפיתוח 2025'!F111</f>
        <v>500000</v>
      </c>
      <c r="G104" s="112">
        <f>'תקציב החברה לפיתוח 2025'!G111</f>
        <v>0</v>
      </c>
      <c r="H104" s="112">
        <f>'תקציב החברה לפיתוח 2025'!H111</f>
        <v>0</v>
      </c>
      <c r="I104" s="112">
        <f>'תקציב החברה לפיתוח 2025'!I111</f>
        <v>0</v>
      </c>
      <c r="J104" s="112">
        <f>'תקציב החברה לפיתוח 2025'!J111</f>
        <v>0</v>
      </c>
      <c r="K104" s="112">
        <f>'תקציב החברה לפיתוח 2025'!K111</f>
        <v>0</v>
      </c>
      <c r="L104" s="112">
        <f>'תקציב החברה לפיתוח 2025'!L111</f>
        <v>0</v>
      </c>
      <c r="M104" s="112">
        <f>'תקציב החברה לפיתוח 2025'!M111</f>
        <v>0</v>
      </c>
      <c r="N104" s="257">
        <f>'תקציב החברה לפיתוח 2025'!N111</f>
        <v>500000</v>
      </c>
      <c r="O104" s="112">
        <f>'תקציב החברה לפיתוח 2025'!O111</f>
        <v>0</v>
      </c>
      <c r="P104" s="112">
        <f>'תקציב החברה לפיתוח 2025'!P111</f>
        <v>0</v>
      </c>
      <c r="Q104" s="112">
        <f>'תקציב החברה לפיתוח 2025'!Q111</f>
        <v>0</v>
      </c>
      <c r="R104" s="112">
        <f>'תקציב החברה לפיתוח 2025'!R111</f>
        <v>0</v>
      </c>
      <c r="S104" s="112">
        <f>'תקציב החברה לפיתוח 2025'!S111</f>
        <v>0</v>
      </c>
      <c r="T104" s="112">
        <f>'תקציב החברה לפיתוח 2025'!T111</f>
        <v>0</v>
      </c>
      <c r="U104" s="257">
        <f>'תקציב החברה לפיתוח 2025'!U111</f>
        <v>500000</v>
      </c>
      <c r="V104" s="112">
        <f>'תקציב החברה לפיתוח 2025'!V111</f>
        <v>0</v>
      </c>
      <c r="W104" s="112">
        <f>'תקציב החברה לפיתוח 2025'!W111</f>
        <v>0</v>
      </c>
      <c r="X104" s="112">
        <f>'תקציב החברה לפיתוח 2025'!X111</f>
        <v>0</v>
      </c>
      <c r="Y104" s="112">
        <f>'תקציב החברה לפיתוח 2025'!Y111</f>
        <v>500000</v>
      </c>
      <c r="Z104" s="112">
        <f>'תקציב החברה לפיתוח 2025'!Z111</f>
        <v>0</v>
      </c>
      <c r="AA104" s="112">
        <f>'תקציב החברה לפיתוח 2025'!AA111</f>
        <v>0</v>
      </c>
      <c r="AB104" s="202" t="str">
        <f>'תקציב החברה לפיתוח 2025'!AB111</f>
        <v>תכנון לגנ"י במגרשים גליל ים ג'. 200,201,205 לביצוע 2026. 202,204 לביצוע 2027.</v>
      </c>
      <c r="AC104" s="3">
        <f>'תקציב החברה לפיתוח 2025'!AC111</f>
        <v>810000</v>
      </c>
      <c r="AD104" s="123"/>
      <c r="AE104" s="123"/>
      <c r="AF104" s="123"/>
      <c r="AG104" s="123"/>
      <c r="AH104" s="123"/>
      <c r="AI104" s="123"/>
      <c r="AJ104" s="123"/>
      <c r="AK104" s="505"/>
      <c r="AL104" s="505"/>
      <c r="AM104" s="505"/>
      <c r="AN104" s="505"/>
      <c r="AO104" s="505"/>
      <c r="AP104" s="505"/>
      <c r="AQ104" s="505"/>
      <c r="AR104" s="505"/>
      <c r="AS104" s="123"/>
      <c r="AT104" s="123"/>
      <c r="AU104" s="123"/>
      <c r="AV104" s="123"/>
      <c r="AW104" s="123"/>
      <c r="AX104" s="123"/>
      <c r="AY104" s="123"/>
    </row>
    <row r="105" spans="1:56" s="40" customFormat="1">
      <c r="A105" s="236"/>
      <c r="B105" s="20"/>
      <c r="C105" s="270" t="s">
        <v>1335</v>
      </c>
      <c r="D105" s="236">
        <f>SUM(D77:D104)</f>
        <v>1451263152</v>
      </c>
      <c r="E105" s="236">
        <f t="shared" ref="E105:AA105" si="8">SUM(E77:E104)</f>
        <v>1434741240</v>
      </c>
      <c r="F105" s="236">
        <f t="shared" si="8"/>
        <v>16521912</v>
      </c>
      <c r="G105" s="236">
        <f t="shared" si="8"/>
        <v>892680534</v>
      </c>
      <c r="H105" s="236">
        <f t="shared" si="8"/>
        <v>834082231</v>
      </c>
      <c r="I105" s="236">
        <f t="shared" si="8"/>
        <v>0</v>
      </c>
      <c r="J105" s="236">
        <f t="shared" si="8"/>
        <v>30636370</v>
      </c>
      <c r="K105" s="236">
        <f t="shared" si="8"/>
        <v>30636370</v>
      </c>
      <c r="L105" s="236">
        <f t="shared" si="8"/>
        <v>864718601</v>
      </c>
      <c r="M105" s="236">
        <f t="shared" si="8"/>
        <v>108458031</v>
      </c>
      <c r="N105" s="236">
        <f t="shared" si="8"/>
        <v>95375583</v>
      </c>
      <c r="O105" s="236">
        <f t="shared" si="8"/>
        <v>382710937</v>
      </c>
      <c r="P105" s="236">
        <f t="shared" si="8"/>
        <v>27961933</v>
      </c>
      <c r="Q105" s="236">
        <f t="shared" si="8"/>
        <v>58296098</v>
      </c>
      <c r="R105" s="236">
        <f t="shared" si="8"/>
        <v>22200000</v>
      </c>
      <c r="S105" s="236">
        <f t="shared" si="8"/>
        <v>80496098</v>
      </c>
      <c r="T105" s="236">
        <f t="shared" si="8"/>
        <v>0</v>
      </c>
      <c r="U105" s="236">
        <f t="shared" si="8"/>
        <v>95375583</v>
      </c>
      <c r="V105" s="236">
        <f t="shared" si="8"/>
        <v>84843325</v>
      </c>
      <c r="W105" s="236">
        <f t="shared" si="8"/>
        <v>0</v>
      </c>
      <c r="X105" s="236">
        <f t="shared" si="8"/>
        <v>0</v>
      </c>
      <c r="Y105" s="236">
        <f t="shared" si="8"/>
        <v>600000</v>
      </c>
      <c r="Z105" s="236">
        <f t="shared" si="8"/>
        <v>0</v>
      </c>
      <c r="AA105" s="236">
        <f t="shared" si="8"/>
        <v>9932258</v>
      </c>
      <c r="AB105" s="263"/>
      <c r="AC105" s="20"/>
      <c r="AD105" s="232"/>
      <c r="AE105" s="232"/>
      <c r="AF105" s="232"/>
      <c r="AG105" s="232"/>
      <c r="AH105" s="232"/>
      <c r="AI105" s="232"/>
      <c r="AJ105" s="232"/>
      <c r="AK105" s="671"/>
      <c r="AL105" s="671"/>
      <c r="AM105" s="671"/>
      <c r="AN105" s="671"/>
      <c r="AO105" s="671"/>
      <c r="AP105" s="671"/>
      <c r="AQ105" s="671"/>
      <c r="AR105" s="671"/>
      <c r="AS105" s="232"/>
      <c r="AT105" s="232"/>
      <c r="AU105" s="232"/>
      <c r="AV105" s="232"/>
      <c r="AW105" s="232"/>
      <c r="AX105" s="232"/>
      <c r="AY105" s="232"/>
    </row>
    <row r="106" spans="1:56" s="5" customFormat="1">
      <c r="A106" s="112"/>
      <c r="B106" s="19"/>
      <c r="C106" s="208">
        <v>82</v>
      </c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257"/>
      <c r="O106" s="112"/>
      <c r="P106" s="112"/>
      <c r="Q106" s="112"/>
      <c r="R106" s="112"/>
      <c r="S106" s="112"/>
      <c r="T106" s="112"/>
      <c r="U106" s="257"/>
      <c r="V106" s="112"/>
      <c r="W106" s="112"/>
      <c r="X106" s="112"/>
      <c r="Y106" s="112"/>
      <c r="Z106" s="112"/>
      <c r="AA106" s="112"/>
      <c r="AB106" s="202"/>
      <c r="AC106" s="3"/>
      <c r="AD106" s="123"/>
      <c r="AE106" s="123"/>
      <c r="AF106" s="123"/>
      <c r="AG106" s="123"/>
      <c r="AH106" s="123"/>
      <c r="AI106" s="123"/>
      <c r="AJ106" s="123"/>
      <c r="AK106" s="505"/>
      <c r="AL106" s="505"/>
      <c r="AM106" s="505"/>
      <c r="AN106" s="505"/>
      <c r="AO106" s="505"/>
      <c r="AP106" s="505"/>
      <c r="AQ106" s="505"/>
      <c r="AR106" s="505"/>
      <c r="AS106" s="123"/>
      <c r="AT106" s="123"/>
      <c r="AU106" s="123"/>
      <c r="AV106" s="123"/>
      <c r="AW106" s="123"/>
      <c r="AX106" s="123"/>
      <c r="AY106" s="123"/>
    </row>
    <row r="107" spans="1:56" s="5" customFormat="1" ht="90">
      <c r="A107" s="112">
        <f>1+A104</f>
        <v>92</v>
      </c>
      <c r="B107" s="127">
        <f>'תקציב החברה לפיתוח 2025'!B24</f>
        <v>1834</v>
      </c>
      <c r="C107" s="222" t="str">
        <f>'תקציב החברה לפיתוח 2025'!C24</f>
        <v>מתנ"ס נווה ישראל</v>
      </c>
      <c r="D107" s="112">
        <f>'תקציב החברה לפיתוח 2025'!D24</f>
        <v>65050000</v>
      </c>
      <c r="E107" s="112">
        <f>'תקציב החברה לפיתוח 2025'!E24</f>
        <v>65050000</v>
      </c>
      <c r="F107" s="112">
        <f>'תקציב החברה לפיתוח 2025'!F24</f>
        <v>0</v>
      </c>
      <c r="G107" s="112">
        <f>'תקציב החברה לפיתוח 2025'!G24</f>
        <v>64803780</v>
      </c>
      <c r="H107" s="112">
        <f>'תקציב החברה לפיתוח 2025'!H24</f>
        <v>63925209</v>
      </c>
      <c r="I107" s="112">
        <f>'תקציב החברה לפיתוח 2025'!I24</f>
        <v>0</v>
      </c>
      <c r="J107" s="112">
        <f>'תקציב החברה לפיתוח 2025'!J24</f>
        <v>367749</v>
      </c>
      <c r="K107" s="112">
        <f>'תקציב החברה לפיתוח 2025'!K24</f>
        <v>367749</v>
      </c>
      <c r="L107" s="112">
        <f>'תקציב החברה לפיתוח 2025'!L24</f>
        <v>64292958</v>
      </c>
      <c r="M107" s="112">
        <f>'תקציב החברה לפיתוח 2025'!M24</f>
        <v>757042</v>
      </c>
      <c r="N107" s="112">
        <f>'תקציב החברה לפיתוח 2025'!N24</f>
        <v>0</v>
      </c>
      <c r="O107" s="112">
        <f>'תקציב החברה לפיתוח 2025'!O24</f>
        <v>0</v>
      </c>
      <c r="P107" s="112">
        <f>'תקציב החברה לפיתוח 2025'!P24</f>
        <v>510822</v>
      </c>
      <c r="Q107" s="112">
        <f>'תקציב החברה לפיתוח 2025'!Q24</f>
        <v>246220</v>
      </c>
      <c r="R107" s="112">
        <f>'תקציב החברה לפיתוח 2025'!R24</f>
        <v>0</v>
      </c>
      <c r="S107" s="112">
        <f>'תקציב החברה לפיתוח 2025'!S24</f>
        <v>246220</v>
      </c>
      <c r="T107" s="112">
        <f>'תקציב החברה לפיתוח 2025'!T24</f>
        <v>0</v>
      </c>
      <c r="U107" s="257">
        <f>'תקציב החברה לפיתוח 2025'!U24</f>
        <v>0</v>
      </c>
      <c r="V107" s="112">
        <f>'תקציב החברה לפיתוח 2025'!V24</f>
        <v>0</v>
      </c>
      <c r="W107" s="112">
        <f>'תקציב החברה לפיתוח 2025'!W24</f>
        <v>0</v>
      </c>
      <c r="X107" s="112">
        <f>'תקציב החברה לפיתוח 2025'!X24</f>
        <v>0</v>
      </c>
      <c r="Y107" s="112">
        <f>'תקציב החברה לפיתוח 2025'!Y24</f>
        <v>0</v>
      </c>
      <c r="Z107" s="112">
        <f>'תקציב החברה לפיתוח 2025'!Z24</f>
        <v>0</v>
      </c>
      <c r="AA107" s="112">
        <f>'תקציב החברה לפיתוח 2025'!AA24</f>
        <v>0</v>
      </c>
      <c r="AB107" s="496" t="str">
        <f>'תקציב החברה לפיתוח 2025'!AB24</f>
        <v>מתנ"ס קהילתי  בשטח של כ-4000 מ"ר הכולל גלריה מקומית, ספרייה חדשה,  חדרי חוגים, מועדון גמלאים בית קפה כולל הצטיידות. חן סופיים. מימון רמ"י ( מוס"צ מכרז "הבריגדה").</v>
      </c>
      <c r="AC107" s="127">
        <f>'תקציב החברה לפיתוח 2025'!AC24</f>
        <v>824000</v>
      </c>
      <c r="AD107" s="123"/>
      <c r="AE107" s="123"/>
      <c r="AF107" s="123"/>
      <c r="AG107" s="123"/>
      <c r="AH107" s="123"/>
      <c r="AI107" s="123"/>
      <c r="AJ107" s="123"/>
      <c r="AK107" s="505"/>
      <c r="AL107" s="505"/>
      <c r="AM107" s="505"/>
      <c r="AN107" s="505"/>
      <c r="AO107" s="505"/>
      <c r="AP107" s="505"/>
      <c r="AQ107" s="505"/>
      <c r="AR107" s="505"/>
      <c r="AS107" s="123"/>
      <c r="AT107" s="123"/>
      <c r="AU107" s="123"/>
      <c r="AV107" s="123"/>
      <c r="AW107" s="123"/>
      <c r="AX107" s="123"/>
      <c r="AY107" s="123"/>
      <c r="AZ107" s="128"/>
      <c r="BA107" s="128"/>
      <c r="BB107" s="128"/>
      <c r="BC107" s="128"/>
      <c r="BD107" s="128"/>
    </row>
    <row r="108" spans="1:56" s="5" customFormat="1" ht="75">
      <c r="A108" s="112">
        <f t="shared" ref="A108:A123" si="9">1+A107</f>
        <v>93</v>
      </c>
      <c r="B108" s="127">
        <f>'תקציב החברה לפיתוח 2025'!B25</f>
        <v>1835</v>
      </c>
      <c r="C108" s="222" t="str">
        <f>'תקציב החברה לפיתוח 2025'!C25</f>
        <v>פיתוח מתחם מתנ"ס נווה עמל ומגרשי טניס</v>
      </c>
      <c r="D108" s="112">
        <f>'תקציב החברה לפיתוח 2025'!D25</f>
        <v>51500000</v>
      </c>
      <c r="E108" s="112">
        <f>'תקציב החברה לפיתוח 2025'!E25</f>
        <v>51500000</v>
      </c>
      <c r="F108" s="112">
        <f>'תקציב החברה לפיתוח 2025'!F25</f>
        <v>0</v>
      </c>
      <c r="G108" s="112">
        <f>'תקציב החברה לפיתוח 2025'!G25</f>
        <v>23400000</v>
      </c>
      <c r="H108" s="112">
        <f>'תקציב החברה לפיתוח 2025'!H25</f>
        <v>21450370</v>
      </c>
      <c r="I108" s="112">
        <f>'תקציב החברה לפיתוח 2025'!I25</f>
        <v>0</v>
      </c>
      <c r="J108" s="112">
        <f>'תקציב החברה לפיתוח 2025'!J25</f>
        <v>624783</v>
      </c>
      <c r="K108" s="112">
        <f>'תקציב החברה לפיתוח 2025'!K25</f>
        <v>624783</v>
      </c>
      <c r="L108" s="112">
        <f>'תקציב החברה לפיתוח 2025'!L25</f>
        <v>22075153</v>
      </c>
      <c r="M108" s="112">
        <f>'תקציב החברה לפיתוח 2025'!M25</f>
        <v>3474847</v>
      </c>
      <c r="N108" s="112">
        <f>'תקציב החברה לפיתוח 2025'!N25</f>
        <v>1000000</v>
      </c>
      <c r="O108" s="112">
        <f>'תקציב החברה לפיתוח 2025'!O25</f>
        <v>24950000</v>
      </c>
      <c r="P108" s="112">
        <f>'תקציב החברה לפיתוח 2025'!P25</f>
        <v>1324847</v>
      </c>
      <c r="Q108" s="112">
        <f>'תקציב החברה לפיתוח 2025'!Q25</f>
        <v>2150000</v>
      </c>
      <c r="R108" s="112">
        <f>'תקציב החברה לפיתוח 2025'!R25</f>
        <v>0</v>
      </c>
      <c r="S108" s="112">
        <f>'תקציב החברה לפיתוח 2025'!S25</f>
        <v>2150000</v>
      </c>
      <c r="T108" s="112">
        <f>'תקציב החברה לפיתוח 2025'!T25</f>
        <v>0</v>
      </c>
      <c r="U108" s="257">
        <f>'תקציב החברה לפיתוח 2025'!U25</f>
        <v>1000000</v>
      </c>
      <c r="V108" s="112">
        <f>'תקציב החברה לפיתוח 2025'!V25</f>
        <v>1000000</v>
      </c>
      <c r="W108" s="112">
        <f>'תקציב החברה לפיתוח 2025'!W25</f>
        <v>0</v>
      </c>
      <c r="X108" s="112">
        <f>'תקציב החברה לפיתוח 2025'!X25</f>
        <v>0</v>
      </c>
      <c r="Y108" s="112">
        <f>'תקציב החברה לפיתוח 2025'!Y25</f>
        <v>0</v>
      </c>
      <c r="Z108" s="112">
        <f>'תקציב החברה לפיתוח 2025'!Z25</f>
        <v>0</v>
      </c>
      <c r="AA108" s="112">
        <f>'תקציב החברה לפיתוח 2025'!AA25</f>
        <v>0</v>
      </c>
      <c r="AB108" s="202" t="str">
        <f>'תקציב החברה לפיתוח 2025'!AB25</f>
        <v xml:space="preserve"> הקמת מבנה טניס חדש, שיפוץ מבני מתנ"ס קיים קירוי 2 מגרשי טניס ופיתוח סביבתי למתחם .מימון רמ"י (מוס"צ מכרז "ק. שחקים, גליל ים ג'").</v>
      </c>
      <c r="AC108" s="127">
        <f>'תקציב החברה לפיתוח 2025'!AC25</f>
        <v>824000</v>
      </c>
      <c r="AD108" s="123"/>
      <c r="AE108" s="123"/>
      <c r="AF108" s="123"/>
      <c r="AG108" s="123"/>
      <c r="AH108" s="123"/>
      <c r="AI108" s="123"/>
      <c r="AJ108" s="123"/>
      <c r="AK108" s="505"/>
      <c r="AL108" s="505"/>
      <c r="AM108" s="505"/>
      <c r="AN108" s="505"/>
      <c r="AO108" s="505"/>
      <c r="AP108" s="505"/>
      <c r="AQ108" s="505"/>
      <c r="AR108" s="505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</row>
    <row r="109" spans="1:56" s="5" customFormat="1" ht="45">
      <c r="A109" s="112">
        <f t="shared" si="9"/>
        <v>94</v>
      </c>
      <c r="B109" s="127">
        <f>'תקציב החברה לפיתוח 2025'!B44</f>
        <v>2017</v>
      </c>
      <c r="C109" s="207" t="str">
        <f>'תקציב החברה לפיתוח 2025'!C44</f>
        <v xml:space="preserve">הקמת  בית קהילה רחוב המסילה  </v>
      </c>
      <c r="D109" s="112">
        <f>'תקציב החברה לפיתוח 2025'!D44</f>
        <v>37100000</v>
      </c>
      <c r="E109" s="112">
        <f>'תקציב החברה לפיתוח 2025'!E44</f>
        <v>37100000</v>
      </c>
      <c r="F109" s="112">
        <f>'תקציב החברה לפיתוח 2025'!F44</f>
        <v>0</v>
      </c>
      <c r="G109" s="112">
        <f>'תקציב החברה לפיתוח 2025'!G44</f>
        <v>31100000</v>
      </c>
      <c r="H109" s="112">
        <f>'תקציב החברה לפיתוח 2025'!H44</f>
        <v>29864639</v>
      </c>
      <c r="I109" s="112">
        <f>'תקציב החברה לפיתוח 2025'!I44</f>
        <v>0</v>
      </c>
      <c r="J109" s="112">
        <f>'תקציב החברה לפיתוח 2025'!J44</f>
        <v>720031</v>
      </c>
      <c r="K109" s="112">
        <f>'תקציב החברה לפיתוח 2025'!K44</f>
        <v>720031</v>
      </c>
      <c r="L109" s="112">
        <f>'תקציב החברה לפיתוח 2025'!L44</f>
        <v>30584670</v>
      </c>
      <c r="M109" s="112">
        <f>'תקציב החברה לפיתוח 2025'!M44</f>
        <v>1515330</v>
      </c>
      <c r="N109" s="112">
        <f>'תקציב החברה לפיתוח 2025'!N44</f>
        <v>5000000</v>
      </c>
      <c r="O109" s="112">
        <f>'תקציב החברה לפיתוח 2025'!O44</f>
        <v>0</v>
      </c>
      <c r="P109" s="112">
        <f>'תקציב החברה לפיתוח 2025'!P44</f>
        <v>515330</v>
      </c>
      <c r="Q109" s="112">
        <f>'תקציב החברה לפיתוח 2025'!Q44</f>
        <v>1000000</v>
      </c>
      <c r="R109" s="112">
        <f>'תקציב החברה לפיתוח 2025'!R44</f>
        <v>0</v>
      </c>
      <c r="S109" s="112">
        <f>'תקציב החברה לפיתוח 2025'!S44</f>
        <v>1000000</v>
      </c>
      <c r="T109" s="112">
        <f>'תקציב החברה לפיתוח 2025'!T44</f>
        <v>0</v>
      </c>
      <c r="U109" s="257">
        <f>'תקציב החברה לפיתוח 2025'!U44</f>
        <v>5000000</v>
      </c>
      <c r="V109" s="112">
        <f>'תקציב החברה לפיתוח 2025'!V44</f>
        <v>4253354</v>
      </c>
      <c r="W109" s="112">
        <f>'תקציב החברה לפיתוח 2025'!W44</f>
        <v>0</v>
      </c>
      <c r="X109" s="112">
        <f>'תקציב החברה לפיתוח 2025'!X44</f>
        <v>0</v>
      </c>
      <c r="Y109" s="112">
        <f>'תקציב החברה לפיתוח 2025'!Y44</f>
        <v>0</v>
      </c>
      <c r="Z109" s="112">
        <f>'תקציב החברה לפיתוח 2025'!Z44</f>
        <v>0</v>
      </c>
      <c r="AA109" s="112">
        <f>'תקציב החברה לפיתוח 2025'!AA44</f>
        <v>746646</v>
      </c>
      <c r="AB109" s="222" t="str">
        <f>'תקציב החברה לפיתוח 2025'!AB44</f>
        <v>הקמת מתנ"ס ברחוב המסילה כולל הצטיידות. מימון רמ"י ( מוס"צ מכרז אולפני קסם).</v>
      </c>
      <c r="AC109" s="127">
        <f>'תקציב החברה לפיתוח 2025'!AC44</f>
        <v>824000</v>
      </c>
      <c r="AD109" s="123"/>
      <c r="AE109" s="123"/>
      <c r="AF109" s="123"/>
      <c r="AG109" s="123"/>
      <c r="AH109" s="123"/>
      <c r="AI109" s="123"/>
      <c r="AJ109" s="123"/>
      <c r="AK109" s="505"/>
      <c r="AL109" s="505"/>
      <c r="AM109" s="505"/>
      <c r="AN109" s="505"/>
      <c r="AO109" s="505"/>
      <c r="AP109" s="505"/>
      <c r="AQ109" s="505"/>
      <c r="AR109" s="505"/>
      <c r="AS109" s="123"/>
      <c r="AT109" s="123"/>
      <c r="AU109" s="123"/>
      <c r="AV109" s="123"/>
      <c r="AW109" s="123"/>
      <c r="AX109" s="123"/>
      <c r="AY109" s="123"/>
    </row>
    <row r="110" spans="1:56" s="212" customFormat="1" ht="30">
      <c r="A110" s="112">
        <f t="shared" si="9"/>
        <v>95</v>
      </c>
      <c r="B110" s="19">
        <f>'תקציב החברה לפיתוח 2025'!B51</f>
        <v>2099</v>
      </c>
      <c r="C110" s="222" t="str">
        <f>'תקציב החברה לפיתוח 2025'!C51</f>
        <v>סינמטק בבנין עיריה חדש</v>
      </c>
      <c r="D110" s="112">
        <f>'תקציב החברה לפיתוח 2025'!D51</f>
        <v>20860000</v>
      </c>
      <c r="E110" s="112">
        <f>'תקציב החברה לפיתוח 2025'!E51</f>
        <v>20860000</v>
      </c>
      <c r="F110" s="112">
        <f>'תקציב החברה לפיתוח 2025'!F51</f>
        <v>0</v>
      </c>
      <c r="G110" s="112">
        <f>'תקציב החברה לפיתוח 2025'!G51</f>
        <v>20860000</v>
      </c>
      <c r="H110" s="112">
        <f>'תקציב החברה לפיתוח 2025'!H51</f>
        <v>19209264</v>
      </c>
      <c r="I110" s="112">
        <f>'תקציב החברה לפיתוח 2025'!I51</f>
        <v>0</v>
      </c>
      <c r="J110" s="112">
        <f>'תקציב החברה לפיתוח 2025'!J51</f>
        <v>650483</v>
      </c>
      <c r="K110" s="112">
        <f>'תקציב החברה לפיתוח 2025'!K51</f>
        <v>650483</v>
      </c>
      <c r="L110" s="112">
        <f>'תקציב החברה לפיתוח 2025'!L51</f>
        <v>19859747</v>
      </c>
      <c r="M110" s="112">
        <f>'תקציב החברה לפיתוח 2025'!M51</f>
        <v>1000253</v>
      </c>
      <c r="N110" s="112">
        <f>'תקציב החברה לפיתוח 2025'!N51</f>
        <v>0</v>
      </c>
      <c r="O110" s="112">
        <f>'תקציב החברה לפיתוח 2025'!O51</f>
        <v>0</v>
      </c>
      <c r="P110" s="112">
        <f>'תקציב החברה לפיתוח 2025'!P51</f>
        <v>1000253</v>
      </c>
      <c r="Q110" s="112">
        <f>'תקציב החברה לפיתוח 2025'!Q51</f>
        <v>0</v>
      </c>
      <c r="R110" s="112">
        <f>'תקציב החברה לפיתוח 2025'!R51</f>
        <v>0</v>
      </c>
      <c r="S110" s="112">
        <f>'תקציב החברה לפיתוח 2025'!S51</f>
        <v>0</v>
      </c>
      <c r="T110" s="112">
        <f>'תקציב החברה לפיתוח 2025'!T51</f>
        <v>0</v>
      </c>
      <c r="U110" s="257">
        <f>'תקציב החברה לפיתוח 2025'!U51</f>
        <v>0</v>
      </c>
      <c r="V110" s="112">
        <f>'תקציב החברה לפיתוח 2025'!V51</f>
        <v>0</v>
      </c>
      <c r="W110" s="112">
        <f>'תקציב החברה לפיתוח 2025'!W51</f>
        <v>0</v>
      </c>
      <c r="X110" s="112">
        <f>'תקציב החברה לפיתוח 2025'!X51</f>
        <v>0</v>
      </c>
      <c r="Y110" s="112">
        <f>'תקציב החברה לפיתוח 2025'!Y51</f>
        <v>0</v>
      </c>
      <c r="Z110" s="112">
        <f>'תקציב החברה לפיתוח 2025'!Z51</f>
        <v>0</v>
      </c>
      <c r="AA110" s="127">
        <f>'תקציב החברה לפיתוח 2025'!AA51</f>
        <v>0</v>
      </c>
      <c r="AB110" s="222" t="str">
        <f>'תקציב החברה לפיתוח 2025'!AB51</f>
        <v>הכשרת סינמטק בבניין העיריה החדש. מימון מ. הפיס.</v>
      </c>
      <c r="AC110" s="127">
        <f>'תקציב החברה לפיתוח 2025'!AC51</f>
        <v>826000</v>
      </c>
      <c r="AD110" s="123"/>
      <c r="AE110" s="123"/>
      <c r="AF110" s="123"/>
      <c r="AG110" s="123"/>
      <c r="AH110" s="123"/>
      <c r="AI110" s="123"/>
      <c r="AJ110" s="123"/>
      <c r="AK110" s="505"/>
      <c r="AL110" s="505"/>
      <c r="AM110" s="505"/>
      <c r="AN110" s="505"/>
      <c r="AO110" s="505"/>
      <c r="AP110" s="505"/>
      <c r="AQ110" s="505"/>
      <c r="AR110" s="505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</row>
    <row r="111" spans="1:56" s="212" customFormat="1" ht="60">
      <c r="A111" s="112">
        <f t="shared" si="9"/>
        <v>96</v>
      </c>
      <c r="B111" s="19">
        <f>'תקציב החברה לפיתוח 2025'!B89</f>
        <v>20016</v>
      </c>
      <c r="C111" s="202" t="str">
        <f>'תקציב החברה לפיתוח 2025'!C89</f>
        <v>מרכז תרבות בנושא האקלים וספריה עירונית ברחוב בן גוריון (*) עדכון</v>
      </c>
      <c r="D111" s="112">
        <f>'תקציב החברה לפיתוח 2025'!D89</f>
        <v>2700000</v>
      </c>
      <c r="E111" s="112">
        <f>'תקציב החברה לפיתוח 2025'!E89</f>
        <v>2500000</v>
      </c>
      <c r="F111" s="112">
        <f>'תקציב החברה לפיתוח 2025'!F89</f>
        <v>200000</v>
      </c>
      <c r="G111" s="112">
        <f>'תקציב החברה לפיתוח 2025'!G89</f>
        <v>1000000</v>
      </c>
      <c r="H111" s="112">
        <f>'תקציב החברה לפיתוח 2025'!H89</f>
        <v>983235</v>
      </c>
      <c r="I111" s="112">
        <f>'תקציב החברה לפיתוח 2025'!I89</f>
        <v>0</v>
      </c>
      <c r="J111" s="112">
        <f>'תקציב החברה לפיתוח 2025'!J89</f>
        <v>15484</v>
      </c>
      <c r="K111" s="112">
        <f>'תקציב החברה לפיתוח 2025'!K89</f>
        <v>15484</v>
      </c>
      <c r="L111" s="112">
        <f>'תקציב החברה לפיתוח 2025'!L89</f>
        <v>998719</v>
      </c>
      <c r="M111" s="112">
        <f>'תקציב החברה לפיתוח 2025'!M89</f>
        <v>701281</v>
      </c>
      <c r="N111" s="112">
        <f>'תקציב החברה לפיתוח 2025'!N89</f>
        <v>500000</v>
      </c>
      <c r="O111" s="112">
        <f>'תקציב החברה לפיתוח 2025'!O89</f>
        <v>500000</v>
      </c>
      <c r="P111" s="112">
        <f>'תקציב החברה לפיתוח 2025'!P89</f>
        <v>1281</v>
      </c>
      <c r="Q111" s="112">
        <f>'תקציב החברה לפיתוח 2025'!Q89</f>
        <v>700000</v>
      </c>
      <c r="R111" s="112">
        <f>'תקציב החברה לפיתוח 2025'!R89</f>
        <v>0</v>
      </c>
      <c r="S111" s="112">
        <f>'תקציב החברה לפיתוח 2025'!S89</f>
        <v>700000</v>
      </c>
      <c r="T111" s="112">
        <f>'תקציב החברה לפיתוח 2025'!T89</f>
        <v>0</v>
      </c>
      <c r="U111" s="257">
        <f>'תקציב החברה לפיתוח 2025'!U89</f>
        <v>500000</v>
      </c>
      <c r="V111" s="112">
        <f>'תקציב החברה לפיתוח 2025'!V89</f>
        <v>500000</v>
      </c>
      <c r="W111" s="112">
        <f>'תקציב החברה לפיתוח 2025'!W89</f>
        <v>0</v>
      </c>
      <c r="X111" s="112">
        <f>'תקציב החברה לפיתוח 2025'!X89</f>
        <v>0</v>
      </c>
      <c r="Y111" s="112">
        <f>'תקציב החברה לפיתוח 2025'!Y89</f>
        <v>0</v>
      </c>
      <c r="Z111" s="112">
        <f>'תקציב החברה לפיתוח 2025'!Z89</f>
        <v>0</v>
      </c>
      <c r="AA111" s="127">
        <f>'תקציב החברה לפיתוח 2025'!AA89</f>
        <v>0</v>
      </c>
      <c r="AB111" s="202" t="str">
        <f>'תקציב החברה לפיתוח 2025'!AB89</f>
        <v>הקמת מרכז תרבות כולל ספריה עירונית  ופעילויות חינוכיות. עדכון שם.</v>
      </c>
      <c r="AC111" s="3">
        <f>'תקציב החברה לפיתוח 2025'!AC89</f>
        <v>826000</v>
      </c>
      <c r="AD111" s="123"/>
      <c r="AE111" s="123"/>
      <c r="AF111" s="123"/>
      <c r="AG111" s="123"/>
      <c r="AH111" s="123"/>
      <c r="AI111" s="123"/>
      <c r="AJ111" s="123"/>
      <c r="AK111" s="505"/>
      <c r="AL111" s="505"/>
      <c r="AM111" s="505"/>
      <c r="AN111" s="505"/>
      <c r="AO111" s="505"/>
      <c r="AP111" s="505"/>
      <c r="AQ111" s="505"/>
      <c r="AR111" s="505"/>
      <c r="AS111" s="123"/>
      <c r="AT111" s="123"/>
      <c r="AU111" s="123"/>
      <c r="AV111" s="123"/>
      <c r="AW111" s="123"/>
      <c r="AX111" s="123"/>
      <c r="AY111" s="123"/>
      <c r="AZ111" s="148"/>
      <c r="BA111" s="148"/>
      <c r="BB111" s="148"/>
      <c r="BC111" s="148"/>
      <c r="BD111" s="148"/>
    </row>
    <row r="112" spans="1:56" s="212" customFormat="1" ht="45">
      <c r="A112" s="112">
        <f t="shared" si="9"/>
        <v>97</v>
      </c>
      <c r="B112" s="19">
        <f>'תקציב החברה לפיתוח 2025'!B91</f>
        <v>20018</v>
      </c>
      <c r="C112" s="202" t="str">
        <f>'תקציב החברה לפיתוח 2025'!C91</f>
        <v>מוזיאון הרצליה - הרחבה ושיפוץ</v>
      </c>
      <c r="D112" s="112">
        <f>'תקציב החברה לפיתוח 2025'!D91</f>
        <v>60000000</v>
      </c>
      <c r="E112" s="112">
        <f>'תקציב החברה לפיתוח 2025'!E91</f>
        <v>45000000</v>
      </c>
      <c r="F112" s="112">
        <f>'תקציב החברה לפיתוח 2025'!F91</f>
        <v>15000000</v>
      </c>
      <c r="G112" s="112">
        <f>'תקציב החברה לפיתוח 2025'!G91</f>
        <v>1150000</v>
      </c>
      <c r="H112" s="112">
        <f>'תקציב החברה לפיתוח 2025'!H91</f>
        <v>1116315</v>
      </c>
      <c r="I112" s="112">
        <f>'תקציב החברה לפיתוח 2025'!I91</f>
        <v>0</v>
      </c>
      <c r="J112" s="112">
        <f>'תקציב החברה לפיתוח 2025'!J91</f>
        <v>27535</v>
      </c>
      <c r="K112" s="112">
        <f>'תקציב החברה לפיתוח 2025'!K91</f>
        <v>27535</v>
      </c>
      <c r="L112" s="112">
        <f>'תקציב החברה לפיתוח 2025'!L91</f>
        <v>1143850</v>
      </c>
      <c r="M112" s="112">
        <f>'תקציב החברה לפיתוח 2025'!M91</f>
        <v>6150</v>
      </c>
      <c r="N112" s="112">
        <f>'תקציב החברה לפיתוח 2025'!N91</f>
        <v>13000000</v>
      </c>
      <c r="O112" s="112">
        <f>'תקציב החברה לפיתוח 2025'!O91</f>
        <v>45850000</v>
      </c>
      <c r="P112" s="112">
        <f>'תקציב החברה לפיתוח 2025'!P91</f>
        <v>6150</v>
      </c>
      <c r="Q112" s="112">
        <f>'תקציב החברה לפיתוח 2025'!Q91</f>
        <v>0</v>
      </c>
      <c r="R112" s="112">
        <f>'תקציב החברה לפיתוח 2025'!R91</f>
        <v>0</v>
      </c>
      <c r="S112" s="112">
        <f>'תקציב החברה לפיתוח 2025'!S91</f>
        <v>0</v>
      </c>
      <c r="T112" s="112">
        <f>'תקציב החברה לפיתוח 2025'!T91</f>
        <v>0</v>
      </c>
      <c r="U112" s="257">
        <f>'תקציב החברה לפיתוח 2025'!U91</f>
        <v>13000000</v>
      </c>
      <c r="V112" s="112">
        <f>'תקציב החברה לפיתוח 2025'!V91</f>
        <v>1650000</v>
      </c>
      <c r="W112" s="112">
        <f>'תקציב החברה לפיתוח 2025'!W91</f>
        <v>0</v>
      </c>
      <c r="X112" s="112">
        <f>'תקציב החברה לפיתוח 2025'!X91</f>
        <v>0</v>
      </c>
      <c r="Y112" s="112">
        <f>'תקציב החברה לפיתוח 2025'!Y91</f>
        <v>0</v>
      </c>
      <c r="Z112" s="112">
        <f>'תקציב החברה לפיתוח 2025'!Z91</f>
        <v>0</v>
      </c>
      <c r="AA112" s="112">
        <f>'תקציב החברה לפיתוח 2025'!AA91</f>
        <v>11350000</v>
      </c>
      <c r="AB112" s="202" t="str">
        <f>'תקציב החברה לפיתוח 2025'!AB91</f>
        <v>תוספת קומה כ - 300 מ"ר , עבודות שיפוץ ופיתוח רחבת המוזיאון. מימון מ. התרבות ומ. הפיס.</v>
      </c>
      <c r="AC112" s="3">
        <f>'תקציב החברה לפיתוח 2025'!AC91</f>
        <v>826000</v>
      </c>
      <c r="AD112" s="123"/>
      <c r="AE112" s="123"/>
      <c r="AF112" s="123"/>
      <c r="AG112" s="123"/>
      <c r="AH112" s="123"/>
      <c r="AI112" s="123"/>
      <c r="AJ112" s="123"/>
      <c r="AK112" s="505"/>
      <c r="AL112" s="505"/>
      <c r="AM112" s="505"/>
      <c r="AN112" s="505"/>
      <c r="AO112" s="505"/>
      <c r="AP112" s="505"/>
      <c r="AQ112" s="505"/>
      <c r="AR112" s="505"/>
      <c r="AS112" s="123"/>
      <c r="AT112" s="123"/>
      <c r="AU112" s="123"/>
      <c r="AV112" s="123"/>
      <c r="AW112" s="123"/>
      <c r="AX112" s="123"/>
      <c r="AY112" s="123"/>
      <c r="AZ112" s="5"/>
      <c r="BA112" s="5"/>
      <c r="BB112" s="5"/>
      <c r="BC112" s="5"/>
      <c r="BD112" s="5"/>
    </row>
    <row r="113" spans="1:56" s="126" customFormat="1" ht="30" customHeight="1">
      <c r="A113" s="112">
        <f t="shared" si="9"/>
        <v>98</v>
      </c>
      <c r="B113" s="3">
        <f>'תקציב החברה לפיתוח 2025'!B12</f>
        <v>1357</v>
      </c>
      <c r="C113" s="202" t="str">
        <f>'תקציב החברה לפיתוח 2025'!C12</f>
        <v>ספורטק שלב ג'</v>
      </c>
      <c r="D113" s="112">
        <f>'תקציב החברה לפיתוח 2025'!D12</f>
        <v>18812000</v>
      </c>
      <c r="E113" s="112">
        <f>'תקציב החברה לפיתוח 2025'!E12</f>
        <v>18812000</v>
      </c>
      <c r="F113" s="112">
        <f>'תקציב החברה לפיתוח 2025'!F12</f>
        <v>0</v>
      </c>
      <c r="G113" s="112">
        <f>'תקציב החברה לפיתוח 2025'!G12</f>
        <v>18812000</v>
      </c>
      <c r="H113" s="112">
        <f>'תקציב החברה לפיתוח 2025'!H12</f>
        <v>17962840</v>
      </c>
      <c r="I113" s="112">
        <f>'תקציב החברה לפיתוח 2025'!I12</f>
        <v>0</v>
      </c>
      <c r="J113" s="112">
        <f>'תקציב החברה לפיתוח 2025'!J12</f>
        <v>113649</v>
      </c>
      <c r="K113" s="112">
        <f>'תקציב החברה לפיתוח 2025'!K12</f>
        <v>113649</v>
      </c>
      <c r="L113" s="112">
        <f>'תקציב החברה לפיתוח 2025'!L12</f>
        <v>18076489</v>
      </c>
      <c r="M113" s="112">
        <f>'תקציב החברה לפיתוח 2025'!M12</f>
        <v>735511</v>
      </c>
      <c r="N113" s="112">
        <f>'תקציב החברה לפיתוח 2025'!N12</f>
        <v>0</v>
      </c>
      <c r="O113" s="112">
        <f>'תקציב החברה לפיתוח 2025'!O12</f>
        <v>0</v>
      </c>
      <c r="P113" s="112">
        <f>'תקציב החברה לפיתוח 2025'!P12</f>
        <v>735511</v>
      </c>
      <c r="Q113" s="112">
        <f>'תקציב החברה לפיתוח 2025'!Q12</f>
        <v>0</v>
      </c>
      <c r="R113" s="112">
        <f>'תקציב החברה לפיתוח 2025'!R12</f>
        <v>0</v>
      </c>
      <c r="S113" s="112">
        <f>'תקציב החברה לפיתוח 2025'!S12</f>
        <v>0</v>
      </c>
      <c r="T113" s="112">
        <f>'תקציב החברה לפיתוח 2025'!T12</f>
        <v>0</v>
      </c>
      <c r="U113" s="257">
        <f>'תקציב החברה לפיתוח 2025'!U12</f>
        <v>0</v>
      </c>
      <c r="V113" s="112">
        <f>'תקציב החברה לפיתוח 2025'!V12</f>
        <v>0</v>
      </c>
      <c r="W113" s="112">
        <f>'תקציב החברה לפיתוח 2025'!W12</f>
        <v>0</v>
      </c>
      <c r="X113" s="112">
        <f>'תקציב החברה לפיתוח 2025'!X12</f>
        <v>0</v>
      </c>
      <c r="Y113" s="112">
        <f>'תקציב החברה לפיתוח 2025'!Y12</f>
        <v>0</v>
      </c>
      <c r="Z113" s="112">
        <f>'תקציב החברה לפיתוח 2025'!Z12</f>
        <v>0</v>
      </c>
      <c r="AA113" s="127">
        <f>'תקציב החברה לפיתוח 2025'!AA12</f>
        <v>0</v>
      </c>
      <c r="AB113" s="202" t="str">
        <f>'תקציב החברה לפיתוח 2025'!AB12</f>
        <v>עבודות מבנה מועדון פטנג. בספורטק. חן סופיים.לסגירה.</v>
      </c>
      <c r="AC113" s="3">
        <f>'תקציב החברה לפיתוח 2025'!AC12</f>
        <v>829000</v>
      </c>
      <c r="AD113" s="123"/>
      <c r="AE113" s="123"/>
      <c r="AF113" s="123"/>
      <c r="AG113" s="123"/>
      <c r="AH113" s="123"/>
      <c r="AI113" s="123"/>
      <c r="AJ113" s="123"/>
      <c r="AK113" s="505"/>
      <c r="AL113" s="505"/>
      <c r="AM113" s="505"/>
      <c r="AN113" s="505"/>
      <c r="AO113" s="505"/>
      <c r="AP113" s="505"/>
      <c r="AQ113" s="505"/>
      <c r="AR113" s="505"/>
      <c r="AS113" s="123"/>
      <c r="AT113" s="123"/>
      <c r="AU113" s="123"/>
      <c r="AV113" s="123"/>
      <c r="AW113" s="123"/>
      <c r="AX113" s="123"/>
      <c r="AY113" s="123"/>
      <c r="AZ113" s="5"/>
      <c r="BA113" s="5"/>
      <c r="BB113" s="5"/>
      <c r="BC113" s="5"/>
      <c r="BD113" s="5"/>
    </row>
    <row r="114" spans="1:56" ht="60">
      <c r="A114" s="112">
        <f t="shared" si="9"/>
        <v>99</v>
      </c>
      <c r="B114" s="209">
        <f>'תקציב החברה לפיתוח 2025'!B27</f>
        <v>1896</v>
      </c>
      <c r="C114" s="222" t="str">
        <f>'תקציב החברה לפיתוח 2025'!C27</f>
        <v>קירוי והצללה מגרשי ספורט עירוניים</v>
      </c>
      <c r="D114" s="112">
        <f>'תקציב החברה לפיתוח 2025'!D27</f>
        <v>10300000</v>
      </c>
      <c r="E114" s="112">
        <f>'תקציב החברה לפיתוח 2025'!E27</f>
        <v>10300000</v>
      </c>
      <c r="F114" s="112">
        <f>'תקציב החברה לפיתוח 2025'!F27</f>
        <v>0</v>
      </c>
      <c r="G114" s="112">
        <f>'תקציב החברה לפיתוח 2025'!G27</f>
        <v>10300000</v>
      </c>
      <c r="H114" s="112">
        <f>'תקציב החברה לפיתוח 2025'!H27</f>
        <v>9075740</v>
      </c>
      <c r="I114" s="112">
        <f>'תקציב החברה לפיתוח 2025'!I27</f>
        <v>0</v>
      </c>
      <c r="J114" s="112">
        <f>'תקציב החברה לפיתוח 2025'!J27</f>
        <v>105024</v>
      </c>
      <c r="K114" s="112">
        <f>'תקציב החברה לפיתוח 2025'!K27</f>
        <v>105024</v>
      </c>
      <c r="L114" s="112">
        <f>'תקציב החברה לפיתוח 2025'!L27</f>
        <v>9180764</v>
      </c>
      <c r="M114" s="112">
        <f>'תקציב החברה לפיתוח 2025'!M27</f>
        <v>119236</v>
      </c>
      <c r="N114" s="112">
        <f>'תקציב החברה לפיתוח 2025'!N27</f>
        <v>0</v>
      </c>
      <c r="O114" s="112">
        <f>'תקציב החברה לפיתוח 2025'!O27</f>
        <v>1000000</v>
      </c>
      <c r="P114" s="112">
        <f>'תקציב החברה לפיתוח 2025'!P27</f>
        <v>1119236</v>
      </c>
      <c r="Q114" s="112">
        <f>'תקציב החברה לפיתוח 2025'!Q27</f>
        <v>0</v>
      </c>
      <c r="R114" s="112">
        <f>'תקציב החברה לפיתוח 2025'!R27</f>
        <v>0</v>
      </c>
      <c r="S114" s="112">
        <f>'תקציב החברה לפיתוח 2025'!S27</f>
        <v>0</v>
      </c>
      <c r="T114" s="112">
        <f>'תקציב החברה לפיתוח 2025'!T27</f>
        <v>1000000</v>
      </c>
      <c r="U114" s="257">
        <f>'תקציב החברה לפיתוח 2025'!U27</f>
        <v>-1000000</v>
      </c>
      <c r="V114" s="112">
        <f>'תקציב החברה לפיתוח 2025'!V27</f>
        <v>-1000000</v>
      </c>
      <c r="W114" s="112">
        <f>'תקציב החברה לפיתוח 2025'!W27</f>
        <v>0</v>
      </c>
      <c r="X114" s="112">
        <f>'תקציב החברה לפיתוח 2025'!X27</f>
        <v>0</v>
      </c>
      <c r="Y114" s="112">
        <f>'תקציב החברה לפיתוח 2025'!Y27</f>
        <v>0</v>
      </c>
      <c r="Z114" s="112">
        <f>'תקציב החברה לפיתוח 2025'!Z27</f>
        <v>0</v>
      </c>
      <c r="AA114" s="127">
        <f>'תקציב החברה לפיתוח 2025'!AA27</f>
        <v>0</v>
      </c>
      <c r="AB114" s="222" t="str">
        <f>'תקציב החברה לפיתוח 2025'!AB27</f>
        <v>התקנת קירוי קשיח ופוטוואלטי במגרשי ספורט. תיכון דור ותיכון חדש. הפרויקט הסתיים. התב"ר לסגירה.</v>
      </c>
      <c r="AC114" s="127">
        <f>'תקציב החברה לפיתוח 2025'!AC27</f>
        <v>829000</v>
      </c>
      <c r="AZ114" s="212"/>
      <c r="BA114" s="212"/>
      <c r="BB114" s="212"/>
      <c r="BC114" s="212"/>
      <c r="BD114" s="212"/>
    </row>
    <row r="115" spans="1:56" s="126" customFormat="1" ht="45">
      <c r="A115" s="112">
        <f t="shared" si="9"/>
        <v>100</v>
      </c>
      <c r="B115" s="209">
        <f>'תקציב החברה לפיתוח 2025'!B33</f>
        <v>1921</v>
      </c>
      <c r="C115" s="222" t="str">
        <f>'תקציב החברה לפיתוח 2025'!C33</f>
        <v>עבודות הרחבה התאמה איצטדיון</v>
      </c>
      <c r="D115" s="112">
        <f>'תקציב החברה לפיתוח 2025'!D33</f>
        <v>45000000</v>
      </c>
      <c r="E115" s="112">
        <f>'תקציב החברה לפיתוח 2025'!E33</f>
        <v>45000000</v>
      </c>
      <c r="F115" s="112">
        <f>'תקציב החברה לפיתוח 2025'!F33</f>
        <v>0</v>
      </c>
      <c r="G115" s="112">
        <f>'תקציב החברה לפיתוח 2025'!G33</f>
        <v>13716000</v>
      </c>
      <c r="H115" s="112">
        <f>'תקציב החברה לפיתוח 2025'!H33</f>
        <v>11771771</v>
      </c>
      <c r="I115" s="112">
        <f>'תקציב החברה לפיתוח 2025'!I33</f>
        <v>0</v>
      </c>
      <c r="J115" s="112">
        <f>'תקציב החברה לפיתוח 2025'!J33</f>
        <v>116394</v>
      </c>
      <c r="K115" s="112">
        <f>'תקציב החברה לפיתוח 2025'!K33</f>
        <v>116394</v>
      </c>
      <c r="L115" s="112">
        <f>'תקציב החברה לפיתוח 2025'!L33</f>
        <v>11888165</v>
      </c>
      <c r="M115" s="112">
        <f>'תקציב החברה לפיתוח 2025'!M33</f>
        <v>1827835</v>
      </c>
      <c r="N115" s="112">
        <f>'תקציב החברה לפיתוח 2025'!N33</f>
        <v>0</v>
      </c>
      <c r="O115" s="112">
        <f>'תקציב החברה לפיתוח 2025'!O33</f>
        <v>31284000</v>
      </c>
      <c r="P115" s="112">
        <f>'תקציב החברה לפיתוח 2025'!P33</f>
        <v>1827835</v>
      </c>
      <c r="Q115" s="112">
        <f>'תקציב החברה לפיתוח 2025'!Q33</f>
        <v>0</v>
      </c>
      <c r="R115" s="112">
        <f>'תקציב החברה לפיתוח 2025'!R33</f>
        <v>0</v>
      </c>
      <c r="S115" s="112">
        <f>'תקציב החברה לפיתוח 2025'!S33</f>
        <v>0</v>
      </c>
      <c r="T115" s="112">
        <f>'תקציב החברה לפיתוח 2025'!T33</f>
        <v>0</v>
      </c>
      <c r="U115" s="257">
        <f>'תקציב החברה לפיתוח 2025'!U33</f>
        <v>0</v>
      </c>
      <c r="V115" s="112">
        <f>'תקציב החברה לפיתוח 2025'!V33</f>
        <v>0</v>
      </c>
      <c r="W115" s="112">
        <f>'תקציב החברה לפיתוח 2025'!W33</f>
        <v>0</v>
      </c>
      <c r="X115" s="112">
        <f>'תקציב החברה לפיתוח 2025'!X33</f>
        <v>0</v>
      </c>
      <c r="Y115" s="112">
        <f>'תקציב החברה לפיתוח 2025'!Y33</f>
        <v>0</v>
      </c>
      <c r="Z115" s="112">
        <f>'תקציב החברה לפיתוח 2025'!Z33</f>
        <v>0</v>
      </c>
      <c r="AA115" s="127">
        <f>'תקציב החברה לפיתוח 2025'!AA33</f>
        <v>0</v>
      </c>
      <c r="AB115" s="207" t="str">
        <f>'תקציב החברה לפיתוח 2025'!AB33</f>
        <v>מבנה קבוצות הנוער  הריסת טריבונות , בניית מלתחות  בניית טריבונה וגג קל. יציע מזרחי.</v>
      </c>
      <c r="AC115" s="127">
        <f>'תקציב החברה לפיתוח 2025'!AC33</f>
        <v>829000</v>
      </c>
      <c r="AD115" s="123"/>
      <c r="AE115" s="123"/>
      <c r="AF115" s="123"/>
      <c r="AG115" s="123"/>
      <c r="AH115" s="123"/>
      <c r="AI115" s="123"/>
      <c r="AJ115" s="123"/>
      <c r="AK115" s="505"/>
      <c r="AL115" s="505"/>
      <c r="AM115" s="505"/>
      <c r="AN115" s="505"/>
      <c r="AO115" s="505"/>
      <c r="AP115" s="505"/>
      <c r="AQ115" s="505"/>
      <c r="AR115" s="505"/>
      <c r="AS115" s="123"/>
      <c r="AT115" s="123"/>
      <c r="AU115" s="123"/>
      <c r="AV115" s="123"/>
      <c r="AW115" s="123"/>
      <c r="AX115" s="123"/>
      <c r="AY115" s="123"/>
      <c r="AZ115" s="5"/>
      <c r="BA115" s="5"/>
      <c r="BB115" s="5"/>
      <c r="BC115" s="5"/>
      <c r="BD115" s="5"/>
    </row>
    <row r="116" spans="1:56" s="126" customFormat="1" ht="45">
      <c r="A116" s="112">
        <f t="shared" si="9"/>
        <v>101</v>
      </c>
      <c r="B116" s="209">
        <f>'תקציב החברה לפיתוח 2025'!B47</f>
        <v>2073</v>
      </c>
      <c r="C116" s="207" t="str">
        <f>'תקציב החברה לפיתוח 2025'!C47</f>
        <v xml:space="preserve">בי"ס ואולם ספורט ויצמן  </v>
      </c>
      <c r="D116" s="112">
        <f>'תקציב החברה לפיתוח 2025'!D47</f>
        <v>75000000</v>
      </c>
      <c r="E116" s="112">
        <f>'תקציב החברה לפיתוח 2025'!E47</f>
        <v>11350000</v>
      </c>
      <c r="F116" s="112">
        <f>'תקציב החברה לפיתוח 2025'!F47</f>
        <v>63650000</v>
      </c>
      <c r="G116" s="112">
        <f>'תקציב החברה לפיתוח 2025'!G47</f>
        <v>1300000</v>
      </c>
      <c r="H116" s="112">
        <f>'תקציב החברה לפיתוח 2025'!H47</f>
        <v>906620</v>
      </c>
      <c r="I116" s="112">
        <f>'תקציב החברה לפיתוח 2025'!I47</f>
        <v>0</v>
      </c>
      <c r="J116" s="112">
        <f>'תקציב החברה לפיתוח 2025'!J47</f>
        <v>343904</v>
      </c>
      <c r="K116" s="112">
        <f>'תקציב החברה לפיתוח 2025'!K47</f>
        <v>343904</v>
      </c>
      <c r="L116" s="112">
        <f>'תקציב החברה לפיתוח 2025'!L47</f>
        <v>1250524</v>
      </c>
      <c r="M116" s="112">
        <f>'תקציב החברה לפיתוח 2025'!M47</f>
        <v>49476</v>
      </c>
      <c r="N116" s="112">
        <f>'תקציב החברה לפיתוח 2025'!N47</f>
        <v>1000000</v>
      </c>
      <c r="O116" s="112">
        <f>'תקציב החברה לפיתוח 2025'!O47</f>
        <v>72700000</v>
      </c>
      <c r="P116" s="112">
        <f>'תקציב החברה לפיתוח 2025'!P47</f>
        <v>49476</v>
      </c>
      <c r="Q116" s="112">
        <f>'תקציב החברה לפיתוח 2025'!Q47</f>
        <v>0</v>
      </c>
      <c r="R116" s="112">
        <f>'תקציב החברה לפיתוח 2025'!R47</f>
        <v>0</v>
      </c>
      <c r="S116" s="112">
        <f>'תקציב החברה לפיתוח 2025'!S47</f>
        <v>0</v>
      </c>
      <c r="T116" s="112">
        <f>'תקציב החברה לפיתוח 2025'!T47</f>
        <v>0</v>
      </c>
      <c r="U116" s="257">
        <f>'תקציב החברה לפיתוח 2025'!U47</f>
        <v>1000000</v>
      </c>
      <c r="V116" s="112">
        <f>'תקציב החברה לפיתוח 2025'!V47</f>
        <v>1000000</v>
      </c>
      <c r="W116" s="112">
        <f>'תקציב החברה לפיתוח 2025'!W47</f>
        <v>0</v>
      </c>
      <c r="X116" s="112">
        <f>'תקציב החברה לפיתוח 2025'!X47</f>
        <v>0</v>
      </c>
      <c r="Y116" s="112">
        <f>'תקציב החברה לפיתוח 2025'!Y47</f>
        <v>0</v>
      </c>
      <c r="Z116" s="112">
        <f>'תקציב החברה לפיתוח 2025'!Z47</f>
        <v>0</v>
      </c>
      <c r="AA116" s="127">
        <f>'תקציב החברה לפיתוח 2025'!AA47</f>
        <v>0</v>
      </c>
      <c r="AB116" s="222" t="str">
        <f>'תקציב החברה לפיתוח 2025'!AB47</f>
        <v>תוספת מבנה של 6 כיתות    ואולם ספורט חדש בבי"ס ויצמן. קדם מימון מ. החינוך.</v>
      </c>
      <c r="AC116" s="127">
        <f>'תקציב החברה לפיתוח 2025'!AC47</f>
        <v>829000</v>
      </c>
      <c r="AD116" s="123"/>
      <c r="AE116" s="123"/>
      <c r="AF116" s="123"/>
      <c r="AG116" s="123"/>
      <c r="AH116" s="123"/>
      <c r="AI116" s="123"/>
      <c r="AJ116" s="123"/>
      <c r="AK116" s="505"/>
      <c r="AL116" s="505"/>
      <c r="AM116" s="505"/>
      <c r="AN116" s="505"/>
      <c r="AO116" s="505"/>
      <c r="AP116" s="505"/>
      <c r="AQ116" s="505"/>
      <c r="AR116" s="505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</row>
    <row r="117" spans="1:56" ht="30">
      <c r="A117" s="112">
        <f t="shared" si="9"/>
        <v>102</v>
      </c>
      <c r="B117" s="19">
        <f>'תקציב החברה לפיתוח 2025'!B64</f>
        <v>2153</v>
      </c>
      <c r="C117" s="202" t="str">
        <f>'תקציב החברה לפיתוח 2025'!C64</f>
        <v>הקמת ארנה</v>
      </c>
      <c r="D117" s="112">
        <f>'תקציב החברה לפיתוח 2025'!D64</f>
        <v>225000000</v>
      </c>
      <c r="E117" s="112">
        <f>'תקציב החברה לפיתוח 2025'!E64</f>
        <v>225000000</v>
      </c>
      <c r="F117" s="112">
        <f>'תקציב החברה לפיתוח 2025'!F64</f>
        <v>0</v>
      </c>
      <c r="G117" s="112">
        <f>'תקציב החברה לפיתוח 2025'!G64</f>
        <v>3300000</v>
      </c>
      <c r="H117" s="112">
        <f>'תקציב החברה לפיתוח 2025'!H64</f>
        <v>3279722</v>
      </c>
      <c r="I117" s="112">
        <f>'תקציב החברה לפיתוח 2025'!I64</f>
        <v>0</v>
      </c>
      <c r="J117" s="112">
        <f>'תקציב החברה לפיתוח 2025'!J64</f>
        <v>18198</v>
      </c>
      <c r="K117" s="112">
        <f>'תקציב החברה לפיתוח 2025'!K64</f>
        <v>18198</v>
      </c>
      <c r="L117" s="112">
        <f>'תקציב החברה לפיתוח 2025'!L64</f>
        <v>3297920</v>
      </c>
      <c r="M117" s="112">
        <f>'תקציב החברה לפיתוח 2025'!M64</f>
        <v>2080</v>
      </c>
      <c r="N117" s="112">
        <f>'תקציב החברה לפיתוח 2025'!N64</f>
        <v>1000000</v>
      </c>
      <c r="O117" s="112">
        <f>'תקציב החברה לפיתוח 2025'!O64</f>
        <v>220700000</v>
      </c>
      <c r="P117" s="112">
        <f>'תקציב החברה לפיתוח 2025'!P64</f>
        <v>2080</v>
      </c>
      <c r="Q117" s="112">
        <f>'תקציב החברה לפיתוח 2025'!Q64</f>
        <v>0</v>
      </c>
      <c r="R117" s="112">
        <f>'תקציב החברה לפיתוח 2025'!R64</f>
        <v>0</v>
      </c>
      <c r="S117" s="112">
        <f>'תקציב החברה לפיתוח 2025'!S64</f>
        <v>0</v>
      </c>
      <c r="T117" s="112">
        <f>'תקציב החברה לפיתוח 2025'!T64</f>
        <v>0</v>
      </c>
      <c r="U117" s="257">
        <f>'תקציב החברה לפיתוח 2025'!U64</f>
        <v>1000000</v>
      </c>
      <c r="V117" s="112">
        <f>'תקציב החברה לפיתוח 2025'!V64</f>
        <v>1000000</v>
      </c>
      <c r="W117" s="112">
        <f>'תקציב החברה לפיתוח 2025'!W64</f>
        <v>0</v>
      </c>
      <c r="X117" s="112">
        <f>'תקציב החברה לפיתוח 2025'!X64</f>
        <v>0</v>
      </c>
      <c r="Y117" s="112">
        <f>'תקציב החברה לפיתוח 2025'!Y64</f>
        <v>0</v>
      </c>
      <c r="Z117" s="112">
        <f>'תקציב החברה לפיתוח 2025'!Z64</f>
        <v>0</v>
      </c>
      <c r="AA117" s="127">
        <f>'תקציב החברה לפיתוח 2025'!AA64</f>
        <v>0</v>
      </c>
      <c r="AB117" s="496" t="str">
        <f>'תקציב החברה לפיתוח 2025'!AB64</f>
        <v>המשך תכנון ראשוני הקמת ארנה באיזור האיצטדיון.</v>
      </c>
      <c r="AC117" s="3">
        <f>'תקציב החברה לפיתוח 2025'!AC64</f>
        <v>829000</v>
      </c>
      <c r="AZ117" s="5"/>
      <c r="BA117" s="5"/>
      <c r="BB117" s="5"/>
      <c r="BC117" s="5"/>
      <c r="BD117" s="5"/>
    </row>
    <row r="118" spans="1:56" ht="45">
      <c r="A118" s="112">
        <f t="shared" si="9"/>
        <v>103</v>
      </c>
      <c r="B118" s="19">
        <f>'תקציב החברה לפיתוח 2025'!B76</f>
        <v>2203</v>
      </c>
      <c r="C118" s="202" t="str">
        <f>'תקציב החברה לפיתוח 2025'!C76</f>
        <v>אולם ספורט בי"ס יוחנני  ובניית כיתות וגנ"י</v>
      </c>
      <c r="D118" s="112">
        <f>'תקציב החברה לפיתוח 2025'!D76</f>
        <v>1700000</v>
      </c>
      <c r="E118" s="112">
        <f>'תקציב החברה לפיתוח 2025'!E76</f>
        <v>1700000</v>
      </c>
      <c r="F118" s="112">
        <f>'תקציב החברה לפיתוח 2025'!F76</f>
        <v>0</v>
      </c>
      <c r="G118" s="112">
        <f>'תקציב החברה לפיתוח 2025'!G76</f>
        <v>1000000</v>
      </c>
      <c r="H118" s="112">
        <f>'תקציב החברה לפיתוח 2025'!H76</f>
        <v>811498</v>
      </c>
      <c r="I118" s="112">
        <f>'תקציב החברה לפיתוח 2025'!I76</f>
        <v>0</v>
      </c>
      <c r="J118" s="112">
        <f>'תקציב החברה לפיתוח 2025'!J76</f>
        <v>184992</v>
      </c>
      <c r="K118" s="112">
        <f>'תקציב החברה לפיתוח 2025'!K76</f>
        <v>184992</v>
      </c>
      <c r="L118" s="112">
        <f>'תקציב החברה לפיתוח 2025'!L76</f>
        <v>996490</v>
      </c>
      <c r="M118" s="112">
        <f>'תקציב החברה לפיתוח 2025'!M76</f>
        <v>253510</v>
      </c>
      <c r="N118" s="112">
        <f>'תקציב החברה לפיתוח 2025'!N76</f>
        <v>250000</v>
      </c>
      <c r="O118" s="112">
        <f>'תקציב החברה לפיתוח 2025'!O76</f>
        <v>200000</v>
      </c>
      <c r="P118" s="112">
        <f>'תקציב החברה לפיתוח 2025'!P76</f>
        <v>3510</v>
      </c>
      <c r="Q118" s="112">
        <f>'תקציב החברה לפיתוח 2025'!Q76</f>
        <v>250000</v>
      </c>
      <c r="R118" s="112">
        <f>'תקציב החברה לפיתוח 2025'!R76</f>
        <v>0</v>
      </c>
      <c r="S118" s="112">
        <f>'תקציב החברה לפיתוח 2025'!S76</f>
        <v>250000</v>
      </c>
      <c r="T118" s="112">
        <f>'תקציב החברה לפיתוח 2025'!T76</f>
        <v>0</v>
      </c>
      <c r="U118" s="257">
        <f>'תקציב החברה לפיתוח 2025'!U76</f>
        <v>250000</v>
      </c>
      <c r="V118" s="112">
        <f>'תקציב החברה לפיתוח 2025'!V76</f>
        <v>250000</v>
      </c>
      <c r="W118" s="112">
        <f>'תקציב החברה לפיתוח 2025'!W76</f>
        <v>0</v>
      </c>
      <c r="X118" s="112">
        <f>'תקציב החברה לפיתוח 2025'!X76</f>
        <v>0</v>
      </c>
      <c r="Y118" s="112">
        <f>'תקציב החברה לפיתוח 2025'!Y76</f>
        <v>0</v>
      </c>
      <c r="Z118" s="112">
        <f>'תקציב החברה לפיתוח 2025'!Z76</f>
        <v>0</v>
      </c>
      <c r="AA118" s="127">
        <f>'תקציב החברה לפיתוח 2025'!AA76</f>
        <v>0</v>
      </c>
      <c r="AB118" s="202" t="str">
        <f>'תקציב החברה לפיתוח 2025'!AB76</f>
        <v xml:space="preserve">הריסת א. ספורט קיים, בנית חדש, בניית 6  כיתות לימוד ובניית 3 גנ"י במקום גן קיים אלה. </v>
      </c>
      <c r="AC118" s="3">
        <f>'תקציב החברה לפיתוח 2025'!AC76</f>
        <v>829000</v>
      </c>
      <c r="AZ118" s="5"/>
      <c r="BA118" s="5"/>
      <c r="BB118" s="5"/>
      <c r="BC118" s="5"/>
      <c r="BD118" s="5"/>
    </row>
    <row r="119" spans="1:56" ht="60">
      <c r="A119" s="112">
        <f t="shared" si="9"/>
        <v>104</v>
      </c>
      <c r="B119" s="19">
        <f>'תקציב החברה לפיתוח 2025'!B88</f>
        <v>20014</v>
      </c>
      <c r="C119" s="202" t="str">
        <f>'תקציב החברה לפיתוח 2025'!C88</f>
        <v xml:space="preserve">מתחם ספורט משותף במתחם אלתרמן אפולוניה </v>
      </c>
      <c r="D119" s="112">
        <f>'תקציב החברה לפיתוח 2025'!D88</f>
        <v>1750000</v>
      </c>
      <c r="E119" s="112">
        <f>'תקציב החברה לפיתוח 2025'!E88</f>
        <v>1500000</v>
      </c>
      <c r="F119" s="112">
        <f>'תקציב החברה לפיתוח 2025'!F88</f>
        <v>250000</v>
      </c>
      <c r="G119" s="112">
        <f>'תקציב החברה לפיתוח 2025'!G88</f>
        <v>450000</v>
      </c>
      <c r="H119" s="112">
        <f>'תקציב החברה לפיתוח 2025'!H88</f>
        <v>314262</v>
      </c>
      <c r="I119" s="112">
        <f>'תקציב החברה לפיתוח 2025'!I88</f>
        <v>0</v>
      </c>
      <c r="J119" s="112">
        <f>'תקציב החברה לפיתוח 2025'!J88</f>
        <v>85737</v>
      </c>
      <c r="K119" s="112">
        <f>'תקציב החברה לפיתוח 2025'!K88</f>
        <v>85737</v>
      </c>
      <c r="L119" s="112">
        <f>'תקציב החברה לפיתוח 2025'!L88</f>
        <v>399999</v>
      </c>
      <c r="M119" s="112">
        <f>'תקציב החברה לפיתוח 2025'!M88</f>
        <v>50001</v>
      </c>
      <c r="N119" s="112">
        <f>'תקציב החברה לפיתוח 2025'!N88</f>
        <v>0</v>
      </c>
      <c r="O119" s="112">
        <f>'תקציב החברה לפיתוח 2025'!O88</f>
        <v>1300000</v>
      </c>
      <c r="P119" s="112">
        <f>'תקציב החברה לפיתוח 2025'!P88</f>
        <v>50001</v>
      </c>
      <c r="Q119" s="112">
        <f>'תקציב החברה לפיתוח 2025'!Q88</f>
        <v>0</v>
      </c>
      <c r="R119" s="112">
        <f>'תקציב החברה לפיתוח 2025'!R88</f>
        <v>0</v>
      </c>
      <c r="S119" s="112">
        <f>'תקציב החברה לפיתוח 2025'!S88</f>
        <v>0</v>
      </c>
      <c r="T119" s="112">
        <f>'תקציב החברה לפיתוח 2025'!T88</f>
        <v>0</v>
      </c>
      <c r="U119" s="257">
        <f>'תקציב החברה לפיתוח 2025'!U88</f>
        <v>0</v>
      </c>
      <c r="V119" s="112">
        <f>'תקציב החברה לפיתוח 2025'!V88</f>
        <v>0</v>
      </c>
      <c r="W119" s="112">
        <f>'תקציב החברה לפיתוח 2025'!W88</f>
        <v>0</v>
      </c>
      <c r="X119" s="112">
        <f>'תקציב החברה לפיתוח 2025'!X88</f>
        <v>0</v>
      </c>
      <c r="Y119" s="112">
        <f>'תקציב החברה לפיתוח 2025'!Y88</f>
        <v>0</v>
      </c>
      <c r="Z119" s="112">
        <f>'תקציב החברה לפיתוח 2025'!Z88</f>
        <v>0</v>
      </c>
      <c r="AA119" s="127">
        <f>'תקציב החברה לפיתוח 2025'!AA88</f>
        <v>0</v>
      </c>
      <c r="AB119" s="202" t="str">
        <f>'תקציב החברה לפיתוח 2025'!AB88</f>
        <v xml:space="preserve">מתחם ספורט משותף: הרחבת הבריכה אולם ומגרש ספורט לתיכון היובל, אולם ספורט לבי״ס נבון ואולם התעמלות מכשירים. </v>
      </c>
      <c r="AC119" s="3">
        <f>'תקציב החברה לפיתוח 2025'!AC88</f>
        <v>829000</v>
      </c>
      <c r="AZ119" s="5"/>
      <c r="BA119" s="5"/>
      <c r="BB119" s="5"/>
      <c r="BC119" s="5"/>
      <c r="BD119" s="5"/>
    </row>
    <row r="120" spans="1:56" ht="120" customHeight="1">
      <c r="A120" s="112">
        <f t="shared" si="9"/>
        <v>105</v>
      </c>
      <c r="B120" s="3">
        <f>'תקציב החברה לפיתוח 2025'!B94</f>
        <v>20081</v>
      </c>
      <c r="C120" s="202" t="str">
        <f>'תקציב החברה לפיתוח 2025'!C94</f>
        <v>תכנון וביצוע קאונטרי הרצליה</v>
      </c>
      <c r="D120" s="112">
        <f>'תקציב החברה לפיתוח 2025'!D94</f>
        <v>89300000</v>
      </c>
      <c r="E120" s="112">
        <f>'תקציב החברה לפיתוח 2025'!E94</f>
        <v>85000000</v>
      </c>
      <c r="F120" s="112">
        <f>'תקציב החברה לפיתוח 2025'!F94</f>
        <v>4300000</v>
      </c>
      <c r="G120" s="112">
        <f>'תקציב החברה לפיתוח 2025'!G94</f>
        <v>53500000</v>
      </c>
      <c r="H120" s="112">
        <f>'תקציב החברה לפיתוח 2025'!H94</f>
        <v>48696410</v>
      </c>
      <c r="I120" s="112">
        <f>'תקציב החברה לפיתוח 2025'!I94</f>
        <v>0</v>
      </c>
      <c r="J120" s="112">
        <f>'תקציב החברה לפיתוח 2025'!J94</f>
        <v>2237146</v>
      </c>
      <c r="K120" s="112">
        <f>'תקציב החברה לפיתוח 2025'!K94</f>
        <v>2237146</v>
      </c>
      <c r="L120" s="112">
        <f>'תקציב החברה לפיתוח 2025'!L94</f>
        <v>50933556</v>
      </c>
      <c r="M120" s="112">
        <f>'תקציב החברה לפיתוח 2025'!M94</f>
        <v>12566444</v>
      </c>
      <c r="N120" s="112">
        <f>'תקציב החברה לפיתוח 2025'!N94</f>
        <v>20000000</v>
      </c>
      <c r="O120" s="112">
        <f>'תקציב החברה לפיתוח 2025'!O94</f>
        <v>5800000</v>
      </c>
      <c r="P120" s="112">
        <f>'תקציב החברה לפיתוח 2025'!P94</f>
        <v>2566444</v>
      </c>
      <c r="Q120" s="112">
        <f>'תקציב החברה לפיתוח 2025'!Q94</f>
        <v>5000000</v>
      </c>
      <c r="R120" s="112">
        <f>'תקציב החברה לפיתוח 2025'!R94</f>
        <v>5000000</v>
      </c>
      <c r="S120" s="112">
        <f>'תקציב החברה לפיתוח 2025'!S94</f>
        <v>10000000</v>
      </c>
      <c r="T120" s="112">
        <f>'תקציב החברה לפיתוח 2025'!T94</f>
        <v>0</v>
      </c>
      <c r="U120" s="257">
        <f>'תקציב החברה לפיתוח 2025'!U94</f>
        <v>20000000</v>
      </c>
      <c r="V120" s="112">
        <f>'תקציב החברה לפיתוח 2025'!V94</f>
        <v>20000000</v>
      </c>
      <c r="W120" s="112">
        <f>'תקציב החברה לפיתוח 2025'!W94</f>
        <v>0</v>
      </c>
      <c r="X120" s="112">
        <f>'תקציב החברה לפיתוח 2025'!X94</f>
        <v>0</v>
      </c>
      <c r="Y120" s="112">
        <f>'תקציב החברה לפיתוח 2025'!Y94</f>
        <v>0</v>
      </c>
      <c r="Z120" s="112">
        <f>'תקציב החברה לפיתוח 2025'!Z94</f>
        <v>0</v>
      </c>
      <c r="AA120" s="127">
        <f>'תקציב החברה לפיתוח 2025'!AA94</f>
        <v>0</v>
      </c>
      <c r="AB120" s="202" t="str">
        <f>'תקציב החברה לפיתוח 2025'!AB94</f>
        <v xml:space="preserve">עבודות הריסת מבנים ובניה ,עבודות גינון והצטיידות קאונטרי הרצליה. </v>
      </c>
      <c r="AC120" s="3">
        <f>'תקציב החברה לפיתוח 2025'!AC94</f>
        <v>829000</v>
      </c>
      <c r="AZ120" s="5"/>
      <c r="BA120" s="5"/>
      <c r="BB120" s="5"/>
      <c r="BC120" s="5"/>
      <c r="BD120" s="5"/>
    </row>
    <row r="121" spans="1:56" ht="24.95" customHeight="1">
      <c r="A121" s="112">
        <f t="shared" si="9"/>
        <v>106</v>
      </c>
      <c r="B121" s="3">
        <f>'תקציב החברה לפיתוח 2025'!B99</f>
        <v>20093</v>
      </c>
      <c r="C121" s="202" t="str">
        <f>'תקציב החברה לפיתוח 2025'!C99</f>
        <v>עבודות שיפוץ ושדרוג האיצטדיון</v>
      </c>
      <c r="D121" s="112">
        <f>'תקציב החברה לפיתוח 2025'!D99</f>
        <v>24000000</v>
      </c>
      <c r="E121" s="112">
        <f>'תקציב החברה לפיתוח 2025'!E99</f>
        <v>12000000</v>
      </c>
      <c r="F121" s="112">
        <f>'תקציב החברה לפיתוח 2025'!F99</f>
        <v>12000000</v>
      </c>
      <c r="G121" s="112">
        <f>'תקציב החברה לפיתוח 2025'!G99</f>
        <v>3750000</v>
      </c>
      <c r="H121" s="112">
        <f>'תקציב החברה לפיתוח 2025'!H99</f>
        <v>2201661</v>
      </c>
      <c r="I121" s="112">
        <f>'תקציב החברה לפיתוח 2025'!I99</f>
        <v>0</v>
      </c>
      <c r="J121" s="112">
        <f>'תקציב החברה לפיתוח 2025'!J99</f>
        <v>1347190</v>
      </c>
      <c r="K121" s="112">
        <f>'תקציב החברה לפיתוח 2025'!K99</f>
        <v>1347190</v>
      </c>
      <c r="L121" s="112">
        <f>'תקציב החברה לפיתוח 2025'!L99</f>
        <v>3548851</v>
      </c>
      <c r="M121" s="112">
        <f>'תקציב החברה לפיתוח 2025'!M99</f>
        <v>4201149</v>
      </c>
      <c r="N121" s="112">
        <f>'תקציב החברה לפיתוח 2025'!N99</f>
        <v>2500000</v>
      </c>
      <c r="O121" s="112">
        <f>'תקציב החברה לפיתוח 2025'!O99</f>
        <v>13750000</v>
      </c>
      <c r="P121" s="112">
        <f>'תקציב החברה לפיתוח 2025'!P99</f>
        <v>201149</v>
      </c>
      <c r="Q121" s="112">
        <f>'תקציב החברה לפיתוח 2025'!Q99</f>
        <v>4000000</v>
      </c>
      <c r="R121" s="112">
        <f>'תקציב החברה לפיתוח 2025'!R99</f>
        <v>0</v>
      </c>
      <c r="S121" s="112">
        <f>'תקציב החברה לפיתוח 2025'!S99</f>
        <v>4000000</v>
      </c>
      <c r="T121" s="112">
        <f>'תקציב החברה לפיתוח 2025'!T99</f>
        <v>0</v>
      </c>
      <c r="U121" s="257">
        <f>'תקציב החברה לפיתוח 2025'!U99</f>
        <v>2500000</v>
      </c>
      <c r="V121" s="112">
        <f>'תקציב החברה לפיתוח 2025'!V99</f>
        <v>2500000</v>
      </c>
      <c r="W121" s="112">
        <f>'תקציב החברה לפיתוח 2025'!W99</f>
        <v>0</v>
      </c>
      <c r="X121" s="112">
        <f>'תקציב החברה לפיתוח 2025'!X99</f>
        <v>0</v>
      </c>
      <c r="Y121" s="112">
        <f>'תקציב החברה לפיתוח 2025'!Y99</f>
        <v>0</v>
      </c>
      <c r="Z121" s="112">
        <f>'תקציב החברה לפיתוח 2025'!Z99</f>
        <v>0</v>
      </c>
      <c r="AA121" s="112">
        <f>'תקציב החברה לפיתוח 2025'!AA99</f>
        <v>0</v>
      </c>
      <c r="AB121" s="202" t="str">
        <f>'תקציב החברה לפיתוח 2025'!AB99</f>
        <v>עבודות שיפוץ חדרי הלבשה יציע מערבי. תכנון וביצוע עפ"י דרישות ההתאחדות לכדורגל (התאמה לליגה א'). מימון מ. הספורט.</v>
      </c>
      <c r="AC121" s="3">
        <f>'תקציב החברה לפיתוח 2025'!AC99</f>
        <v>829000</v>
      </c>
      <c r="AZ121" s="131"/>
      <c r="BA121" s="131"/>
      <c r="BB121" s="131"/>
      <c r="BC121" s="131"/>
      <c r="BD121" s="131"/>
    </row>
    <row r="122" spans="1:56" s="5" customFormat="1" ht="30">
      <c r="A122" s="112">
        <f t="shared" si="9"/>
        <v>107</v>
      </c>
      <c r="B122" s="19">
        <f>'תקציב החברה לפיתוח 2025'!B118</f>
        <v>20155</v>
      </c>
      <c r="C122" s="222" t="str">
        <f>'תקציב החברה לפיתוח 2025'!C118</f>
        <v>מגרש ספורט יבור ויצמן</v>
      </c>
      <c r="D122" s="112">
        <f>'תקציב החברה לפיתוח 2025'!D118</f>
        <v>150000</v>
      </c>
      <c r="E122" s="112">
        <f>'תקציב החברה לפיתוח 2025'!E118</f>
        <v>0</v>
      </c>
      <c r="F122" s="112">
        <f>'תקציב החברה לפיתוח 2025'!F118</f>
        <v>150000</v>
      </c>
      <c r="G122" s="112">
        <f>'תקציב החברה לפיתוח 2025'!G118</f>
        <v>0</v>
      </c>
      <c r="H122" s="112">
        <f>'תקציב החברה לפיתוח 2025'!H118</f>
        <v>0</v>
      </c>
      <c r="I122" s="112">
        <f>'תקציב החברה לפיתוח 2025'!I118</f>
        <v>0</v>
      </c>
      <c r="J122" s="112">
        <f>'תקציב החברה לפיתוח 2025'!J118</f>
        <v>0</v>
      </c>
      <c r="K122" s="112">
        <f>'תקציב החברה לפיתוח 2025'!K118</f>
        <v>0</v>
      </c>
      <c r="L122" s="112">
        <f>'תקציב החברה לפיתוח 2025'!L118</f>
        <v>0</v>
      </c>
      <c r="M122" s="112">
        <f>'תקציב החברה לפיתוח 2025'!M118</f>
        <v>0</v>
      </c>
      <c r="N122" s="112">
        <f>'תקציב החברה לפיתוח 2025'!N118</f>
        <v>150000</v>
      </c>
      <c r="O122" s="112">
        <f>'תקציב החברה לפיתוח 2025'!O118</f>
        <v>0</v>
      </c>
      <c r="P122" s="112">
        <f>'תקציב החברה לפיתוח 2025'!P118</f>
        <v>0</v>
      </c>
      <c r="Q122" s="112">
        <f>'תקציב החברה לפיתוח 2025'!Q118</f>
        <v>0</v>
      </c>
      <c r="R122" s="112">
        <f>'תקציב החברה לפיתוח 2025'!R118</f>
        <v>0</v>
      </c>
      <c r="S122" s="112">
        <f>'תקציב החברה לפיתוח 2025'!S118</f>
        <v>0</v>
      </c>
      <c r="T122" s="112">
        <f>'תקציב החברה לפיתוח 2025'!T118</f>
        <v>0</v>
      </c>
      <c r="U122" s="257">
        <f>'תקציב החברה לפיתוח 2025'!U118</f>
        <v>150000</v>
      </c>
      <c r="V122" s="112">
        <f>'תקציב החברה לפיתוח 2025'!V118</f>
        <v>150000</v>
      </c>
      <c r="W122" s="112">
        <f>'תקציב החברה לפיתוח 2025'!W118</f>
        <v>0</v>
      </c>
      <c r="X122" s="112">
        <f>'תקציב החברה לפיתוח 2025'!X118</f>
        <v>0</v>
      </c>
      <c r="Y122" s="112">
        <f>'תקציב החברה לפיתוח 2025'!Y118</f>
        <v>0</v>
      </c>
      <c r="Z122" s="112">
        <f>'תקציב החברה לפיתוח 2025'!Z118</f>
        <v>0</v>
      </c>
      <c r="AA122" s="112">
        <f>'תקציב החברה לפיתוח 2025'!AA118</f>
        <v>0</v>
      </c>
      <c r="AB122" s="202" t="str">
        <f>'תקציב החברה לפיתוח 2025'!AB118</f>
        <v>עבודות שיפוץ מגרש הספורט יבור שכונת ויצמן.</v>
      </c>
      <c r="AC122" s="3">
        <f>'תקציב החברה לפיתוח 2025'!AC118</f>
        <v>829000</v>
      </c>
      <c r="AD122" s="123"/>
      <c r="AE122" s="123"/>
      <c r="AF122" s="123"/>
      <c r="AG122" s="123"/>
      <c r="AH122" s="123"/>
      <c r="AI122" s="123"/>
      <c r="AJ122" s="123"/>
      <c r="AK122" s="505"/>
      <c r="AL122" s="505"/>
      <c r="AM122" s="505"/>
      <c r="AN122" s="505"/>
      <c r="AO122" s="505"/>
      <c r="AP122" s="505"/>
      <c r="AQ122" s="505"/>
      <c r="AR122" s="505"/>
      <c r="AS122" s="123"/>
      <c r="AT122" s="123"/>
      <c r="AU122" s="123"/>
      <c r="AV122" s="123"/>
      <c r="AW122" s="123"/>
      <c r="AX122" s="123"/>
      <c r="AY122" s="123"/>
    </row>
    <row r="123" spans="1:56" s="5" customFormat="1" ht="30">
      <c r="A123" s="112">
        <f t="shared" si="9"/>
        <v>108</v>
      </c>
      <c r="B123" s="19">
        <f>'תקציב החברה לפיתוח 2025'!B119</f>
        <v>20156</v>
      </c>
      <c r="C123" s="222" t="str">
        <f>'תקציב החברה לפיתוח 2025'!C119</f>
        <v>שיפוץ מרכז ספורט אפולוניה</v>
      </c>
      <c r="D123" s="112">
        <f>'תקציב החברה לפיתוח 2025'!D119</f>
        <v>2000000</v>
      </c>
      <c r="E123" s="112">
        <f>'תקציב החברה לפיתוח 2025'!E119</f>
        <v>0</v>
      </c>
      <c r="F123" s="112">
        <f>'תקציב החברה לפיתוח 2025'!F119</f>
        <v>2000000</v>
      </c>
      <c r="G123" s="112">
        <f>'תקציב החברה לפיתוח 2025'!G119</f>
        <v>0</v>
      </c>
      <c r="H123" s="112">
        <f>'תקציב החברה לפיתוח 2025'!H119</f>
        <v>0</v>
      </c>
      <c r="I123" s="112">
        <f>'תקציב החברה לפיתוח 2025'!I119</f>
        <v>0</v>
      </c>
      <c r="J123" s="112">
        <f>'תקציב החברה לפיתוח 2025'!J119</f>
        <v>0</v>
      </c>
      <c r="K123" s="112">
        <f>'תקציב החברה לפיתוח 2025'!K119</f>
        <v>0</v>
      </c>
      <c r="L123" s="112">
        <f>'תקציב החברה לפיתוח 2025'!L119</f>
        <v>0</v>
      </c>
      <c r="M123" s="112">
        <f>'תקציב החברה לפיתוח 2025'!M119</f>
        <v>0</v>
      </c>
      <c r="N123" s="112">
        <f>'תקציב החברה לפיתוח 2025'!N119</f>
        <v>800000</v>
      </c>
      <c r="O123" s="112">
        <f>'תקציב החברה לפיתוח 2025'!O119</f>
        <v>1200000</v>
      </c>
      <c r="P123" s="112">
        <f>'תקציב החברה לפיתוח 2025'!P119</f>
        <v>0</v>
      </c>
      <c r="Q123" s="112">
        <f>'תקציב החברה לפיתוח 2025'!Q119</f>
        <v>0</v>
      </c>
      <c r="R123" s="112">
        <f>'תקציב החברה לפיתוח 2025'!R119</f>
        <v>0</v>
      </c>
      <c r="S123" s="112">
        <f>'תקציב החברה לפיתוח 2025'!S119</f>
        <v>0</v>
      </c>
      <c r="T123" s="112">
        <f>'תקציב החברה לפיתוח 2025'!T119</f>
        <v>0</v>
      </c>
      <c r="U123" s="257">
        <f>'תקציב החברה לפיתוח 2025'!U119</f>
        <v>800000</v>
      </c>
      <c r="V123" s="112">
        <f>'תקציב החברה לפיתוח 2025'!V119</f>
        <v>800000</v>
      </c>
      <c r="W123" s="112">
        <f>'תקציב החברה לפיתוח 2025'!W119</f>
        <v>0</v>
      </c>
      <c r="X123" s="112">
        <f>'תקציב החברה לפיתוח 2025'!X119</f>
        <v>0</v>
      </c>
      <c r="Y123" s="112">
        <f>'תקציב החברה לפיתוח 2025'!Y119</f>
        <v>0</v>
      </c>
      <c r="Z123" s="112">
        <f>'תקציב החברה לפיתוח 2025'!Z119</f>
        <v>0</v>
      </c>
      <c r="AA123" s="112">
        <f>'תקציב החברה לפיתוח 2025'!AA119</f>
        <v>0</v>
      </c>
      <c r="AB123" s="202" t="str">
        <f>'תקציב החברה לפיתוח 2025'!AB119</f>
        <v xml:space="preserve">עבודות שיפוץ מרכז הספורט אפולוניה. </v>
      </c>
      <c r="AC123" s="3">
        <f>'תקציב החברה לפיתוח 2025'!AC119</f>
        <v>829000</v>
      </c>
      <c r="AD123" s="123"/>
      <c r="AE123" s="123"/>
      <c r="AF123" s="123"/>
      <c r="AG123" s="123"/>
      <c r="AH123" s="123"/>
      <c r="AI123" s="123"/>
      <c r="AJ123" s="123"/>
      <c r="AK123" s="505"/>
      <c r="AL123" s="505"/>
      <c r="AM123" s="505"/>
      <c r="AN123" s="505"/>
      <c r="AO123" s="505"/>
      <c r="AP123" s="505"/>
      <c r="AQ123" s="505"/>
      <c r="AR123" s="505"/>
      <c r="AS123" s="123"/>
      <c r="AT123" s="123"/>
      <c r="AU123" s="123"/>
      <c r="AV123" s="123"/>
      <c r="AW123" s="123"/>
      <c r="AX123" s="123"/>
      <c r="AY123" s="123"/>
    </row>
    <row r="124" spans="1:56" s="40" customFormat="1">
      <c r="A124" s="236"/>
      <c r="B124" s="20"/>
      <c r="C124" s="270" t="s">
        <v>1336</v>
      </c>
      <c r="D124" s="236">
        <f>SUM(D107:D123)</f>
        <v>730222000</v>
      </c>
      <c r="E124" s="236">
        <f t="shared" ref="E124:AA124" si="10">SUM(E107:E123)</f>
        <v>632672000</v>
      </c>
      <c r="F124" s="236">
        <f t="shared" si="10"/>
        <v>97550000</v>
      </c>
      <c r="G124" s="236">
        <f t="shared" si="10"/>
        <v>248441780</v>
      </c>
      <c r="H124" s="236">
        <f t="shared" si="10"/>
        <v>231569556</v>
      </c>
      <c r="I124" s="236">
        <f t="shared" si="10"/>
        <v>0</v>
      </c>
      <c r="J124" s="236">
        <f t="shared" si="10"/>
        <v>6958299</v>
      </c>
      <c r="K124" s="236">
        <f t="shared" si="10"/>
        <v>6958299</v>
      </c>
      <c r="L124" s="236">
        <f t="shared" si="10"/>
        <v>238527855</v>
      </c>
      <c r="M124" s="236">
        <f t="shared" si="10"/>
        <v>27260145</v>
      </c>
      <c r="N124" s="236">
        <f t="shared" si="10"/>
        <v>45200000</v>
      </c>
      <c r="O124" s="236">
        <f t="shared" si="10"/>
        <v>419234000</v>
      </c>
      <c r="P124" s="236">
        <f t="shared" si="10"/>
        <v>9913925</v>
      </c>
      <c r="Q124" s="236">
        <f t="shared" si="10"/>
        <v>13346220</v>
      </c>
      <c r="R124" s="236">
        <f t="shared" si="10"/>
        <v>5000000</v>
      </c>
      <c r="S124" s="236">
        <f t="shared" si="10"/>
        <v>18346220</v>
      </c>
      <c r="T124" s="236">
        <f t="shared" si="10"/>
        <v>1000000</v>
      </c>
      <c r="U124" s="236">
        <f t="shared" si="10"/>
        <v>44200000</v>
      </c>
      <c r="V124" s="236">
        <f t="shared" si="10"/>
        <v>32103354</v>
      </c>
      <c r="W124" s="236">
        <f t="shared" si="10"/>
        <v>0</v>
      </c>
      <c r="X124" s="236">
        <f t="shared" si="10"/>
        <v>0</v>
      </c>
      <c r="Y124" s="236">
        <f t="shared" si="10"/>
        <v>0</v>
      </c>
      <c r="Z124" s="236">
        <f t="shared" si="10"/>
        <v>0</v>
      </c>
      <c r="AA124" s="236">
        <f t="shared" si="10"/>
        <v>12096646</v>
      </c>
      <c r="AB124" s="263"/>
      <c r="AC124" s="20"/>
      <c r="AD124" s="232"/>
      <c r="AE124" s="232"/>
      <c r="AF124" s="232"/>
      <c r="AG124" s="232"/>
      <c r="AH124" s="232"/>
      <c r="AI124" s="232"/>
      <c r="AJ124" s="232"/>
      <c r="AK124" s="671"/>
      <c r="AL124" s="671"/>
      <c r="AM124" s="671"/>
      <c r="AN124" s="671"/>
      <c r="AO124" s="671"/>
      <c r="AP124" s="671"/>
      <c r="AQ124" s="671"/>
      <c r="AR124" s="671"/>
      <c r="AS124" s="232"/>
      <c r="AT124" s="232"/>
      <c r="AU124" s="232"/>
      <c r="AV124" s="232"/>
      <c r="AW124" s="232"/>
      <c r="AX124" s="232"/>
      <c r="AY124" s="232"/>
    </row>
    <row r="125" spans="1:56" s="40" customFormat="1">
      <c r="A125" s="236"/>
      <c r="B125" s="20"/>
      <c r="C125" s="208">
        <v>84</v>
      </c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A125" s="236"/>
      <c r="AB125" s="263"/>
      <c r="AC125" s="20"/>
      <c r="AD125" s="232"/>
      <c r="AE125" s="232"/>
      <c r="AF125" s="232"/>
      <c r="AG125" s="232"/>
      <c r="AH125" s="232"/>
      <c r="AI125" s="232"/>
      <c r="AJ125" s="232"/>
      <c r="AK125" s="671"/>
      <c r="AL125" s="671"/>
      <c r="AM125" s="671"/>
      <c r="AN125" s="671"/>
      <c r="AO125" s="671"/>
      <c r="AP125" s="671"/>
      <c r="AQ125" s="671"/>
      <c r="AR125" s="671"/>
      <c r="AS125" s="232"/>
      <c r="AT125" s="232"/>
      <c r="AU125" s="232"/>
      <c r="AV125" s="232"/>
      <c r="AW125" s="232"/>
      <c r="AX125" s="232"/>
      <c r="AY125" s="232"/>
    </row>
    <row r="126" spans="1:56" s="5" customFormat="1" ht="60">
      <c r="A126" s="112">
        <f>1+A123</f>
        <v>109</v>
      </c>
      <c r="B126" s="19">
        <f>'תקציב החברה לפיתוח 2025'!B52</f>
        <v>2101</v>
      </c>
      <c r="C126" s="222" t="str">
        <f>'תקציב החברה לפיתוח 2025'!C52</f>
        <v xml:space="preserve">מעון לאנשים עם מוגבלויות - ביד התשעה </v>
      </c>
      <c r="D126" s="112">
        <f>'תקציב החברה לפיתוח 2025'!D52</f>
        <v>24200000</v>
      </c>
      <c r="E126" s="112">
        <f>'תקציב החברה לפיתוח 2025'!E52</f>
        <v>24200000</v>
      </c>
      <c r="F126" s="112">
        <f>'תקציב החברה לפיתוח 2025'!F52</f>
        <v>0</v>
      </c>
      <c r="G126" s="112">
        <f>'תקציב החברה לפיתוח 2025'!G52</f>
        <v>9000000</v>
      </c>
      <c r="H126" s="112">
        <f>'תקציב החברה לפיתוח 2025'!H52</f>
        <v>8486183</v>
      </c>
      <c r="I126" s="112">
        <f>'תקציב החברה לפיתוח 2025'!I52</f>
        <v>0</v>
      </c>
      <c r="J126" s="112">
        <f>'תקציב החברה לפיתוח 2025'!J52</f>
        <v>387993</v>
      </c>
      <c r="K126" s="112">
        <f>'תקציב החברה לפיתוח 2025'!K52</f>
        <v>387993</v>
      </c>
      <c r="L126" s="112">
        <f>'תקציב החברה לפיתוח 2025'!L52</f>
        <v>8874176</v>
      </c>
      <c r="M126" s="112">
        <f>'תקציב החברה לפיתוח 2025'!M52</f>
        <v>6325824</v>
      </c>
      <c r="N126" s="112">
        <f>'תקציב החברה לפיתוח 2025'!N52</f>
        <v>6500000</v>
      </c>
      <c r="O126" s="112">
        <f>'תקציב החברה לפיתוח 2025'!O52</f>
        <v>2500000</v>
      </c>
      <c r="P126" s="112">
        <f>'תקציב החברה לפיתוח 2025'!P52</f>
        <v>125824</v>
      </c>
      <c r="Q126" s="112">
        <f>'תקציב החברה לפיתוח 2025'!Q52</f>
        <v>6200000</v>
      </c>
      <c r="R126" s="112">
        <f>'תקציב החברה לפיתוח 2025'!R52</f>
        <v>0</v>
      </c>
      <c r="S126" s="112">
        <f>'תקציב החברה לפיתוח 2025'!S52</f>
        <v>6200000</v>
      </c>
      <c r="T126" s="112">
        <f>'תקציב החברה לפיתוח 2025'!T52</f>
        <v>0</v>
      </c>
      <c r="U126" s="257">
        <f>'תקציב החברה לפיתוח 2025'!U52</f>
        <v>6500000</v>
      </c>
      <c r="V126" s="112">
        <f>'תקציב החברה לפיתוח 2025'!V52</f>
        <v>6500000</v>
      </c>
      <c r="W126" s="112">
        <f>'תקציב החברה לפיתוח 2025'!W52</f>
        <v>0</v>
      </c>
      <c r="X126" s="112">
        <f>'תקציב החברה לפיתוח 2025'!X52</f>
        <v>0</v>
      </c>
      <c r="Y126" s="112">
        <f>'תקציב החברה לפיתוח 2025'!Y52</f>
        <v>0</v>
      </c>
      <c r="Z126" s="112">
        <f>'תקציב החברה לפיתוח 2025'!Z52</f>
        <v>0</v>
      </c>
      <c r="AA126" s="112">
        <f>'תקציב החברה לפיתוח 2025'!AA52</f>
        <v>0</v>
      </c>
      <c r="AB126" s="222" t="str">
        <f>'תקציב החברה לפיתוח 2025'!AB52</f>
        <v>הקמת מעון לאנשים עם מוגבלויות ברחוב הר סיני שכונת יד התשעה. כולל הצטיידות . מימון קרן שלם והמוסד לביטוח לאומי.</v>
      </c>
      <c r="AC126" s="127">
        <f>'תקציב החברה לפיתוח 2025'!AC52</f>
        <v>840000</v>
      </c>
      <c r="AD126" s="123"/>
      <c r="AE126" s="123"/>
      <c r="AF126" s="123"/>
      <c r="AG126" s="123"/>
      <c r="AH126" s="123"/>
      <c r="AI126" s="123"/>
      <c r="AJ126" s="123"/>
      <c r="AK126" s="505"/>
      <c r="AL126" s="505"/>
      <c r="AM126" s="505"/>
      <c r="AN126" s="505"/>
      <c r="AO126" s="505"/>
      <c r="AP126" s="505"/>
      <c r="AQ126" s="505"/>
      <c r="AR126" s="505"/>
      <c r="AS126" s="123"/>
      <c r="AT126" s="123"/>
      <c r="AU126" s="123"/>
      <c r="AV126" s="123"/>
      <c r="AW126" s="123"/>
      <c r="AX126" s="123"/>
      <c r="AY126" s="123"/>
      <c r="AZ126" s="126"/>
      <c r="BA126" s="126"/>
      <c r="BB126" s="126"/>
      <c r="BC126" s="126"/>
      <c r="BD126" s="126"/>
    </row>
    <row r="127" spans="1:56" s="5" customFormat="1" ht="30">
      <c r="A127" s="112">
        <f>1+A126</f>
        <v>110</v>
      </c>
      <c r="B127" s="19">
        <f>'תקציב החברה לפיתוח 2025'!B103</f>
        <v>20109</v>
      </c>
      <c r="C127" s="222" t="str">
        <f>'תקציב החברה לפיתוח 2025'!C103</f>
        <v>הסדרה והתקנת מעליות בית הורים</v>
      </c>
      <c r="D127" s="112">
        <f>'תקציב החברה לפיתוח 2025'!D103</f>
        <v>1500000</v>
      </c>
      <c r="E127" s="112">
        <f>'תקציב החברה לפיתוח 2025'!E103</f>
        <v>1500000</v>
      </c>
      <c r="F127" s="112">
        <f>'תקציב החברה לפיתוח 2025'!F103</f>
        <v>0</v>
      </c>
      <c r="G127" s="112">
        <f>'תקציב החברה לפיתוח 2025'!G103</f>
        <v>0</v>
      </c>
      <c r="H127" s="112">
        <f>'תקציב החברה לפיתוח 2025'!H103</f>
        <v>0</v>
      </c>
      <c r="I127" s="112">
        <f>'תקציב החברה לפיתוח 2025'!I103</f>
        <v>0</v>
      </c>
      <c r="J127" s="112">
        <f>'תקציב החברה לפיתוח 2025'!J103</f>
        <v>0</v>
      </c>
      <c r="K127" s="112">
        <f>'תקציב החברה לפיתוח 2025'!K103</f>
        <v>0</v>
      </c>
      <c r="L127" s="112">
        <f>'תקציב החברה לפיתוח 2025'!L103</f>
        <v>0</v>
      </c>
      <c r="M127" s="112">
        <f>'תקציב החברה לפיתוח 2025'!M103</f>
        <v>1500000</v>
      </c>
      <c r="N127" s="112">
        <f>'תקציב החברה לפיתוח 2025'!N103</f>
        <v>0</v>
      </c>
      <c r="O127" s="112">
        <f>'תקציב החברה לפיתוח 2025'!O103</f>
        <v>0</v>
      </c>
      <c r="P127" s="112">
        <f>'תקציב החברה לפיתוח 2025'!P103</f>
        <v>0</v>
      </c>
      <c r="Q127" s="112">
        <f>'תקציב החברה לפיתוח 2025'!Q103</f>
        <v>1500000</v>
      </c>
      <c r="R127" s="112">
        <f>'תקציב החברה לפיתוח 2025'!R103</f>
        <v>0</v>
      </c>
      <c r="S127" s="112">
        <f>'תקציב החברה לפיתוח 2025'!S103</f>
        <v>1500000</v>
      </c>
      <c r="T127" s="112">
        <f>'תקציב החברה לפיתוח 2025'!T103</f>
        <v>0</v>
      </c>
      <c r="U127" s="257">
        <f>'תקציב החברה לפיתוח 2025'!U103</f>
        <v>0</v>
      </c>
      <c r="V127" s="112">
        <f>'תקציב החברה לפיתוח 2025'!V103</f>
        <v>0</v>
      </c>
      <c r="W127" s="112">
        <f>'תקציב החברה לפיתוח 2025'!W103</f>
        <v>0</v>
      </c>
      <c r="X127" s="112">
        <f>'תקציב החברה לפיתוח 2025'!X103</f>
        <v>0</v>
      </c>
      <c r="Y127" s="112">
        <f>'תקציב החברה לפיתוח 2025'!Y103</f>
        <v>0</v>
      </c>
      <c r="Z127" s="112">
        <f>'תקציב החברה לפיתוח 2025'!Z103</f>
        <v>0</v>
      </c>
      <c r="AA127" s="112">
        <f>'תקציב החברה לפיתוח 2025'!AA103</f>
        <v>0</v>
      </c>
      <c r="AB127" s="202" t="str">
        <f>'תקציב החברה לפיתוח 2025'!AB103</f>
        <v>ההסדרה והתקנת מעליות בבית ההורים רח' אנה פרנק.</v>
      </c>
      <c r="AC127" s="3">
        <f>'תקציב החברה לפיתוח 2025'!AC103</f>
        <v>840000</v>
      </c>
      <c r="AD127" s="123"/>
      <c r="AE127" s="123"/>
      <c r="AF127" s="123"/>
      <c r="AG127" s="123"/>
      <c r="AH127" s="123"/>
      <c r="AI127" s="123"/>
      <c r="AJ127" s="123"/>
      <c r="AK127" s="505"/>
      <c r="AL127" s="505"/>
      <c r="AM127" s="505"/>
      <c r="AN127" s="505"/>
      <c r="AO127" s="505"/>
      <c r="AP127" s="505"/>
      <c r="AQ127" s="505"/>
      <c r="AR127" s="505"/>
      <c r="AS127" s="123"/>
      <c r="AT127" s="123"/>
      <c r="AU127" s="123"/>
      <c r="AV127" s="123"/>
      <c r="AW127" s="123"/>
      <c r="AX127" s="123"/>
      <c r="AY127" s="123"/>
      <c r="AZ127" s="123"/>
      <c r="BA127" s="123"/>
      <c r="BB127" s="123"/>
      <c r="BC127" s="123"/>
      <c r="BD127" s="123"/>
    </row>
    <row r="128" spans="1:56" s="5" customFormat="1" ht="30">
      <c r="A128" s="112">
        <f>1+A127</f>
        <v>111</v>
      </c>
      <c r="B128" s="19">
        <f>'תקציב החברה לפיתוח 2025'!B114</f>
        <v>20151</v>
      </c>
      <c r="C128" s="222" t="str">
        <f>'תקציב החברה לפיתוח 2025'!C114</f>
        <v>חידוש ושדרוג מרכז יום לתשושי נפש</v>
      </c>
      <c r="D128" s="112">
        <f>'תקציב החברה לפיתוח 2025'!D114</f>
        <v>10500000</v>
      </c>
      <c r="E128" s="112">
        <f>'תקציב החברה לפיתוח 2025'!E114</f>
        <v>0</v>
      </c>
      <c r="F128" s="112">
        <f>'תקציב החברה לפיתוח 2025'!F114</f>
        <v>10500000</v>
      </c>
      <c r="G128" s="112">
        <f>'תקציב החברה לפיתוח 2025'!G114</f>
        <v>0</v>
      </c>
      <c r="H128" s="112">
        <f>'תקציב החברה לפיתוח 2025'!H114</f>
        <v>0</v>
      </c>
      <c r="I128" s="112">
        <f>'תקציב החברה לפיתוח 2025'!I114</f>
        <v>0</v>
      </c>
      <c r="J128" s="112">
        <f>'תקציב החברה לפיתוח 2025'!J114</f>
        <v>0</v>
      </c>
      <c r="K128" s="112">
        <f>'תקציב החברה לפיתוח 2025'!K114</f>
        <v>0</v>
      </c>
      <c r="L128" s="112">
        <f>'תקציב החברה לפיתוח 2025'!L114</f>
        <v>0</v>
      </c>
      <c r="M128" s="112">
        <f>'תקציב החברה לפיתוח 2025'!M114</f>
        <v>0</v>
      </c>
      <c r="N128" s="112">
        <f>'תקציב החברה לפיתוח 2025'!N114</f>
        <v>100000</v>
      </c>
      <c r="O128" s="112">
        <f>'תקציב החברה לפיתוח 2025'!O114</f>
        <v>10400000</v>
      </c>
      <c r="P128" s="112">
        <f>'תקציב החברה לפיתוח 2025'!P114</f>
        <v>0</v>
      </c>
      <c r="Q128" s="112">
        <f>'תקציב החברה לפיתוח 2025'!Q114</f>
        <v>0</v>
      </c>
      <c r="R128" s="112">
        <f>'תקציב החברה לפיתוח 2025'!R114</f>
        <v>0</v>
      </c>
      <c r="S128" s="112">
        <f>'תקציב החברה לפיתוח 2025'!S114</f>
        <v>0</v>
      </c>
      <c r="T128" s="112">
        <f>'תקציב החברה לפיתוח 2025'!T114</f>
        <v>0</v>
      </c>
      <c r="U128" s="257">
        <f>'תקציב החברה לפיתוח 2025'!U114</f>
        <v>100000</v>
      </c>
      <c r="V128" s="112">
        <f>'תקציב החברה לפיתוח 2025'!V114</f>
        <v>100000</v>
      </c>
      <c r="W128" s="112">
        <f>'תקציב החברה לפיתוח 2025'!W114</f>
        <v>0</v>
      </c>
      <c r="X128" s="112">
        <f>'תקציב החברה לפיתוח 2025'!X114</f>
        <v>0</v>
      </c>
      <c r="Y128" s="112">
        <f>'תקציב החברה לפיתוח 2025'!Y114</f>
        <v>0</v>
      </c>
      <c r="Z128" s="112">
        <f>'תקציב החברה לפיתוח 2025'!Z114</f>
        <v>0</v>
      </c>
      <c r="AA128" s="112">
        <f>'תקציב החברה לפיתוח 2025'!AA114</f>
        <v>0</v>
      </c>
      <c r="AB128" s="202" t="str">
        <f>'תקציב החברה לפיתוח 2025'!AB114</f>
        <v>מרכז יום לתשושי נפש צמרות הרצליה.</v>
      </c>
      <c r="AC128" s="3">
        <f>'תקציב החברה לפיתוח 2025'!AC114</f>
        <v>840000</v>
      </c>
      <c r="AD128" s="123"/>
      <c r="AE128" s="123"/>
      <c r="AF128" s="123"/>
      <c r="AG128" s="123"/>
      <c r="AH128" s="123"/>
      <c r="AI128" s="123"/>
      <c r="AJ128" s="123"/>
      <c r="AK128" s="505"/>
      <c r="AL128" s="505"/>
      <c r="AM128" s="505"/>
      <c r="AN128" s="505"/>
      <c r="AO128" s="505"/>
      <c r="AP128" s="505"/>
      <c r="AQ128" s="505"/>
      <c r="AR128" s="505"/>
      <c r="AS128" s="123"/>
      <c r="AT128" s="123"/>
      <c r="AU128" s="123"/>
      <c r="AV128" s="123"/>
      <c r="AW128" s="123"/>
      <c r="AX128" s="123"/>
      <c r="AY128" s="123"/>
    </row>
    <row r="129" spans="1:56" s="40" customFormat="1">
      <c r="A129" s="236"/>
      <c r="B129" s="20"/>
      <c r="C129" s="270" t="s">
        <v>1337</v>
      </c>
      <c r="D129" s="236">
        <f>SUM(D126:D128)</f>
        <v>36200000</v>
      </c>
      <c r="E129" s="236">
        <f t="shared" ref="E129:AA129" si="11">SUM(E126:E128)</f>
        <v>25700000</v>
      </c>
      <c r="F129" s="236">
        <f t="shared" si="11"/>
        <v>10500000</v>
      </c>
      <c r="G129" s="236">
        <f t="shared" si="11"/>
        <v>9000000</v>
      </c>
      <c r="H129" s="236">
        <f t="shared" si="11"/>
        <v>8486183</v>
      </c>
      <c r="I129" s="236">
        <f t="shared" si="11"/>
        <v>0</v>
      </c>
      <c r="J129" s="236">
        <f t="shared" si="11"/>
        <v>387993</v>
      </c>
      <c r="K129" s="236">
        <f t="shared" si="11"/>
        <v>387993</v>
      </c>
      <c r="L129" s="236">
        <f t="shared" si="11"/>
        <v>8874176</v>
      </c>
      <c r="M129" s="236">
        <f t="shared" si="11"/>
        <v>7825824</v>
      </c>
      <c r="N129" s="236">
        <f t="shared" si="11"/>
        <v>6600000</v>
      </c>
      <c r="O129" s="236">
        <f t="shared" si="11"/>
        <v>12900000</v>
      </c>
      <c r="P129" s="236">
        <f t="shared" si="11"/>
        <v>125824</v>
      </c>
      <c r="Q129" s="236">
        <f t="shared" si="11"/>
        <v>7700000</v>
      </c>
      <c r="R129" s="236">
        <f t="shared" si="11"/>
        <v>0</v>
      </c>
      <c r="S129" s="236">
        <f t="shared" si="11"/>
        <v>7700000</v>
      </c>
      <c r="T129" s="236">
        <f t="shared" si="11"/>
        <v>0</v>
      </c>
      <c r="U129" s="236">
        <f t="shared" si="11"/>
        <v>6600000</v>
      </c>
      <c r="V129" s="236">
        <f t="shared" si="11"/>
        <v>6600000</v>
      </c>
      <c r="W129" s="236">
        <f t="shared" si="11"/>
        <v>0</v>
      </c>
      <c r="X129" s="236">
        <f t="shared" si="11"/>
        <v>0</v>
      </c>
      <c r="Y129" s="236">
        <f t="shared" si="11"/>
        <v>0</v>
      </c>
      <c r="Z129" s="236">
        <f t="shared" si="11"/>
        <v>0</v>
      </c>
      <c r="AA129" s="236">
        <f t="shared" si="11"/>
        <v>0</v>
      </c>
      <c r="AB129" s="263"/>
      <c r="AC129" s="20"/>
      <c r="AD129" s="232"/>
      <c r="AE129" s="232"/>
      <c r="AF129" s="232"/>
      <c r="AG129" s="232"/>
      <c r="AH129" s="232"/>
      <c r="AI129" s="232"/>
      <c r="AJ129" s="232"/>
      <c r="AK129" s="671"/>
      <c r="AL129" s="671"/>
      <c r="AM129" s="671"/>
      <c r="AN129" s="671"/>
      <c r="AO129" s="671"/>
      <c r="AP129" s="671"/>
      <c r="AQ129" s="671"/>
      <c r="AR129" s="671"/>
      <c r="AS129" s="232"/>
      <c r="AT129" s="232"/>
      <c r="AU129" s="232"/>
      <c r="AV129" s="232"/>
      <c r="AW129" s="232"/>
      <c r="AX129" s="232"/>
      <c r="AY129" s="232"/>
    </row>
    <row r="130" spans="1:56" s="40" customFormat="1">
      <c r="A130" s="236"/>
      <c r="B130" s="20"/>
      <c r="C130" s="208">
        <v>848</v>
      </c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  <c r="AA130" s="236"/>
      <c r="AB130" s="263"/>
      <c r="AC130" s="20"/>
      <c r="AD130" s="232"/>
      <c r="AE130" s="232"/>
      <c r="AF130" s="232"/>
      <c r="AG130" s="232"/>
      <c r="AH130" s="232"/>
      <c r="AI130" s="232"/>
      <c r="AJ130" s="232"/>
      <c r="AK130" s="671"/>
      <c r="AL130" s="671"/>
      <c r="AM130" s="671"/>
      <c r="AN130" s="671"/>
      <c r="AO130" s="671"/>
      <c r="AP130" s="671"/>
      <c r="AQ130" s="671"/>
      <c r="AR130" s="671"/>
      <c r="AS130" s="232"/>
      <c r="AT130" s="232"/>
      <c r="AU130" s="232"/>
      <c r="AV130" s="232"/>
      <c r="AW130" s="232"/>
      <c r="AX130" s="232"/>
      <c r="AY130" s="232"/>
    </row>
    <row r="131" spans="1:56" s="5" customFormat="1" ht="45">
      <c r="A131" s="112">
        <f>1+A128</f>
        <v>112</v>
      </c>
      <c r="B131" s="19">
        <f>'תקציב החברה לפיתוח 2025'!B115</f>
        <v>20152</v>
      </c>
      <c r="C131" s="222" t="str">
        <f>'תקציב החברה לפיתוח 2025'!C115</f>
        <v>הקמת מתחם פודטראק ליד היכל אומנויות הבמה</v>
      </c>
      <c r="D131" s="112">
        <f>'תקציב החברה לפיתוח 2025'!D115</f>
        <v>200000</v>
      </c>
      <c r="E131" s="112">
        <f>'תקציב החברה לפיתוח 2025'!E115</f>
        <v>0</v>
      </c>
      <c r="F131" s="112">
        <f>'תקציב החברה לפיתוח 2025'!F115</f>
        <v>200000</v>
      </c>
      <c r="G131" s="112">
        <f>'תקציב החברה לפיתוח 2025'!G115</f>
        <v>0</v>
      </c>
      <c r="H131" s="112">
        <f>'תקציב החברה לפיתוח 2025'!H115</f>
        <v>0</v>
      </c>
      <c r="I131" s="112">
        <f>'תקציב החברה לפיתוח 2025'!I115</f>
        <v>0</v>
      </c>
      <c r="J131" s="112">
        <f>'תקציב החברה לפיתוח 2025'!J115</f>
        <v>0</v>
      </c>
      <c r="K131" s="112">
        <f>'תקציב החברה לפיתוח 2025'!K115</f>
        <v>0</v>
      </c>
      <c r="L131" s="112">
        <f>'תקציב החברה לפיתוח 2025'!L115</f>
        <v>0</v>
      </c>
      <c r="M131" s="112">
        <f>'תקציב החברה לפיתוח 2025'!M115</f>
        <v>0</v>
      </c>
      <c r="N131" s="112">
        <f>'תקציב החברה לפיתוח 2025'!N115</f>
        <v>200000</v>
      </c>
      <c r="O131" s="112">
        <f>'תקציב החברה לפיתוח 2025'!O115</f>
        <v>0</v>
      </c>
      <c r="P131" s="112">
        <f>'תקציב החברה לפיתוח 2025'!P115</f>
        <v>0</v>
      </c>
      <c r="Q131" s="112">
        <f>'תקציב החברה לפיתוח 2025'!Q115</f>
        <v>0</v>
      </c>
      <c r="R131" s="112">
        <f>'תקציב החברה לפיתוח 2025'!R115</f>
        <v>0</v>
      </c>
      <c r="S131" s="112">
        <f>'תקציב החברה לפיתוח 2025'!S115</f>
        <v>0</v>
      </c>
      <c r="T131" s="112">
        <f>'תקציב החברה לפיתוח 2025'!T115</f>
        <v>0</v>
      </c>
      <c r="U131" s="257">
        <f>'תקציב החברה לפיתוח 2025'!U115</f>
        <v>200000</v>
      </c>
      <c r="V131" s="112">
        <f>'תקציב החברה לפיתוח 2025'!V115</f>
        <v>200000</v>
      </c>
      <c r="W131" s="112">
        <f>'תקציב החברה לפיתוח 2025'!W115</f>
        <v>0</v>
      </c>
      <c r="X131" s="112">
        <f>'תקציב החברה לפיתוח 2025'!X115</f>
        <v>0</v>
      </c>
      <c r="Y131" s="112">
        <f>'תקציב החברה לפיתוח 2025'!Y115</f>
        <v>0</v>
      </c>
      <c r="Z131" s="112">
        <f>'תקציב החברה לפיתוח 2025'!Z115</f>
        <v>0</v>
      </c>
      <c r="AA131" s="112">
        <f>'תקציב החברה לפיתוח 2025'!AA115</f>
        <v>0</v>
      </c>
      <c r="AB131" s="202" t="str">
        <f>'תקציב החברה לפיתוח 2025'!AB115</f>
        <v>תכנון מתחם פודטראק .</v>
      </c>
      <c r="AC131" s="3">
        <f>'תקציב החברה לפיתוח 2025'!AC115</f>
        <v>848000</v>
      </c>
      <c r="AD131" s="123"/>
      <c r="AE131" s="123"/>
      <c r="AF131" s="123"/>
      <c r="AG131" s="123"/>
      <c r="AH131" s="123"/>
      <c r="AI131" s="123"/>
      <c r="AJ131" s="123"/>
      <c r="AK131" s="505"/>
      <c r="AL131" s="505"/>
      <c r="AM131" s="505"/>
      <c r="AN131" s="505"/>
      <c r="AO131" s="505"/>
      <c r="AP131" s="505"/>
      <c r="AQ131" s="505"/>
      <c r="AR131" s="505"/>
      <c r="AS131" s="123"/>
      <c r="AT131" s="123"/>
      <c r="AU131" s="123"/>
      <c r="AV131" s="123"/>
      <c r="AW131" s="123"/>
      <c r="AX131" s="123"/>
      <c r="AY131" s="123"/>
    </row>
    <row r="132" spans="1:56" s="40" customFormat="1">
      <c r="A132" s="236"/>
      <c r="B132" s="20"/>
      <c r="C132" s="270" t="s">
        <v>1338</v>
      </c>
      <c r="D132" s="236">
        <f>SUM(D131)</f>
        <v>200000</v>
      </c>
      <c r="E132" s="236">
        <f t="shared" ref="E132:AA132" si="12">SUM(E131)</f>
        <v>0</v>
      </c>
      <c r="F132" s="236">
        <f t="shared" si="12"/>
        <v>200000</v>
      </c>
      <c r="G132" s="236">
        <f t="shared" si="12"/>
        <v>0</v>
      </c>
      <c r="H132" s="236">
        <f t="shared" si="12"/>
        <v>0</v>
      </c>
      <c r="I132" s="236">
        <f t="shared" si="12"/>
        <v>0</v>
      </c>
      <c r="J132" s="236">
        <f t="shared" si="12"/>
        <v>0</v>
      </c>
      <c r="K132" s="236">
        <f t="shared" si="12"/>
        <v>0</v>
      </c>
      <c r="L132" s="236">
        <f t="shared" si="12"/>
        <v>0</v>
      </c>
      <c r="M132" s="236">
        <f t="shared" si="12"/>
        <v>0</v>
      </c>
      <c r="N132" s="236">
        <f t="shared" si="12"/>
        <v>200000</v>
      </c>
      <c r="O132" s="236">
        <f t="shared" si="12"/>
        <v>0</v>
      </c>
      <c r="P132" s="236">
        <f t="shared" si="12"/>
        <v>0</v>
      </c>
      <c r="Q132" s="236">
        <f t="shared" si="12"/>
        <v>0</v>
      </c>
      <c r="R132" s="236">
        <f t="shared" si="12"/>
        <v>0</v>
      </c>
      <c r="S132" s="236">
        <f t="shared" si="12"/>
        <v>0</v>
      </c>
      <c r="T132" s="236">
        <f t="shared" si="12"/>
        <v>0</v>
      </c>
      <c r="U132" s="236">
        <f t="shared" si="12"/>
        <v>200000</v>
      </c>
      <c r="V132" s="236">
        <f t="shared" si="12"/>
        <v>200000</v>
      </c>
      <c r="W132" s="236">
        <f t="shared" si="12"/>
        <v>0</v>
      </c>
      <c r="X132" s="236">
        <f t="shared" si="12"/>
        <v>0</v>
      </c>
      <c r="Y132" s="236">
        <f t="shared" si="12"/>
        <v>0</v>
      </c>
      <c r="Z132" s="236">
        <f t="shared" si="12"/>
        <v>0</v>
      </c>
      <c r="AA132" s="236">
        <f t="shared" si="12"/>
        <v>0</v>
      </c>
      <c r="AB132" s="263"/>
      <c r="AC132" s="20"/>
      <c r="AD132" s="232"/>
      <c r="AE132" s="232"/>
      <c r="AF132" s="232"/>
      <c r="AG132" s="232"/>
      <c r="AH132" s="232"/>
      <c r="AI132" s="232"/>
      <c r="AJ132" s="232"/>
      <c r="AK132" s="671"/>
      <c r="AL132" s="671"/>
      <c r="AM132" s="671"/>
      <c r="AN132" s="671"/>
      <c r="AO132" s="671"/>
      <c r="AP132" s="671"/>
      <c r="AQ132" s="671"/>
      <c r="AR132" s="671"/>
      <c r="AS132" s="232"/>
      <c r="AT132" s="232"/>
      <c r="AU132" s="232"/>
      <c r="AV132" s="232"/>
      <c r="AW132" s="232"/>
      <c r="AX132" s="232"/>
      <c r="AY132" s="232"/>
    </row>
    <row r="133" spans="1:56" s="40" customFormat="1">
      <c r="A133" s="236"/>
      <c r="B133" s="20"/>
      <c r="C133" s="208">
        <v>85</v>
      </c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  <c r="AA133" s="236"/>
      <c r="AB133" s="263"/>
      <c r="AC133" s="20"/>
      <c r="AD133" s="232"/>
      <c r="AE133" s="232"/>
      <c r="AF133" s="232"/>
      <c r="AG133" s="232"/>
      <c r="AH133" s="232"/>
      <c r="AI133" s="232"/>
      <c r="AJ133" s="232"/>
      <c r="AK133" s="671"/>
      <c r="AL133" s="671"/>
      <c r="AM133" s="671"/>
      <c r="AN133" s="671"/>
      <c r="AO133" s="671"/>
      <c r="AP133" s="671"/>
      <c r="AQ133" s="671"/>
      <c r="AR133" s="671"/>
      <c r="AS133" s="232"/>
      <c r="AT133" s="232"/>
      <c r="AU133" s="232"/>
      <c r="AV133" s="232"/>
      <c r="AW133" s="232"/>
      <c r="AX133" s="232"/>
      <c r="AY133" s="232"/>
    </row>
    <row r="134" spans="1:56" s="5" customFormat="1" ht="30">
      <c r="A134" s="112">
        <f>1+A131</f>
        <v>113</v>
      </c>
      <c r="B134" s="209">
        <f>'תקציב החברה לפיתוח 2025'!B48</f>
        <v>2076</v>
      </c>
      <c r="C134" s="222" t="str">
        <f>'תקציב החברה לפיתוח 2025'!C48</f>
        <v>עבודות פיתוח בכנ"ס אברהם אבינו</v>
      </c>
      <c r="D134" s="112">
        <f>'תקציב החברה לפיתוח 2025'!D48</f>
        <v>2350000</v>
      </c>
      <c r="E134" s="112">
        <f>'תקציב החברה לפיתוח 2025'!E48</f>
        <v>2350000</v>
      </c>
      <c r="F134" s="112">
        <f>'תקציב החברה לפיתוח 2025'!F48</f>
        <v>0</v>
      </c>
      <c r="G134" s="112">
        <f>'תקציב החברה לפיתוח 2025'!G48</f>
        <v>1950000</v>
      </c>
      <c r="H134" s="112">
        <f>'תקציב החברה לפיתוח 2025'!H48</f>
        <v>1714465</v>
      </c>
      <c r="I134" s="112">
        <f>'תקציב החברה לפיתוח 2025'!I48</f>
        <v>0</v>
      </c>
      <c r="J134" s="112">
        <f>'תקציב החברה לפיתוח 2025'!J48</f>
        <v>178810</v>
      </c>
      <c r="K134" s="112">
        <f>'תקציב החברה לפיתוח 2025'!K48</f>
        <v>178810</v>
      </c>
      <c r="L134" s="112">
        <f>'תקציב החברה לפיתוח 2025'!L48</f>
        <v>1893275</v>
      </c>
      <c r="M134" s="112">
        <f>'תקציב החברה לפיתוח 2025'!M48</f>
        <v>456725</v>
      </c>
      <c r="N134" s="112">
        <f>'תקציב החברה לפיתוח 2025'!N48</f>
        <v>0</v>
      </c>
      <c r="O134" s="112">
        <f>'תקציב החברה לפיתוח 2025'!O48</f>
        <v>0</v>
      </c>
      <c r="P134" s="112">
        <f>'תקציב החברה לפיתוח 2025'!P48</f>
        <v>56725</v>
      </c>
      <c r="Q134" s="112">
        <f>'תקציב החברה לפיתוח 2025'!Q48</f>
        <v>0</v>
      </c>
      <c r="R134" s="112">
        <f>'תקציב החברה לפיתוח 2025'!R48</f>
        <v>400000</v>
      </c>
      <c r="S134" s="112">
        <f>'תקציב החברה לפיתוח 2025'!S48</f>
        <v>400000</v>
      </c>
      <c r="T134" s="112">
        <f>'תקציב החברה לפיתוח 2025'!T48</f>
        <v>0</v>
      </c>
      <c r="U134" s="257">
        <f>'תקציב החברה לפיתוח 2025'!U48</f>
        <v>0</v>
      </c>
      <c r="V134" s="112">
        <f>'תקציב החברה לפיתוח 2025'!V48</f>
        <v>0</v>
      </c>
      <c r="W134" s="112">
        <f>'תקציב החברה לפיתוח 2025'!W48</f>
        <v>0</v>
      </c>
      <c r="X134" s="112">
        <f>'תקציב החברה לפיתוח 2025'!X48</f>
        <v>0</v>
      </c>
      <c r="Y134" s="112">
        <f>'תקציב החברה לפיתוח 2025'!Y48</f>
        <v>0</v>
      </c>
      <c r="Z134" s="112">
        <f>'תקציב החברה לפיתוח 2025'!Z48</f>
        <v>0</v>
      </c>
      <c r="AA134" s="127">
        <f>'תקציב החברה לפיתוח 2025'!AA48</f>
        <v>0</v>
      </c>
      <c r="AB134" s="222" t="str">
        <f>'תקציב החברה לפיתוח 2025'!AB48</f>
        <v>עבודות פיתוח ביכנ"ס "אברהם אבינו" בשכונת יד התשעה.</v>
      </c>
      <c r="AC134" s="127">
        <f>'תקציב החברה לפיתוח 2025'!AC48</f>
        <v>850000</v>
      </c>
      <c r="AD134" s="123"/>
      <c r="AE134" s="123"/>
      <c r="AF134" s="123"/>
      <c r="AG134" s="123"/>
      <c r="AH134" s="123"/>
      <c r="AI134" s="123"/>
      <c r="AJ134" s="123"/>
      <c r="AK134" s="505"/>
      <c r="AL134" s="505"/>
      <c r="AM134" s="505"/>
      <c r="AN134" s="505"/>
      <c r="AO134" s="505"/>
      <c r="AP134" s="505"/>
      <c r="AQ134" s="505"/>
      <c r="AR134" s="505"/>
      <c r="AS134" s="123"/>
      <c r="AT134" s="123"/>
      <c r="AU134" s="123"/>
      <c r="AV134" s="123"/>
      <c r="AW134" s="123"/>
      <c r="AX134" s="123"/>
      <c r="AY134" s="123"/>
      <c r="AZ134" s="126"/>
      <c r="BA134" s="126"/>
      <c r="BB134" s="126"/>
      <c r="BC134" s="126"/>
      <c r="BD134" s="126"/>
    </row>
    <row r="135" spans="1:56" s="5" customFormat="1" ht="30">
      <c r="A135" s="112">
        <f>1+A134</f>
        <v>114</v>
      </c>
      <c r="B135" s="19">
        <f>'תקציב החברה לפיתוח 2025'!B90</f>
        <v>20017</v>
      </c>
      <c r="C135" s="202" t="str">
        <f>'תקציב החברה לפיתוח 2025'!C90</f>
        <v>ביכנ"ס  הרצליה הירוקה</v>
      </c>
      <c r="D135" s="112">
        <f>'תקציב החברה לפיתוח 2025'!D90</f>
        <v>10000000</v>
      </c>
      <c r="E135" s="112">
        <f>'תקציב החברה לפיתוח 2025'!E90</f>
        <v>10000000</v>
      </c>
      <c r="F135" s="112">
        <f>'תקציב החברה לפיתוח 2025'!F90</f>
        <v>0</v>
      </c>
      <c r="G135" s="112">
        <f>'תקציב החברה לפיתוח 2025'!G90</f>
        <v>600000</v>
      </c>
      <c r="H135" s="112">
        <f>'תקציב החברה לפיתוח 2025'!H90</f>
        <v>315586</v>
      </c>
      <c r="I135" s="112">
        <f>'תקציב החברה לפיתוח 2025'!I90</f>
        <v>0</v>
      </c>
      <c r="J135" s="112">
        <f>'תקציב החברה לפיתוח 2025'!J90</f>
        <v>111469</v>
      </c>
      <c r="K135" s="112">
        <f>'תקציב החברה לפיתוח 2025'!K90</f>
        <v>111469</v>
      </c>
      <c r="L135" s="112">
        <f>'תקציב החברה לפיתוח 2025'!L90</f>
        <v>427055</v>
      </c>
      <c r="M135" s="112">
        <f>'תקציב החברה לפיתוח 2025'!M90</f>
        <v>172945</v>
      </c>
      <c r="N135" s="112">
        <f>'תקציב החברה לפיתוח 2025'!N90</f>
        <v>100000</v>
      </c>
      <c r="O135" s="112">
        <f>'תקציב החברה לפיתוח 2025'!O90</f>
        <v>9300000</v>
      </c>
      <c r="P135" s="112">
        <f>'תקציב החברה לפיתוח 2025'!P90</f>
        <v>172945</v>
      </c>
      <c r="Q135" s="112">
        <f>'תקציב החברה לפיתוח 2025'!Q90</f>
        <v>0</v>
      </c>
      <c r="R135" s="112">
        <f>'תקציב החברה לפיתוח 2025'!R90</f>
        <v>0</v>
      </c>
      <c r="S135" s="112">
        <f>'תקציב החברה לפיתוח 2025'!S90</f>
        <v>0</v>
      </c>
      <c r="T135" s="112">
        <f>'תקציב החברה לפיתוח 2025'!T90</f>
        <v>0</v>
      </c>
      <c r="U135" s="257">
        <f>'תקציב החברה לפיתוח 2025'!U90</f>
        <v>100000</v>
      </c>
      <c r="V135" s="112">
        <f>'תקציב החברה לפיתוח 2025'!V90</f>
        <v>100000</v>
      </c>
      <c r="W135" s="112">
        <f>'תקציב החברה לפיתוח 2025'!W90</f>
        <v>0</v>
      </c>
      <c r="X135" s="112">
        <f>'תקציב החברה לפיתוח 2025'!X90</f>
        <v>0</v>
      </c>
      <c r="Y135" s="112">
        <f>'תקציב החברה לפיתוח 2025'!Y90</f>
        <v>0</v>
      </c>
      <c r="Z135" s="112">
        <f>'תקציב החברה לפיתוח 2025'!Z90</f>
        <v>0</v>
      </c>
      <c r="AA135" s="127">
        <f>'תקציב החברה לפיתוח 2025'!AA90</f>
        <v>0</v>
      </c>
      <c r="AB135" s="202" t="str">
        <f>'תקציב החברה לפיתוח 2025'!AB90</f>
        <v>תכנון וביצוע ביכנ"ס גוש 6526 חלקה 46 בדויד השמעוני בהרצליה הירוקה.</v>
      </c>
      <c r="AC135" s="3">
        <f>'תקציב החברה לפיתוח 2025'!AC90</f>
        <v>850000</v>
      </c>
      <c r="AD135" s="123"/>
      <c r="AE135" s="123"/>
      <c r="AF135" s="123"/>
      <c r="AG135" s="123"/>
      <c r="AH135" s="123"/>
      <c r="AI135" s="123"/>
      <c r="AJ135" s="123"/>
      <c r="AK135" s="505"/>
      <c r="AL135" s="505"/>
      <c r="AM135" s="505"/>
      <c r="AN135" s="505"/>
      <c r="AO135" s="505"/>
      <c r="AP135" s="505"/>
      <c r="AQ135" s="505"/>
      <c r="AR135" s="505"/>
      <c r="AS135" s="123"/>
      <c r="AT135" s="123"/>
      <c r="AU135" s="123"/>
      <c r="AV135" s="123"/>
      <c r="AW135" s="123"/>
      <c r="AX135" s="123"/>
      <c r="AY135" s="123"/>
    </row>
    <row r="136" spans="1:56" s="5" customFormat="1" ht="60">
      <c r="A136" s="112">
        <f>1+A135</f>
        <v>115</v>
      </c>
      <c r="B136" s="19">
        <f>'תקציב החברה לפיתוח 2025'!B92</f>
        <v>20063</v>
      </c>
      <c r="C136" s="202" t="str">
        <f>'תקציב החברה לפיתוח 2025'!C92</f>
        <v>ביכנ"ס ע"ש הרב שלמה קוממי זצ"ל ומרכז לטיפול בגיל הרך מגרש 301 ג. ים</v>
      </c>
      <c r="D136" s="112">
        <f>'תקציב החברה לפיתוח 2025'!D92</f>
        <v>1750000</v>
      </c>
      <c r="E136" s="112">
        <f>'תקציב החברה לפיתוח 2025'!E92</f>
        <v>1750000</v>
      </c>
      <c r="F136" s="112">
        <f>'תקציב החברה לפיתוח 2025'!F92</f>
        <v>0</v>
      </c>
      <c r="G136" s="112">
        <f>'תקציב החברה לפיתוח 2025'!G92</f>
        <v>700000</v>
      </c>
      <c r="H136" s="112">
        <f>'תקציב החברה לפיתוח 2025'!H92</f>
        <v>470452</v>
      </c>
      <c r="I136" s="112">
        <f>'תקציב החברה לפיתוח 2025'!I92</f>
        <v>0</v>
      </c>
      <c r="J136" s="112">
        <f>'תקציב החברה לפיתוח 2025'!J92</f>
        <v>182520</v>
      </c>
      <c r="K136" s="112">
        <f>'תקציב החברה לפיתוח 2025'!K92</f>
        <v>182520</v>
      </c>
      <c r="L136" s="112">
        <f>'תקציב החברה לפיתוח 2025'!L92</f>
        <v>652972</v>
      </c>
      <c r="M136" s="112">
        <f>'תקציב החברה לפיתוח 2025'!M92</f>
        <v>247028</v>
      </c>
      <c r="N136" s="112">
        <f>'תקציב החברה לפיתוח 2025'!N92</f>
        <v>350000</v>
      </c>
      <c r="O136" s="112">
        <f>'תקציב החברה לפיתוח 2025'!O92</f>
        <v>500000</v>
      </c>
      <c r="P136" s="112">
        <f>'תקציב החברה לפיתוח 2025'!P92</f>
        <v>47028</v>
      </c>
      <c r="Q136" s="112">
        <f>'תקציב החברה לפיתוח 2025'!Q92</f>
        <v>200000</v>
      </c>
      <c r="R136" s="112">
        <f>'תקציב החברה לפיתוח 2025'!R92</f>
        <v>0</v>
      </c>
      <c r="S136" s="112">
        <f>'תקציב החברה לפיתוח 2025'!S92</f>
        <v>200000</v>
      </c>
      <c r="T136" s="112">
        <f>'תקציב החברה לפיתוח 2025'!T92</f>
        <v>0</v>
      </c>
      <c r="U136" s="257">
        <f>'תקציב החברה לפיתוח 2025'!U92</f>
        <v>350000</v>
      </c>
      <c r="V136" s="112">
        <f>'תקציב החברה לפיתוח 2025'!V92</f>
        <v>350000</v>
      </c>
      <c r="W136" s="112">
        <f>'תקציב החברה לפיתוח 2025'!W92</f>
        <v>0</v>
      </c>
      <c r="X136" s="112">
        <f>'תקציב החברה לפיתוח 2025'!X92</f>
        <v>0</v>
      </c>
      <c r="Y136" s="112">
        <f>'תקציב החברה לפיתוח 2025'!Y92</f>
        <v>0</v>
      </c>
      <c r="Z136" s="112">
        <f>'תקציב החברה לפיתוח 2025'!Z92</f>
        <v>0</v>
      </c>
      <c r="AA136" s="127">
        <f>'תקציב החברה לפיתוח 2025'!AA92</f>
        <v>0</v>
      </c>
      <c r="AB136" s="202" t="str">
        <f>'תקציב החברה לפיתוח 2025'!AB92</f>
        <v>ביכנ"ס ומרכז טיפול לגיל הרך מגרש 301. תכנון.</v>
      </c>
      <c r="AC136" s="3">
        <f>'תקציב החברה לפיתוח 2025'!AC92</f>
        <v>850000</v>
      </c>
      <c r="AD136" s="123"/>
      <c r="AE136" s="123"/>
      <c r="AF136" s="123"/>
      <c r="AG136" s="123"/>
      <c r="AH136" s="123"/>
      <c r="AI136" s="123"/>
      <c r="AJ136" s="123"/>
      <c r="AK136" s="505"/>
      <c r="AL136" s="505"/>
      <c r="AM136" s="505"/>
      <c r="AN136" s="505"/>
      <c r="AO136" s="505"/>
      <c r="AP136" s="505"/>
      <c r="AQ136" s="505"/>
      <c r="AR136" s="505"/>
      <c r="AS136" s="123"/>
      <c r="AT136" s="123"/>
      <c r="AU136" s="123"/>
      <c r="AV136" s="123"/>
      <c r="AW136" s="123"/>
      <c r="AX136" s="123"/>
      <c r="AY136" s="123"/>
    </row>
    <row r="137" spans="1:56" s="40" customFormat="1">
      <c r="A137" s="236"/>
      <c r="B137" s="20"/>
      <c r="C137" s="263" t="s">
        <v>1339</v>
      </c>
      <c r="D137" s="236">
        <f>SUM(D134:D136)</f>
        <v>14100000</v>
      </c>
      <c r="E137" s="236">
        <f t="shared" ref="E137:AA137" si="13">SUM(E134:E136)</f>
        <v>14100000</v>
      </c>
      <c r="F137" s="236">
        <f t="shared" si="13"/>
        <v>0</v>
      </c>
      <c r="G137" s="236">
        <f t="shared" si="13"/>
        <v>3250000</v>
      </c>
      <c r="H137" s="236">
        <f t="shared" si="13"/>
        <v>2500503</v>
      </c>
      <c r="I137" s="236">
        <f t="shared" si="13"/>
        <v>0</v>
      </c>
      <c r="J137" s="236">
        <f t="shared" si="13"/>
        <v>472799</v>
      </c>
      <c r="K137" s="236">
        <f t="shared" si="13"/>
        <v>472799</v>
      </c>
      <c r="L137" s="236">
        <f t="shared" si="13"/>
        <v>2973302</v>
      </c>
      <c r="M137" s="236">
        <f t="shared" si="13"/>
        <v>876698</v>
      </c>
      <c r="N137" s="236">
        <f t="shared" si="13"/>
        <v>450000</v>
      </c>
      <c r="O137" s="236">
        <f t="shared" si="13"/>
        <v>9800000</v>
      </c>
      <c r="P137" s="236">
        <f t="shared" si="13"/>
        <v>276698</v>
      </c>
      <c r="Q137" s="236">
        <f t="shared" si="13"/>
        <v>200000</v>
      </c>
      <c r="R137" s="236">
        <f t="shared" si="13"/>
        <v>400000</v>
      </c>
      <c r="S137" s="236">
        <f t="shared" si="13"/>
        <v>600000</v>
      </c>
      <c r="T137" s="236">
        <f t="shared" si="13"/>
        <v>0</v>
      </c>
      <c r="U137" s="236">
        <f t="shared" si="13"/>
        <v>450000</v>
      </c>
      <c r="V137" s="236">
        <f t="shared" si="13"/>
        <v>450000</v>
      </c>
      <c r="W137" s="236">
        <f t="shared" si="13"/>
        <v>0</v>
      </c>
      <c r="X137" s="236">
        <f t="shared" si="13"/>
        <v>0</v>
      </c>
      <c r="Y137" s="236">
        <f t="shared" si="13"/>
        <v>0</v>
      </c>
      <c r="Z137" s="236">
        <f t="shared" si="13"/>
        <v>0</v>
      </c>
      <c r="AA137" s="236">
        <f t="shared" si="13"/>
        <v>0</v>
      </c>
      <c r="AB137" s="263"/>
      <c r="AC137" s="20"/>
      <c r="AD137" s="232"/>
      <c r="AE137" s="232"/>
      <c r="AF137" s="232"/>
      <c r="AG137" s="232"/>
      <c r="AH137" s="232"/>
      <c r="AI137" s="232"/>
      <c r="AJ137" s="232"/>
      <c r="AK137" s="671"/>
      <c r="AL137" s="671"/>
      <c r="AM137" s="671"/>
      <c r="AN137" s="671"/>
      <c r="AO137" s="671"/>
      <c r="AP137" s="671"/>
      <c r="AQ137" s="671"/>
      <c r="AR137" s="671"/>
      <c r="AS137" s="232"/>
      <c r="AT137" s="232"/>
      <c r="AU137" s="232"/>
      <c r="AV137" s="232"/>
      <c r="AW137" s="232"/>
      <c r="AX137" s="232"/>
      <c r="AY137" s="232"/>
    </row>
    <row r="138" spans="1:56" s="40" customFormat="1">
      <c r="A138" s="236"/>
      <c r="B138" s="20"/>
      <c r="C138" s="20">
        <v>87</v>
      </c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  <c r="AA138" s="208"/>
      <c r="AB138" s="263"/>
      <c r="AC138" s="20"/>
      <c r="AD138" s="232"/>
      <c r="AE138" s="232"/>
      <c r="AF138" s="232"/>
      <c r="AG138" s="232"/>
      <c r="AH138" s="232"/>
      <c r="AI138" s="232"/>
      <c r="AJ138" s="232"/>
      <c r="AK138" s="671"/>
      <c r="AL138" s="671"/>
      <c r="AM138" s="671"/>
      <c r="AN138" s="671"/>
      <c r="AO138" s="671"/>
      <c r="AP138" s="671"/>
      <c r="AQ138" s="671"/>
      <c r="AR138" s="671"/>
      <c r="AS138" s="232"/>
      <c r="AT138" s="232"/>
      <c r="AU138" s="232"/>
      <c r="AV138" s="232"/>
      <c r="AW138" s="232"/>
      <c r="AX138" s="232"/>
      <c r="AY138" s="232"/>
    </row>
    <row r="139" spans="1:56" s="5" customFormat="1" ht="45">
      <c r="A139" s="112">
        <f>1+A136</f>
        <v>116</v>
      </c>
      <c r="B139" s="201">
        <f>'תקציב החברה לפיתוח 2025'!B80</f>
        <v>2213</v>
      </c>
      <c r="C139" s="202" t="str">
        <f>'תקציב החברה לפיתוח 2025'!C80</f>
        <v>הקמת מערכות pv מעל גגות מבני ציבור בהרצליה</v>
      </c>
      <c r="D139" s="112">
        <f>'תקציב החברה לפיתוח 2025'!D80</f>
        <v>20100000</v>
      </c>
      <c r="E139" s="112">
        <f>'תקציב החברה לפיתוח 2025'!E80</f>
        <v>10100000</v>
      </c>
      <c r="F139" s="112">
        <f>'תקציב החברה לפיתוח 2025'!F80</f>
        <v>10000000</v>
      </c>
      <c r="G139" s="112">
        <f>'תקציב החברה לפיתוח 2025'!G80</f>
        <v>8100000</v>
      </c>
      <c r="H139" s="112">
        <f>'תקציב החברה לפיתוח 2025'!H80</f>
        <v>6404773</v>
      </c>
      <c r="I139" s="112">
        <f>'תקציב החברה לפיתוח 2025'!I80</f>
        <v>0</v>
      </c>
      <c r="J139" s="112">
        <f>'תקציב החברה לפיתוח 2025'!J80</f>
        <v>632878</v>
      </c>
      <c r="K139" s="112">
        <f>'תקציב החברה לפיתוח 2025'!K80</f>
        <v>632878</v>
      </c>
      <c r="L139" s="112">
        <f>'תקציב החברה לפיתוח 2025'!L80</f>
        <v>7037651</v>
      </c>
      <c r="M139" s="112">
        <f>'תקציב החברה לפיתוח 2025'!M80</f>
        <v>3062349</v>
      </c>
      <c r="N139" s="112">
        <f>'תקציב החברה לפיתוח 2025'!N80</f>
        <v>1000000</v>
      </c>
      <c r="O139" s="112">
        <f>'תקציב החברה לפיתוח 2025'!O80</f>
        <v>9000000</v>
      </c>
      <c r="P139" s="112">
        <f>'תקציב החברה לפיתוח 2025'!P80</f>
        <v>1062349</v>
      </c>
      <c r="Q139" s="112">
        <f>'תקציב החברה לפיתוח 2025'!Q80</f>
        <v>0</v>
      </c>
      <c r="R139" s="112">
        <f>'תקציב החברה לפיתוח 2025'!R80</f>
        <v>2000000</v>
      </c>
      <c r="S139" s="112">
        <f>'תקציב החברה לפיתוח 2025'!S80</f>
        <v>2000000</v>
      </c>
      <c r="T139" s="112">
        <f>'תקציב החברה לפיתוח 2025'!T80</f>
        <v>0</v>
      </c>
      <c r="U139" s="257">
        <f>'תקציב החברה לפיתוח 2025'!U80</f>
        <v>1000000</v>
      </c>
      <c r="V139" s="112">
        <f>'תקציב החברה לפיתוח 2025'!V80</f>
        <v>1000000</v>
      </c>
      <c r="W139" s="112">
        <f>'תקציב החברה לפיתוח 2025'!W80</f>
        <v>0</v>
      </c>
      <c r="X139" s="112">
        <f>'תקציב החברה לפיתוח 2025'!X80</f>
        <v>0</v>
      </c>
      <c r="Y139" s="112">
        <f>'תקציב החברה לפיתוח 2025'!Y80</f>
        <v>0</v>
      </c>
      <c r="Z139" s="112">
        <f>'תקציב החברה לפיתוח 2025'!Z80</f>
        <v>0</v>
      </c>
      <c r="AA139" s="127">
        <f>'תקציב החברה לפיתוח 2025'!AA80</f>
        <v>0</v>
      </c>
      <c r="AB139" s="202" t="str">
        <f>'תקציב החברה לפיתוח 2025'!AB80</f>
        <v>הקמת מערכות סולאריות על גגות אולמות ספורט ומתנ"סים 14 במספר עפ"י רשימה.  מימון הלוואה.</v>
      </c>
      <c r="AC139" s="3">
        <f>'תקציב החברה לפיתוח 2025'!AC80</f>
        <v>870000</v>
      </c>
      <c r="AD139" s="123"/>
      <c r="AE139" s="123"/>
      <c r="AF139" s="123"/>
      <c r="AG139" s="123"/>
      <c r="AH139" s="123"/>
      <c r="AI139" s="123"/>
      <c r="AJ139" s="123"/>
      <c r="AK139" s="505"/>
      <c r="AL139" s="505"/>
      <c r="AM139" s="505"/>
      <c r="AN139" s="505"/>
      <c r="AO139" s="505"/>
      <c r="AP139" s="505"/>
      <c r="AQ139" s="505"/>
      <c r="AR139" s="505"/>
      <c r="AS139" s="123"/>
      <c r="AT139" s="123"/>
      <c r="AU139" s="123"/>
      <c r="AV139" s="123"/>
      <c r="AW139" s="123"/>
      <c r="AX139" s="123"/>
      <c r="AY139" s="123"/>
    </row>
    <row r="140" spans="1:56" s="5" customFormat="1" ht="24.95" customHeight="1">
      <c r="A140" s="112">
        <f>1+A139</f>
        <v>117</v>
      </c>
      <c r="B140" s="19">
        <f>'תקציב החברה לפיתוח 2025'!B121</f>
        <v>20158</v>
      </c>
      <c r="C140" s="222" t="str">
        <f>'תקציב החברה לפיתוח 2025'!C121</f>
        <v>הצללה ברחוב סוקולוב</v>
      </c>
      <c r="D140" s="112">
        <f>'תקציב החברה לפיתוח 2025'!D121</f>
        <v>40000000</v>
      </c>
      <c r="E140" s="112">
        <f>'תקציב החברה לפיתוח 2025'!E121</f>
        <v>0</v>
      </c>
      <c r="F140" s="112">
        <f>'תקציב החברה לפיתוח 2025'!F121</f>
        <v>40000000</v>
      </c>
      <c r="G140" s="112">
        <f>'תקציב החברה לפיתוח 2025'!G121</f>
        <v>0</v>
      </c>
      <c r="H140" s="112">
        <f>'תקציב החברה לפיתוח 2025'!H121</f>
        <v>0</v>
      </c>
      <c r="I140" s="112">
        <f>'תקציב החברה לפיתוח 2025'!I121</f>
        <v>0</v>
      </c>
      <c r="J140" s="112">
        <f>'תקציב החברה לפיתוח 2025'!J121</f>
        <v>0</v>
      </c>
      <c r="K140" s="112">
        <f>'תקציב החברה לפיתוח 2025'!K121</f>
        <v>0</v>
      </c>
      <c r="L140" s="112">
        <f>'תקציב החברה לפיתוח 2025'!L121</f>
        <v>0</v>
      </c>
      <c r="M140" s="112">
        <f>'תקציב החברה לפיתוח 2025'!M121</f>
        <v>0</v>
      </c>
      <c r="N140" s="112">
        <f>'תקציב החברה לפיתוח 2025'!N121</f>
        <v>500000</v>
      </c>
      <c r="O140" s="112">
        <f>'תקציב החברה לפיתוח 2025'!O121</f>
        <v>39500000</v>
      </c>
      <c r="P140" s="112">
        <f>'תקציב החברה לפיתוח 2025'!P121</f>
        <v>0</v>
      </c>
      <c r="Q140" s="112">
        <f>'תקציב החברה לפיתוח 2025'!Q121</f>
        <v>0</v>
      </c>
      <c r="R140" s="112">
        <f>'תקציב החברה לפיתוח 2025'!R121</f>
        <v>0</v>
      </c>
      <c r="S140" s="112">
        <f>'תקציב החברה לפיתוח 2025'!S121</f>
        <v>0</v>
      </c>
      <c r="T140" s="112">
        <f>'תקציב החברה לפיתוח 2025'!T121</f>
        <v>0</v>
      </c>
      <c r="U140" s="257">
        <f>'תקציב החברה לפיתוח 2025'!U121</f>
        <v>500000</v>
      </c>
      <c r="V140" s="112">
        <f>'תקציב החברה לפיתוח 2025'!V121</f>
        <v>500000</v>
      </c>
      <c r="W140" s="112">
        <f>'תקציב החברה לפיתוח 2025'!W121</f>
        <v>0</v>
      </c>
      <c r="X140" s="112">
        <f>'תקציב החברה לפיתוח 2025'!X121</f>
        <v>0</v>
      </c>
      <c r="Y140" s="112">
        <f>'תקציב החברה לפיתוח 2025'!Y121</f>
        <v>0</v>
      </c>
      <c r="Z140" s="112">
        <f>'תקציב החברה לפיתוח 2025'!Z121</f>
        <v>0</v>
      </c>
      <c r="AA140" s="112">
        <f>'תקציב החברה לפיתוח 2025'!AA121</f>
        <v>0</v>
      </c>
      <c r="AB140" s="202" t="str">
        <f>'תקציב החברה לפיתוח 2025'!AB121</f>
        <v>תוכנית להצללת רחוב סוקולוב.</v>
      </c>
      <c r="AC140" s="3">
        <f>'תקציב החברה לפיתוח 2025'!AC121</f>
        <v>870000</v>
      </c>
      <c r="AD140" s="123"/>
      <c r="AE140" s="123"/>
      <c r="AF140" s="123"/>
      <c r="AG140" s="123"/>
      <c r="AH140" s="123"/>
      <c r="AI140" s="123"/>
      <c r="AJ140" s="123"/>
      <c r="AK140" s="505"/>
      <c r="AL140" s="505"/>
      <c r="AM140" s="505"/>
      <c r="AN140" s="505"/>
      <c r="AO140" s="505"/>
      <c r="AP140" s="505"/>
      <c r="AQ140" s="505"/>
      <c r="AR140" s="505"/>
      <c r="AS140" s="123"/>
      <c r="AT140" s="123"/>
      <c r="AU140" s="123"/>
      <c r="AV140" s="123"/>
      <c r="AW140" s="123"/>
      <c r="AX140" s="123"/>
      <c r="AY140" s="123"/>
    </row>
    <row r="141" spans="1:56" s="40" customFormat="1" ht="17.25" customHeight="1">
      <c r="A141" s="236"/>
      <c r="B141" s="20"/>
      <c r="C141" s="270" t="s">
        <v>1333</v>
      </c>
      <c r="D141" s="236">
        <f>SUM(D139:D140)</f>
        <v>60100000</v>
      </c>
      <c r="E141" s="236">
        <f t="shared" ref="E141:AA141" si="14">SUM(E139:E140)</f>
        <v>10100000</v>
      </c>
      <c r="F141" s="236">
        <f t="shared" si="14"/>
        <v>50000000</v>
      </c>
      <c r="G141" s="236">
        <f t="shared" si="14"/>
        <v>8100000</v>
      </c>
      <c r="H141" s="236">
        <f t="shared" si="14"/>
        <v>6404773</v>
      </c>
      <c r="I141" s="236">
        <f t="shared" si="14"/>
        <v>0</v>
      </c>
      <c r="J141" s="236">
        <f t="shared" si="14"/>
        <v>632878</v>
      </c>
      <c r="K141" s="236">
        <f t="shared" si="14"/>
        <v>632878</v>
      </c>
      <c r="L141" s="236">
        <f t="shared" si="14"/>
        <v>7037651</v>
      </c>
      <c r="M141" s="236">
        <f t="shared" si="14"/>
        <v>3062349</v>
      </c>
      <c r="N141" s="236">
        <f t="shared" si="14"/>
        <v>1500000</v>
      </c>
      <c r="O141" s="236">
        <f t="shared" si="14"/>
        <v>48500000</v>
      </c>
      <c r="P141" s="236">
        <f t="shared" si="14"/>
        <v>1062349</v>
      </c>
      <c r="Q141" s="236">
        <f t="shared" si="14"/>
        <v>0</v>
      </c>
      <c r="R141" s="236">
        <f t="shared" si="14"/>
        <v>2000000</v>
      </c>
      <c r="S141" s="236">
        <f t="shared" si="14"/>
        <v>2000000</v>
      </c>
      <c r="T141" s="236">
        <f t="shared" si="14"/>
        <v>0</v>
      </c>
      <c r="U141" s="236">
        <f t="shared" si="14"/>
        <v>1500000</v>
      </c>
      <c r="V141" s="236">
        <f t="shared" si="14"/>
        <v>1500000</v>
      </c>
      <c r="W141" s="236">
        <f t="shared" si="14"/>
        <v>0</v>
      </c>
      <c r="X141" s="236">
        <f t="shared" si="14"/>
        <v>0</v>
      </c>
      <c r="Y141" s="236">
        <f t="shared" si="14"/>
        <v>0</v>
      </c>
      <c r="Z141" s="236">
        <f t="shared" si="14"/>
        <v>0</v>
      </c>
      <c r="AA141" s="236">
        <f t="shared" si="14"/>
        <v>0</v>
      </c>
      <c r="AB141" s="263"/>
      <c r="AC141" s="20"/>
      <c r="AD141" s="232"/>
      <c r="AE141" s="232"/>
      <c r="AF141" s="232"/>
      <c r="AG141" s="232"/>
      <c r="AH141" s="232"/>
      <c r="AI141" s="232"/>
      <c r="AJ141" s="232"/>
      <c r="AK141" s="671"/>
      <c r="AL141" s="671"/>
      <c r="AM141" s="671"/>
      <c r="AN141" s="671"/>
      <c r="AO141" s="671"/>
      <c r="AP141" s="671"/>
      <c r="AQ141" s="671"/>
      <c r="AR141" s="671"/>
      <c r="AS141" s="232"/>
      <c r="AT141" s="232"/>
      <c r="AU141" s="232"/>
      <c r="AV141" s="232"/>
      <c r="AW141" s="232"/>
      <c r="AX141" s="232"/>
      <c r="AY141" s="232"/>
    </row>
    <row r="142" spans="1:56" s="40" customFormat="1" ht="17.25" customHeight="1">
      <c r="A142" s="236"/>
      <c r="B142" s="20"/>
      <c r="C142" s="208">
        <v>93</v>
      </c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  <c r="Z142" s="236"/>
      <c r="AA142" s="236"/>
      <c r="AB142" s="263"/>
      <c r="AC142" s="20"/>
      <c r="AD142" s="232"/>
      <c r="AE142" s="232"/>
      <c r="AF142" s="232"/>
      <c r="AG142" s="232"/>
      <c r="AH142" s="232"/>
      <c r="AI142" s="232"/>
      <c r="AJ142" s="232"/>
      <c r="AK142" s="671"/>
      <c r="AL142" s="671"/>
      <c r="AM142" s="671"/>
      <c r="AN142" s="671"/>
      <c r="AO142" s="671"/>
      <c r="AP142" s="671"/>
      <c r="AQ142" s="671"/>
      <c r="AR142" s="671"/>
      <c r="AS142" s="232"/>
      <c r="AT142" s="232"/>
      <c r="AU142" s="232"/>
      <c r="AV142" s="232"/>
      <c r="AW142" s="232"/>
      <c r="AX142" s="232"/>
      <c r="AY142" s="232"/>
    </row>
    <row r="143" spans="1:56" s="5" customFormat="1" ht="24.95" customHeight="1">
      <c r="A143" s="112">
        <f>1+A140</f>
        <v>118</v>
      </c>
      <c r="B143" s="3">
        <f>'תקציב החברה לפיתוח 2025'!B100</f>
        <v>20097</v>
      </c>
      <c r="C143" s="202" t="str">
        <f>'תקציב החברה לפיתוח 2025'!C100</f>
        <v>מערכת מיזוג אוויר תאגיד התרבות</v>
      </c>
      <c r="D143" s="112">
        <f>'תקציב החברה לפיתוח 2025'!D100</f>
        <v>2900000</v>
      </c>
      <c r="E143" s="112">
        <f>'תקציב החברה לפיתוח 2025'!E100</f>
        <v>2900000</v>
      </c>
      <c r="F143" s="112">
        <f>'תקציב החברה לפיתוח 2025'!F100</f>
        <v>0</v>
      </c>
      <c r="G143" s="112">
        <f>'תקציב החברה לפיתוח 2025'!G100</f>
        <v>0</v>
      </c>
      <c r="H143" s="112">
        <f>'תקציב החברה לפיתוח 2025'!H100</f>
        <v>0</v>
      </c>
      <c r="I143" s="112">
        <f>'תקציב החברה לפיתוח 2025'!I100</f>
        <v>0</v>
      </c>
      <c r="J143" s="112">
        <f>'תקציב החברה לפיתוח 2025'!J100</f>
        <v>0</v>
      </c>
      <c r="K143" s="112">
        <f>'תקציב החברה לפיתוח 2025'!K100</f>
        <v>0</v>
      </c>
      <c r="L143" s="112">
        <f>'תקציב החברה לפיתוח 2025'!L100</f>
        <v>0</v>
      </c>
      <c r="M143" s="112">
        <f>'תקציב החברה לפיתוח 2025'!M100</f>
        <v>0</v>
      </c>
      <c r="N143" s="112">
        <f>'תקציב החברה לפיתוח 2025'!N100</f>
        <v>0</v>
      </c>
      <c r="O143" s="112">
        <f>'תקציב החברה לפיתוח 2025'!O100</f>
        <v>2900000</v>
      </c>
      <c r="P143" s="112">
        <f>'תקציב החברה לפיתוח 2025'!P100</f>
        <v>0</v>
      </c>
      <c r="Q143" s="112">
        <f>'תקציב החברה לפיתוח 2025'!Q100</f>
        <v>0</v>
      </c>
      <c r="R143" s="112">
        <f>'תקציב החברה לפיתוח 2025'!R100</f>
        <v>0</v>
      </c>
      <c r="S143" s="112">
        <f>'תקציב החברה לפיתוח 2025'!S100</f>
        <v>0</v>
      </c>
      <c r="T143" s="112">
        <f>'תקציב החברה לפיתוח 2025'!T100</f>
        <v>0</v>
      </c>
      <c r="U143" s="257">
        <f>'תקציב החברה לפיתוח 2025'!U100</f>
        <v>0</v>
      </c>
      <c r="V143" s="112">
        <f>'תקציב החברה לפיתוח 2025'!V100</f>
        <v>0</v>
      </c>
      <c r="W143" s="112">
        <f>'תקציב החברה לפיתוח 2025'!W100</f>
        <v>0</v>
      </c>
      <c r="X143" s="112">
        <f>'תקציב החברה לפיתוח 2025'!X100</f>
        <v>0</v>
      </c>
      <c r="Y143" s="112">
        <f>'תקציב החברה לפיתוח 2025'!Y100</f>
        <v>0</v>
      </c>
      <c r="Z143" s="112">
        <f>'תקציב החברה לפיתוח 2025'!Z100</f>
        <v>0</v>
      </c>
      <c r="AA143" s="112">
        <f>'תקציב החברה לפיתוח 2025'!AA100</f>
        <v>0</v>
      </c>
      <c r="AB143" s="202" t="str">
        <f>'תקציב החברה לפיתוח 2025'!AB100</f>
        <v>שדרוג והחלפת מערכות צ'ילרים . מימון חלקי תאגיד התרבות .</v>
      </c>
      <c r="AC143" s="3">
        <f>'תקציב החברה לפיתוח 2025'!AC100</f>
        <v>930000</v>
      </c>
      <c r="AD143" s="123"/>
      <c r="AE143" s="123"/>
      <c r="AF143" s="123"/>
      <c r="AG143" s="123"/>
      <c r="AH143" s="123"/>
      <c r="AI143" s="123"/>
      <c r="AJ143" s="123"/>
      <c r="AK143" s="505"/>
      <c r="AL143" s="505"/>
      <c r="AM143" s="505"/>
      <c r="AN143" s="505"/>
      <c r="AO143" s="505"/>
      <c r="AP143" s="505"/>
      <c r="AQ143" s="505"/>
      <c r="AR143" s="505"/>
      <c r="AS143" s="123"/>
      <c r="AT143" s="123"/>
      <c r="AU143" s="123"/>
      <c r="AV143" s="123"/>
      <c r="AW143" s="123"/>
      <c r="AX143" s="123"/>
      <c r="AY143" s="123"/>
    </row>
    <row r="144" spans="1:56" s="5" customFormat="1" ht="24.95" customHeight="1">
      <c r="A144" s="112">
        <f>1+A143</f>
        <v>119</v>
      </c>
      <c r="B144" s="19">
        <f>'תקציב החברה לפיתוח 2025'!B120</f>
        <v>20157</v>
      </c>
      <c r="C144" s="222" t="str">
        <f>'תקציב החברה לפיתוח 2025'!C120</f>
        <v>שיקום מרכז מסחרי נוף ים</v>
      </c>
      <c r="D144" s="112">
        <f>'תקציב החברה לפיתוח 2025'!D120</f>
        <v>1330000</v>
      </c>
      <c r="E144" s="112">
        <f>'תקציב החברה לפיתוח 2025'!E120</f>
        <v>0</v>
      </c>
      <c r="F144" s="112">
        <f>'תקציב החברה לפיתוח 2025'!F120</f>
        <v>1330000</v>
      </c>
      <c r="G144" s="112">
        <f>'תקציב החברה לפיתוח 2025'!G120</f>
        <v>0</v>
      </c>
      <c r="H144" s="112">
        <f>'תקציב החברה לפיתוח 2025'!H120</f>
        <v>0</v>
      </c>
      <c r="I144" s="112">
        <f>'תקציב החברה לפיתוח 2025'!I120</f>
        <v>0</v>
      </c>
      <c r="J144" s="112">
        <f>'תקציב החברה לפיתוח 2025'!J120</f>
        <v>0</v>
      </c>
      <c r="K144" s="112">
        <f>'תקציב החברה לפיתוח 2025'!K120</f>
        <v>0</v>
      </c>
      <c r="L144" s="112">
        <f>'תקציב החברה לפיתוח 2025'!L120</f>
        <v>0</v>
      </c>
      <c r="M144" s="112">
        <f>'תקציב החברה לפיתוח 2025'!M120</f>
        <v>0</v>
      </c>
      <c r="N144" s="112">
        <f>'תקציב החברה לפיתוח 2025'!N120</f>
        <v>330000</v>
      </c>
      <c r="O144" s="112">
        <f>'תקציב החברה לפיתוח 2025'!O120</f>
        <v>1000000</v>
      </c>
      <c r="P144" s="112">
        <f>'תקציב החברה לפיתוח 2025'!P120</f>
        <v>0</v>
      </c>
      <c r="Q144" s="112">
        <f>'תקציב החברה לפיתוח 2025'!Q120</f>
        <v>0</v>
      </c>
      <c r="R144" s="112">
        <f>'תקציב החברה לפיתוח 2025'!R120</f>
        <v>0</v>
      </c>
      <c r="S144" s="112">
        <f>'תקציב החברה לפיתוח 2025'!S120</f>
        <v>0</v>
      </c>
      <c r="T144" s="112">
        <f>'תקציב החברה לפיתוח 2025'!T120</f>
        <v>0</v>
      </c>
      <c r="U144" s="257">
        <f>'תקציב החברה לפיתוח 2025'!U120</f>
        <v>330000</v>
      </c>
      <c r="V144" s="112">
        <f>'תקציב החברה לפיתוח 2025'!V120</f>
        <v>330000</v>
      </c>
      <c r="W144" s="112">
        <f>'תקציב החברה לפיתוח 2025'!W120</f>
        <v>0</v>
      </c>
      <c r="X144" s="112">
        <f>'תקציב החברה לפיתוח 2025'!X120</f>
        <v>0</v>
      </c>
      <c r="Y144" s="112">
        <f>'תקציב החברה לפיתוח 2025'!Y120</f>
        <v>0</v>
      </c>
      <c r="Z144" s="112">
        <f>'תקציב החברה לפיתוח 2025'!Z120</f>
        <v>0</v>
      </c>
      <c r="AA144" s="112">
        <f>'תקציב החברה לפיתוח 2025'!AA120</f>
        <v>0</v>
      </c>
      <c r="AB144" s="202" t="str">
        <f>'תקציב החברה לפיתוח 2025'!AB120</f>
        <v>בדיקה ותכנון שיקום מתחם מרכז מסחרי נוף ים.</v>
      </c>
      <c r="AC144" s="3">
        <f>'תקציב החברה לפיתוח 2025'!AC120</f>
        <v>930000</v>
      </c>
      <c r="AD144" s="123"/>
      <c r="AE144" s="123"/>
      <c r="AF144" s="123"/>
      <c r="AG144" s="123"/>
      <c r="AH144" s="123"/>
      <c r="AI144" s="123"/>
      <c r="AJ144" s="123"/>
      <c r="AK144" s="505"/>
      <c r="AL144" s="505"/>
      <c r="AM144" s="505"/>
      <c r="AN144" s="505"/>
      <c r="AO144" s="505"/>
      <c r="AP144" s="505"/>
      <c r="AQ144" s="505"/>
      <c r="AR144" s="505"/>
      <c r="AS144" s="123"/>
      <c r="AT144" s="123"/>
      <c r="AU144" s="123"/>
      <c r="AV144" s="123"/>
      <c r="AW144" s="123"/>
      <c r="AX144" s="123"/>
      <c r="AY144" s="123"/>
    </row>
    <row r="145" spans="1:51" s="40" customFormat="1" ht="24.95" customHeight="1">
      <c r="A145" s="236"/>
      <c r="B145" s="20"/>
      <c r="C145" s="270" t="s">
        <v>1340</v>
      </c>
      <c r="D145" s="236">
        <f>SUM(D143:D144)</f>
        <v>4230000</v>
      </c>
      <c r="E145" s="236">
        <f t="shared" ref="E145:AA145" si="15">SUM(E143:E144)</f>
        <v>2900000</v>
      </c>
      <c r="F145" s="236">
        <f t="shared" si="15"/>
        <v>1330000</v>
      </c>
      <c r="G145" s="236">
        <f t="shared" si="15"/>
        <v>0</v>
      </c>
      <c r="H145" s="236">
        <f t="shared" si="15"/>
        <v>0</v>
      </c>
      <c r="I145" s="236">
        <f t="shared" si="15"/>
        <v>0</v>
      </c>
      <c r="J145" s="236">
        <f t="shared" si="15"/>
        <v>0</v>
      </c>
      <c r="K145" s="236">
        <f t="shared" si="15"/>
        <v>0</v>
      </c>
      <c r="L145" s="236">
        <f t="shared" si="15"/>
        <v>0</v>
      </c>
      <c r="M145" s="236">
        <f t="shared" si="15"/>
        <v>0</v>
      </c>
      <c r="N145" s="236">
        <f t="shared" si="15"/>
        <v>330000</v>
      </c>
      <c r="O145" s="236">
        <f t="shared" si="15"/>
        <v>3900000</v>
      </c>
      <c r="P145" s="236">
        <f t="shared" si="15"/>
        <v>0</v>
      </c>
      <c r="Q145" s="236">
        <f t="shared" si="15"/>
        <v>0</v>
      </c>
      <c r="R145" s="236">
        <f t="shared" si="15"/>
        <v>0</v>
      </c>
      <c r="S145" s="236">
        <f t="shared" si="15"/>
        <v>0</v>
      </c>
      <c r="T145" s="236">
        <f t="shared" si="15"/>
        <v>0</v>
      </c>
      <c r="U145" s="236">
        <f t="shared" si="15"/>
        <v>330000</v>
      </c>
      <c r="V145" s="236">
        <f t="shared" si="15"/>
        <v>330000</v>
      </c>
      <c r="W145" s="236">
        <f t="shared" si="15"/>
        <v>0</v>
      </c>
      <c r="X145" s="236">
        <f t="shared" si="15"/>
        <v>0</v>
      </c>
      <c r="Y145" s="236">
        <f t="shared" si="15"/>
        <v>0</v>
      </c>
      <c r="Z145" s="236">
        <f t="shared" si="15"/>
        <v>0</v>
      </c>
      <c r="AA145" s="236">
        <f t="shared" si="15"/>
        <v>0</v>
      </c>
      <c r="AB145" s="263"/>
      <c r="AC145" s="20"/>
      <c r="AD145" s="232"/>
      <c r="AE145" s="232"/>
      <c r="AF145" s="232"/>
      <c r="AG145" s="232"/>
      <c r="AH145" s="232"/>
      <c r="AI145" s="232"/>
      <c r="AJ145" s="232"/>
      <c r="AK145" s="671"/>
      <c r="AL145" s="671"/>
      <c r="AM145" s="671"/>
      <c r="AN145" s="671"/>
      <c r="AO145" s="671"/>
      <c r="AP145" s="671"/>
      <c r="AQ145" s="671"/>
      <c r="AR145" s="671"/>
      <c r="AS145" s="232"/>
      <c r="AT145" s="232"/>
      <c r="AU145" s="232"/>
      <c r="AV145" s="232"/>
      <c r="AW145" s="232"/>
      <c r="AX145" s="232"/>
      <c r="AY145" s="232"/>
    </row>
    <row r="146" spans="1:51" s="272" customFormat="1" ht="40.15" customHeight="1">
      <c r="A146" s="236">
        <f>COUNT(A6:A144)</f>
        <v>119</v>
      </c>
      <c r="B146" s="233"/>
      <c r="C146" s="237"/>
      <c r="D146" s="236">
        <f>D145+D141+D137+D132+D129+D124+D105+D75+D72+D68+D17</f>
        <v>4118637003</v>
      </c>
      <c r="E146" s="236">
        <f t="shared" ref="E146:AA146" si="16">E145+E141+E137+E132+E129+E124+E105+E75+E72+E68+E17</f>
        <v>3841650091</v>
      </c>
      <c r="F146" s="236">
        <f t="shared" si="16"/>
        <v>276986912</v>
      </c>
      <c r="G146" s="236">
        <f t="shared" si="16"/>
        <v>2011508764</v>
      </c>
      <c r="H146" s="236">
        <f t="shared" si="16"/>
        <v>1878585888</v>
      </c>
      <c r="I146" s="236">
        <f t="shared" si="16"/>
        <v>449944</v>
      </c>
      <c r="J146" s="236">
        <f t="shared" si="16"/>
        <v>55753908</v>
      </c>
      <c r="K146" s="236">
        <f t="shared" si="16"/>
        <v>56203852</v>
      </c>
      <c r="L146" s="236">
        <f t="shared" si="16"/>
        <v>1934789740</v>
      </c>
      <c r="M146" s="236">
        <f t="shared" si="16"/>
        <v>211266781</v>
      </c>
      <c r="N146" s="236">
        <f t="shared" si="16"/>
        <v>246349008</v>
      </c>
      <c r="O146" s="236">
        <f t="shared" si="16"/>
        <v>1726231474</v>
      </c>
      <c r="P146" s="236">
        <f t="shared" si="16"/>
        <v>76719024</v>
      </c>
      <c r="Q146" s="236">
        <f t="shared" si="16"/>
        <v>106337757</v>
      </c>
      <c r="R146" s="236">
        <f t="shared" si="16"/>
        <v>30300000</v>
      </c>
      <c r="S146" s="236">
        <f t="shared" si="16"/>
        <v>136637757</v>
      </c>
      <c r="T146" s="236">
        <f t="shared" si="16"/>
        <v>2090000</v>
      </c>
      <c r="U146" s="236">
        <f t="shared" si="16"/>
        <v>244259008</v>
      </c>
      <c r="V146" s="236">
        <f t="shared" si="16"/>
        <v>182259851</v>
      </c>
      <c r="W146" s="236">
        <f t="shared" si="16"/>
        <v>0</v>
      </c>
      <c r="X146" s="236">
        <f t="shared" si="16"/>
        <v>0</v>
      </c>
      <c r="Y146" s="236">
        <f t="shared" si="16"/>
        <v>29200000</v>
      </c>
      <c r="Z146" s="236">
        <f t="shared" si="16"/>
        <v>0</v>
      </c>
      <c r="AA146" s="236">
        <f t="shared" si="16"/>
        <v>32799157</v>
      </c>
      <c r="AB146" s="389"/>
      <c r="AC146" s="271"/>
      <c r="AD146" s="123"/>
      <c r="AE146" s="123"/>
      <c r="AF146" s="123"/>
      <c r="AG146" s="123"/>
      <c r="AH146" s="123"/>
      <c r="AI146" s="123"/>
      <c r="AJ146" s="123"/>
      <c r="AK146" s="609"/>
      <c r="AL146" s="505"/>
      <c r="AM146" s="505"/>
      <c r="AN146" s="505"/>
      <c r="AO146" s="505"/>
      <c r="AP146" s="505"/>
      <c r="AQ146" s="505"/>
      <c r="AR146" s="505"/>
      <c r="AS146" s="123"/>
      <c r="AT146" s="123"/>
      <c r="AU146" s="123"/>
      <c r="AV146" s="123"/>
      <c r="AW146" s="123"/>
      <c r="AX146" s="123"/>
      <c r="AY146" s="123"/>
    </row>
    <row r="147" spans="1:51" s="560" customFormat="1" ht="40.15" hidden="1" customHeight="1">
      <c r="C147" s="668"/>
      <c r="D147" s="647">
        <f>SUM(L146:O146)</f>
        <v>4118637003</v>
      </c>
      <c r="E147" s="647"/>
      <c r="F147" s="647">
        <f>D146-E146</f>
        <v>276986912</v>
      </c>
      <c r="G147" s="647"/>
      <c r="H147" s="647"/>
      <c r="I147" s="647"/>
      <c r="J147" s="647"/>
      <c r="K147" s="647"/>
      <c r="L147" s="647">
        <f>H146+K146</f>
        <v>1934789740</v>
      </c>
      <c r="M147" s="647">
        <f>P146+S146</f>
        <v>213356781</v>
      </c>
      <c r="N147" s="647"/>
      <c r="O147" s="647"/>
      <c r="P147" s="647">
        <f>G146-L147</f>
        <v>76719024</v>
      </c>
      <c r="Q147" s="647">
        <f>'ריכוז אגפים 2024'!AV8</f>
        <v>105987757</v>
      </c>
      <c r="R147" s="647">
        <f>'עדכוני תקציב 2024'!AE80</f>
        <v>30300000</v>
      </c>
      <c r="S147" s="647"/>
      <c r="T147" s="647">
        <f>P147+S146-M146</f>
        <v>2090000</v>
      </c>
      <c r="U147" s="647">
        <f>N146-T147</f>
        <v>244259008</v>
      </c>
      <c r="V147" s="647"/>
      <c r="W147" s="647"/>
      <c r="X147" s="647"/>
      <c r="Y147" s="647"/>
      <c r="Z147" s="647"/>
      <c r="AA147" s="647"/>
      <c r="AB147" s="670"/>
      <c r="AC147" s="647"/>
      <c r="AD147" s="123"/>
      <c r="AE147" s="559"/>
      <c r="AF147" s="559"/>
      <c r="AG147" s="559"/>
      <c r="AH147" s="559"/>
      <c r="AI147" s="559"/>
      <c r="AJ147" s="559"/>
      <c r="AK147" s="648"/>
      <c r="AL147" s="648"/>
      <c r="AM147" s="648"/>
      <c r="AN147" s="648"/>
      <c r="AO147" s="648"/>
      <c r="AP147" s="648"/>
      <c r="AQ147" s="648"/>
      <c r="AR147" s="648"/>
      <c r="AS147" s="559"/>
      <c r="AT147" s="559"/>
      <c r="AU147" s="559"/>
      <c r="AV147" s="559"/>
      <c r="AW147" s="559"/>
      <c r="AX147" s="559"/>
      <c r="AY147" s="559"/>
    </row>
    <row r="148" spans="1:51" hidden="1">
      <c r="Q148" s="124">
        <f>Q146-Q147</f>
        <v>350000</v>
      </c>
    </row>
    <row r="149" spans="1:51" hidden="1">
      <c r="O149" s="124" t="s">
        <v>1304</v>
      </c>
    </row>
    <row r="150" spans="1:51" hidden="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6:BD144">
    <sortCondition ref="AC6:AC144"/>
  </sortState>
  <conditionalFormatting sqref="O20">
    <cfRule type="cellIs" dxfId="417" priority="4" operator="lessThan">
      <formula>0</formula>
    </cfRule>
  </conditionalFormatting>
  <conditionalFormatting sqref="AB4:AB6 AK4:AK6">
    <cfRule type="cellIs" dxfId="416" priority="5" operator="equal">
      <formula>0</formula>
    </cfRule>
  </conditionalFormatting>
  <conditionalFormatting sqref="AP7">
    <cfRule type="cellIs" dxfId="415" priority="3" operator="equal">
      <formula>0</formula>
    </cfRule>
  </conditionalFormatting>
  <conditionalFormatting sqref="AQ7:AR7">
    <cfRule type="cellIs" dxfId="414" priority="2" operator="equal">
      <formula>0</formula>
    </cfRule>
  </conditionalFormatting>
  <conditionalFormatting sqref="U102 AK102 AM102 AO102 AQ102">
    <cfRule type="cellIs" dxfId="413" priority="1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Q21"/>
  <sheetViews>
    <sheetView showZeros="0" rightToLeft="1" zoomScaleNormal="100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38.85546875" style="167" customWidth="1"/>
    <col min="5" max="5" width="30.42578125" style="167" customWidth="1"/>
    <col min="6" max="6" width="12.14062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2" spans="1:17" ht="20.25">
      <c r="E2" s="168"/>
    </row>
    <row r="3" spans="1:17" ht="20.25">
      <c r="A3" s="166"/>
      <c r="C3" s="168" t="s">
        <v>426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1" thickBot="1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16.5" thickBot="1">
      <c r="A5" s="166"/>
      <c r="B5" s="169" t="s">
        <v>105</v>
      </c>
      <c r="C5" s="166" t="s">
        <v>891</v>
      </c>
      <c r="D5" s="166"/>
      <c r="E5" s="166"/>
      <c r="F5" s="170">
        <f>'  תקציב מינהל תפעול 2025 '!U102</f>
        <v>50606362</v>
      </c>
      <c r="I5" s="166"/>
      <c r="J5" s="166"/>
      <c r="K5" s="166"/>
      <c r="L5" s="166"/>
    </row>
    <row r="6" spans="1:17" ht="15" customHeight="1" thickBot="1">
      <c r="A6" s="166"/>
      <c r="C6" s="168"/>
      <c r="D6" s="166"/>
      <c r="E6" s="166"/>
      <c r="F6" s="166"/>
      <c r="H6" s="166"/>
      <c r="I6" s="166"/>
      <c r="J6" s="166"/>
      <c r="K6" s="166"/>
      <c r="L6" s="166"/>
    </row>
    <row r="7" spans="1:17" ht="16.5" thickBot="1">
      <c r="B7" s="169" t="s">
        <v>105</v>
      </c>
      <c r="C7" s="166" t="s">
        <v>780</v>
      </c>
      <c r="D7" s="166"/>
      <c r="F7" s="170">
        <f>'  תקציב מינהל תפעול 2025 '!A102</f>
        <v>97</v>
      </c>
      <c r="I7" s="166"/>
      <c r="J7" s="166"/>
      <c r="K7" s="166"/>
      <c r="L7" s="166"/>
      <c r="M7" s="166"/>
      <c r="N7" s="166"/>
      <c r="O7" s="166"/>
      <c r="P7" s="166"/>
      <c r="Q7" s="166"/>
    </row>
    <row r="8" spans="1:17" ht="15.75">
      <c r="B8" s="169"/>
      <c r="C8" s="166"/>
      <c r="D8" s="166"/>
      <c r="E8" s="166"/>
      <c r="F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B9" s="169" t="s">
        <v>105</v>
      </c>
      <c r="C9" s="166" t="s">
        <v>190</v>
      </c>
      <c r="D9" s="166"/>
      <c r="E9" s="166"/>
      <c r="F9" s="166"/>
      <c r="G9" s="166"/>
      <c r="H9" s="166"/>
      <c r="I9" s="166"/>
      <c r="J9" s="166"/>
      <c r="K9" s="166"/>
      <c r="L9" s="166"/>
    </row>
    <row r="10" spans="1:17" ht="16.5" thickBot="1"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D11" s="177" t="s">
        <v>191</v>
      </c>
      <c r="E11" s="178" t="s">
        <v>192</v>
      </c>
      <c r="F11" s="179" t="s">
        <v>193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 hidden="1">
      <c r="C12" s="169"/>
      <c r="D12" s="173" t="s">
        <v>13</v>
      </c>
      <c r="E12" s="180">
        <f>'  תקציב מינהל תפעול 2025 '!V102</f>
        <v>0</v>
      </c>
      <c r="F12" s="200">
        <f>E12/$E$16</f>
        <v>0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75">
      <c r="C13" s="169"/>
      <c r="D13" s="173" t="s">
        <v>14</v>
      </c>
      <c r="E13" s="180">
        <f>'  תקציב מינהל תפעול 2025 '!W102</f>
        <v>34709000</v>
      </c>
      <c r="F13" s="200">
        <f>E13/$E$16</f>
        <v>0.68586238228308127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5.75" hidden="1">
      <c r="C14" s="169"/>
      <c r="D14" s="173" t="s">
        <v>185</v>
      </c>
      <c r="E14" s="180">
        <f>'  תקציב מינהל תפעול 2025 '!Y102</f>
        <v>0</v>
      </c>
      <c r="F14" s="200">
        <f>E14/$E$16</f>
        <v>0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C15" s="169"/>
      <c r="D15" s="173" t="s">
        <v>67</v>
      </c>
      <c r="E15" s="180">
        <f>'  תקציב מינהל תפעול 2025 '!AA102</f>
        <v>15897362</v>
      </c>
      <c r="F15" s="200">
        <f>E15/$E$16</f>
        <v>0.31413761771691867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6.5" thickBot="1">
      <c r="C16" s="169"/>
      <c r="D16" s="175" t="s">
        <v>75</v>
      </c>
      <c r="E16" s="182">
        <f>SUM(E12:E15)</f>
        <v>50606362</v>
      </c>
      <c r="F16" s="235">
        <f>SUM(F12:F15)</f>
        <v>1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15.75">
      <c r="C17" s="169"/>
      <c r="D17" s="172"/>
      <c r="E17" s="189"/>
      <c r="F17" s="268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15.75">
      <c r="A18" s="166"/>
      <c r="B18" s="166"/>
      <c r="C18" s="166"/>
      <c r="D18" s="240" t="s">
        <v>1298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ht="15.75">
      <c r="C19" s="166"/>
      <c r="D19"/>
      <c r="E19" s="166"/>
      <c r="F19" s="166"/>
      <c r="H19" s="166"/>
      <c r="I19" s="166"/>
      <c r="J19" s="166"/>
      <c r="K19" s="166"/>
      <c r="L19" s="166"/>
    </row>
    <row r="20" spans="1:17" ht="15.75">
      <c r="B20" s="169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</row>
    <row r="21" spans="1:17" s="245" customFormat="1" ht="15.75"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Q44"/>
  <sheetViews>
    <sheetView showZeros="0" rightToLeft="1" zoomScaleNormal="100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46.85546875" style="167" customWidth="1"/>
    <col min="5" max="5" width="30.42578125" style="167" customWidth="1"/>
    <col min="6" max="6" width="10.855468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2" spans="1:17" ht="20.25">
      <c r="E2" s="168"/>
    </row>
    <row r="3" spans="1:17" ht="20.25">
      <c r="A3" s="166"/>
      <c r="C3" s="168" t="s">
        <v>450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0.25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15.75">
      <c r="B5" s="169" t="s">
        <v>105</v>
      </c>
      <c r="C5" s="166" t="s">
        <v>890</v>
      </c>
      <c r="D5" s="166"/>
      <c r="E5" s="166"/>
      <c r="F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6" spans="1:17" ht="16.5" thickBot="1">
      <c r="C6" s="166"/>
      <c r="D6" s="166"/>
      <c r="E6" s="166"/>
      <c r="F6" s="166"/>
      <c r="H6" s="166"/>
      <c r="I6" s="166"/>
      <c r="J6" s="166"/>
      <c r="K6" s="166"/>
      <c r="L6" s="166"/>
    </row>
    <row r="7" spans="1:17" ht="15.75">
      <c r="D7" s="177" t="s">
        <v>194</v>
      </c>
      <c r="E7" s="171" t="s">
        <v>1434</v>
      </c>
      <c r="F7" s="172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</row>
    <row r="8" spans="1:17" ht="15.75">
      <c r="C8" s="169"/>
      <c r="D8" s="173" t="s">
        <v>440</v>
      </c>
      <c r="E8" s="174">
        <f>'  תקציב מינהל תפעול 2025 '!U64</f>
        <v>5000000</v>
      </c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C9" s="169"/>
      <c r="D9" s="173" t="s">
        <v>742</v>
      </c>
      <c r="E9" s="184">
        <f>'  תקציב מינהל תפעול 2025 '!U84</f>
        <v>4000000</v>
      </c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</row>
    <row r="10" spans="1:17" ht="15.75">
      <c r="C10" s="169"/>
      <c r="D10" s="183" t="s">
        <v>198</v>
      </c>
      <c r="E10" s="184">
        <f>'  תקציב מינהל תפעול 2025 '!U28</f>
        <v>2525000</v>
      </c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C11" s="169"/>
      <c r="D11" s="187" t="s">
        <v>802</v>
      </c>
      <c r="E11" s="184">
        <f>'  תקציב מינהל תפעול 2025 '!U93</f>
        <v>2500000</v>
      </c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>
      <c r="C12" s="169"/>
      <c r="D12" s="183" t="s">
        <v>467</v>
      </c>
      <c r="E12" s="184">
        <f>'  תקציב מינהל תפעול 2025 '!U32</f>
        <v>1500000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75">
      <c r="C13" s="169"/>
      <c r="D13" s="173" t="s">
        <v>1436</v>
      </c>
      <c r="E13" s="184">
        <f>'  תקציב מינהל תפעול 2025 '!U66</f>
        <v>1200000</v>
      </c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5.75">
      <c r="C14" s="169"/>
      <c r="D14" s="173" t="s">
        <v>1438</v>
      </c>
      <c r="E14" s="184">
        <f>'  תקציב מינהל תפעול 2025 '!U76</f>
        <v>1070000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C15" s="169"/>
      <c r="D15" s="183" t="s">
        <v>1435</v>
      </c>
      <c r="E15" s="184">
        <f>'  תקציב מינהל תפעול 2025 '!U16</f>
        <v>1000000</v>
      </c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5.75">
      <c r="C16" s="169"/>
      <c r="D16" s="183" t="s">
        <v>233</v>
      </c>
      <c r="E16" s="184">
        <f>'  תקציב מינהל תפעול 2025 '!U8</f>
        <v>1000000</v>
      </c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15.75">
      <c r="C17" s="169"/>
      <c r="D17" s="187" t="s">
        <v>434</v>
      </c>
      <c r="E17" s="184">
        <f>'  תקציב מינהל תפעול 2025 '!U59</f>
        <v>1000000</v>
      </c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16.5" thickBot="1">
      <c r="C18" s="169"/>
      <c r="D18" s="421" t="s">
        <v>42</v>
      </c>
      <c r="E18" s="185">
        <f>'  תקציב מינהל תפעול 2025 '!U17</f>
        <v>1000000</v>
      </c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ht="15.75">
      <c r="B19" s="169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</row>
    <row r="20" spans="1:17" ht="15.75">
      <c r="B20" s="169" t="s">
        <v>105</v>
      </c>
      <c r="C20" s="166"/>
      <c r="D20" s="166" t="s">
        <v>1437</v>
      </c>
      <c r="E20" s="166"/>
      <c r="F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</row>
    <row r="21" spans="1:17" ht="15.75">
      <c r="B21" s="169"/>
      <c r="C21" s="166"/>
      <c r="D21" s="166" t="s">
        <v>1483</v>
      </c>
      <c r="E21" s="166"/>
      <c r="F21" s="166"/>
      <c r="G21" s="166"/>
      <c r="I21" s="166"/>
      <c r="J21" s="166"/>
      <c r="K21" s="166"/>
      <c r="L21" s="166"/>
      <c r="M21" s="166"/>
      <c r="N21" s="166"/>
      <c r="O21" s="166"/>
      <c r="P21" s="166"/>
      <c r="Q21" s="166"/>
    </row>
    <row r="22" spans="1:17" ht="15.75">
      <c r="B22" s="169"/>
      <c r="C22" s="166"/>
      <c r="D22" s="166" t="s">
        <v>1484</v>
      </c>
      <c r="E22" s="166"/>
      <c r="F22" s="166"/>
      <c r="G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1:17" ht="15.75">
      <c r="C23" s="169"/>
      <c r="D23" s="166"/>
      <c r="E23" s="194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</row>
    <row r="24" spans="1:17" ht="15.75">
      <c r="B24" s="169"/>
      <c r="C24" s="166"/>
      <c r="D24" s="240" t="s">
        <v>1299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</row>
    <row r="25" spans="1:17" ht="15.75">
      <c r="A25" s="176"/>
      <c r="B25" s="188"/>
    </row>
    <row r="26" spans="1:17" ht="15.75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</row>
    <row r="27" spans="1:17" ht="15.75">
      <c r="A27" s="166"/>
      <c r="B27" s="166"/>
      <c r="C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</row>
    <row r="28" spans="1:17" ht="15.75">
      <c r="B28" s="169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</row>
    <row r="44" spans="4:4" ht="15.75">
      <c r="D44" s="166"/>
    </row>
  </sheetData>
  <sortState xmlns:xlrd2="http://schemas.microsoft.com/office/spreadsheetml/2017/richdata2" ref="A8:Q18">
    <sortCondition descending="1" ref="E8:E18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F2F7-6130-410E-A7DA-574C43482019}">
  <dimension ref="A1:BP106"/>
  <sheetViews>
    <sheetView showZeros="0" rightToLeft="1" zoomScaleNormal="100" workbookViewId="0">
      <pane xSplit="4" ySplit="4" topLeftCell="E14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85546875" defaultRowHeight="15"/>
  <cols>
    <col min="1" max="1" width="3.7109375" style="148" customWidth="1"/>
    <col min="2" max="2" width="5.7109375" style="148" customWidth="1"/>
    <col min="3" max="3" width="18.7109375" style="148" customWidth="1"/>
    <col min="4" max="4" width="12.7109375" style="148" customWidth="1"/>
    <col min="5" max="5" width="10.85546875" style="148" customWidth="1"/>
    <col min="6" max="6" width="11" style="148" customWidth="1"/>
    <col min="7" max="8" width="11.140625" style="148" hidden="1" customWidth="1"/>
    <col min="9" max="10" width="10.140625" style="148" hidden="1" customWidth="1"/>
    <col min="11" max="11" width="10.42578125" style="148" hidden="1" customWidth="1"/>
    <col min="12" max="12" width="11.140625" style="148" customWidth="1"/>
    <col min="13" max="13" width="10.7109375" style="148" customWidth="1"/>
    <col min="14" max="15" width="11.140625" style="148" customWidth="1"/>
    <col min="16" max="16" width="10.140625" style="148" hidden="1" customWidth="1"/>
    <col min="17" max="17" width="9.85546875" style="148" hidden="1" customWidth="1"/>
    <col min="18" max="18" width="8.85546875" style="148" hidden="1" customWidth="1"/>
    <col min="19" max="19" width="10.7109375" style="148" hidden="1" customWidth="1"/>
    <col min="20" max="20" width="10.5703125" style="148" hidden="1" customWidth="1"/>
    <col min="21" max="21" width="10.85546875" style="148" customWidth="1"/>
    <col min="22" max="22" width="10.140625" style="148" hidden="1" customWidth="1"/>
    <col min="23" max="23" width="10.42578125" style="148" customWidth="1"/>
    <col min="24" max="24" width="6.28515625" style="148" hidden="1" customWidth="1"/>
    <col min="25" max="25" width="9.140625" style="148" hidden="1" customWidth="1"/>
    <col min="26" max="26" width="9.5703125" style="148" hidden="1" customWidth="1"/>
    <col min="27" max="27" width="10.140625" style="148" customWidth="1"/>
    <col min="28" max="28" width="35.140625" style="148" customWidth="1"/>
    <col min="29" max="29" width="12.42578125" style="148" hidden="1" customWidth="1"/>
    <col min="30" max="30" width="10.140625" style="11" customWidth="1"/>
    <col min="31" max="31" width="19.85546875" style="11" customWidth="1"/>
    <col min="32" max="33" width="16.28515625" style="11" customWidth="1"/>
    <col min="34" max="34" width="19.85546875" style="11" customWidth="1"/>
    <col min="35" max="35" width="16.28515625" style="11" customWidth="1"/>
    <col min="36" max="37" width="35.140625" style="11" customWidth="1"/>
    <col min="38" max="38" width="23.5703125" style="11" customWidth="1"/>
    <col min="39" max="39" width="30.7109375" style="11" customWidth="1"/>
    <col min="40" max="40" width="15.28515625" style="11" customWidth="1"/>
    <col min="41" max="41" width="24.5703125" style="11" customWidth="1"/>
    <col min="42" max="43" width="35.140625" style="148" customWidth="1"/>
    <col min="44" max="44" width="52.7109375" style="148" customWidth="1"/>
    <col min="45" max="45" width="26.85546875" style="148" customWidth="1"/>
    <col min="46" max="46" width="12.42578125" style="531" customWidth="1"/>
    <col min="47" max="47" width="26.28515625" style="531" customWidth="1"/>
    <col min="48" max="49" width="9.42578125" style="531" customWidth="1"/>
    <col min="50" max="50" width="13" style="531" customWidth="1"/>
    <col min="51" max="51" width="26.42578125" style="531" customWidth="1"/>
    <col min="52" max="52" width="10.28515625" style="531" customWidth="1"/>
    <col min="53" max="53" width="32.85546875" style="148" customWidth="1"/>
    <col min="54" max="59" width="10.7109375" style="148" customWidth="1"/>
    <col min="60" max="60" width="11.28515625" style="148" customWidth="1"/>
    <col min="61" max="61" width="22.42578125" style="148" customWidth="1"/>
    <col min="62" max="62" width="12.42578125" style="148" customWidth="1"/>
    <col min="63" max="63" width="14.85546875" style="148" customWidth="1"/>
    <col min="64" max="16384" width="8.85546875" style="148"/>
  </cols>
  <sheetData>
    <row r="1" spans="1:29">
      <c r="A1" s="10"/>
      <c r="B1" s="593"/>
      <c r="C1" s="59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0"/>
    </row>
    <row r="2" spans="1:29" ht="18.75">
      <c r="A2" s="41" t="s">
        <v>644</v>
      </c>
      <c r="B2" s="41"/>
      <c r="C2" s="59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9" ht="20.25">
      <c r="B3" s="594"/>
      <c r="C3" s="594"/>
      <c r="D3" s="11"/>
      <c r="E3" s="11"/>
      <c r="F3" s="11"/>
      <c r="G3" s="11"/>
      <c r="H3" s="11"/>
      <c r="I3" s="11"/>
      <c r="J3" s="11"/>
      <c r="K3" s="11"/>
      <c r="L3" s="11"/>
      <c r="M3" s="532"/>
      <c r="N3" s="11"/>
      <c r="O3" s="11"/>
      <c r="P3" s="11"/>
      <c r="Q3" s="11"/>
      <c r="R3" s="11"/>
      <c r="S3" s="11"/>
      <c r="T3" s="11"/>
      <c r="U3" s="10"/>
      <c r="AB3" s="14"/>
      <c r="AC3" s="10"/>
    </row>
    <row r="4" spans="1:29" ht="80.25" customHeight="1">
      <c r="A4" s="533" t="s">
        <v>0</v>
      </c>
      <c r="B4" s="533" t="s">
        <v>1</v>
      </c>
      <c r="C4" s="533" t="s">
        <v>2</v>
      </c>
      <c r="D4" s="533" t="s">
        <v>3</v>
      </c>
      <c r="E4" s="533" t="s">
        <v>4</v>
      </c>
      <c r="F4" s="533" t="s">
        <v>5</v>
      </c>
      <c r="G4" s="533" t="s">
        <v>6</v>
      </c>
      <c r="H4" s="533" t="s">
        <v>7</v>
      </c>
      <c r="I4" s="533" t="s">
        <v>9</v>
      </c>
      <c r="J4" s="533" t="s">
        <v>101</v>
      </c>
      <c r="K4" s="533" t="s">
        <v>10</v>
      </c>
      <c r="L4" s="533" t="s">
        <v>11</v>
      </c>
      <c r="M4" s="533" t="s">
        <v>793</v>
      </c>
      <c r="N4" s="533" t="s">
        <v>794</v>
      </c>
      <c r="O4" s="2" t="s">
        <v>795</v>
      </c>
      <c r="P4" s="534" t="s">
        <v>12</v>
      </c>
      <c r="Q4" s="533" t="s">
        <v>796</v>
      </c>
      <c r="R4" s="533" t="s">
        <v>797</v>
      </c>
      <c r="S4" s="2" t="s">
        <v>798</v>
      </c>
      <c r="T4" s="2" t="s">
        <v>799</v>
      </c>
      <c r="U4" s="2" t="s">
        <v>800</v>
      </c>
      <c r="V4" s="533" t="s">
        <v>13</v>
      </c>
      <c r="W4" s="533" t="s">
        <v>14</v>
      </c>
      <c r="X4" s="533" t="s">
        <v>15</v>
      </c>
      <c r="Y4" s="533" t="s">
        <v>185</v>
      </c>
      <c r="Z4" s="533" t="s">
        <v>385</v>
      </c>
      <c r="AA4" s="533" t="s">
        <v>67</v>
      </c>
      <c r="AB4" s="595" t="s">
        <v>207</v>
      </c>
      <c r="AC4" s="125" t="s">
        <v>16</v>
      </c>
    </row>
    <row r="5" spans="1:29" ht="45">
      <c r="A5" s="3">
        <v>1</v>
      </c>
      <c r="B5" s="3">
        <v>1210</v>
      </c>
      <c r="C5" s="3" t="s">
        <v>53</v>
      </c>
      <c r="D5" s="4">
        <v>140000000</v>
      </c>
      <c r="E5" s="4">
        <v>130550000</v>
      </c>
      <c r="F5" s="4">
        <f t="shared" ref="F5:F36" si="0">D5-E5</f>
        <v>9450000</v>
      </c>
      <c r="G5" s="4">
        <v>119200000</v>
      </c>
      <c r="H5" s="4">
        <v>112423048</v>
      </c>
      <c r="I5" s="4">
        <v>0</v>
      </c>
      <c r="J5" s="4">
        <v>178000</v>
      </c>
      <c r="K5" s="4">
        <f t="shared" ref="K5:K36" si="1">I5+J5</f>
        <v>178000</v>
      </c>
      <c r="L5" s="4">
        <f t="shared" ref="L5:L36" si="2">H5+K5</f>
        <v>112601048</v>
      </c>
      <c r="M5" s="4">
        <f t="shared" ref="M5:M36" si="3">P5+S5</f>
        <v>6598952</v>
      </c>
      <c r="N5" s="4">
        <v>15000000</v>
      </c>
      <c r="O5" s="4">
        <f t="shared" ref="O5:O35" si="4">D5-L5-M5-N5</f>
        <v>5800000</v>
      </c>
      <c r="P5" s="4">
        <f t="shared" ref="P5:P36" si="5">G5-L5</f>
        <v>6598952</v>
      </c>
      <c r="Q5" s="311"/>
      <c r="R5" s="4"/>
      <c r="S5" s="4">
        <f t="shared" ref="S5:S36" si="6">SUM(Q5:R5)</f>
        <v>0</v>
      </c>
      <c r="T5" s="4">
        <f t="shared" ref="T5:T36" si="7">P5-M5+S5</f>
        <v>0</v>
      </c>
      <c r="U5" s="4">
        <f t="shared" ref="U5:U36" si="8">N5-T5</f>
        <v>15000000</v>
      </c>
      <c r="V5" s="4"/>
      <c r="W5" s="4"/>
      <c r="X5" s="4"/>
      <c r="Y5" s="4"/>
      <c r="Z5" s="4"/>
      <c r="AA5" s="4">
        <f>U5</f>
        <v>15000000</v>
      </c>
      <c r="AB5" s="3" t="s">
        <v>329</v>
      </c>
      <c r="AC5" s="3">
        <v>764000</v>
      </c>
    </row>
    <row r="6" spans="1:29" ht="30" customHeight="1">
      <c r="A6" s="3">
        <f>A5+1</f>
        <v>2</v>
      </c>
      <c r="B6" s="3">
        <v>1247</v>
      </c>
      <c r="C6" s="3" t="s">
        <v>39</v>
      </c>
      <c r="D6" s="4">
        <f>10050000+200000</f>
        <v>10250000</v>
      </c>
      <c r="E6" s="4">
        <v>10050000</v>
      </c>
      <c r="F6" s="4">
        <f t="shared" si="0"/>
        <v>200000</v>
      </c>
      <c r="G6" s="4">
        <v>9850000</v>
      </c>
      <c r="H6" s="4">
        <v>9617553</v>
      </c>
      <c r="I6" s="4">
        <v>0</v>
      </c>
      <c r="J6" s="4">
        <v>159361</v>
      </c>
      <c r="K6" s="4">
        <f t="shared" si="1"/>
        <v>159361</v>
      </c>
      <c r="L6" s="4">
        <f t="shared" si="2"/>
        <v>9776914</v>
      </c>
      <c r="M6" s="4">
        <f t="shared" si="3"/>
        <v>273086</v>
      </c>
      <c r="N6" s="4">
        <v>200000</v>
      </c>
      <c r="O6" s="4">
        <f t="shared" si="4"/>
        <v>0</v>
      </c>
      <c r="P6" s="4">
        <f t="shared" si="5"/>
        <v>73086</v>
      </c>
      <c r="Q6" s="4">
        <v>200000</v>
      </c>
      <c r="R6" s="4"/>
      <c r="S6" s="4">
        <f t="shared" si="6"/>
        <v>200000</v>
      </c>
      <c r="T6" s="4">
        <f t="shared" si="7"/>
        <v>0</v>
      </c>
      <c r="U6" s="4">
        <f t="shared" si="8"/>
        <v>200000</v>
      </c>
      <c r="V6" s="4"/>
      <c r="W6" s="4">
        <f t="shared" ref="W6:W37" si="9">U6-AA6-V6-Y6</f>
        <v>200000</v>
      </c>
      <c r="X6" s="4"/>
      <c r="Y6" s="4"/>
      <c r="Z6" s="4"/>
      <c r="AA6" s="3"/>
      <c r="AB6" s="3" t="s">
        <v>427</v>
      </c>
      <c r="AC6" s="3">
        <v>732000</v>
      </c>
    </row>
    <row r="7" spans="1:29" ht="30" customHeight="1">
      <c r="A7" s="3">
        <f>A6+1</f>
        <v>3</v>
      </c>
      <c r="B7" s="3">
        <v>1253</v>
      </c>
      <c r="C7" s="3" t="s">
        <v>40</v>
      </c>
      <c r="D7" s="4">
        <f>6600000+500000</f>
        <v>7100000</v>
      </c>
      <c r="E7" s="4">
        <v>6600000</v>
      </c>
      <c r="F7" s="4">
        <f t="shared" si="0"/>
        <v>500000</v>
      </c>
      <c r="G7" s="4">
        <v>6600000</v>
      </c>
      <c r="H7" s="4">
        <v>6079682</v>
      </c>
      <c r="I7" s="4">
        <v>0</v>
      </c>
      <c r="J7" s="4">
        <v>519992</v>
      </c>
      <c r="K7" s="4">
        <f t="shared" si="1"/>
        <v>519992</v>
      </c>
      <c r="L7" s="4">
        <f t="shared" si="2"/>
        <v>6599674</v>
      </c>
      <c r="M7" s="4">
        <f t="shared" si="3"/>
        <v>326</v>
      </c>
      <c r="N7" s="4">
        <v>500000</v>
      </c>
      <c r="O7" s="4">
        <f t="shared" si="4"/>
        <v>0</v>
      </c>
      <c r="P7" s="4">
        <f t="shared" si="5"/>
        <v>326</v>
      </c>
      <c r="Q7" s="4"/>
      <c r="R7" s="4"/>
      <c r="S7" s="4">
        <f t="shared" si="6"/>
        <v>0</v>
      </c>
      <c r="T7" s="4">
        <f t="shared" si="7"/>
        <v>0</v>
      </c>
      <c r="U7" s="4">
        <f t="shared" si="8"/>
        <v>500000</v>
      </c>
      <c r="V7" s="4"/>
      <c r="W7" s="4">
        <f t="shared" si="9"/>
        <v>500000</v>
      </c>
      <c r="X7" s="4"/>
      <c r="Y7" s="4"/>
      <c r="Z7" s="4"/>
      <c r="AA7" s="3"/>
      <c r="AB7" s="3" t="s">
        <v>554</v>
      </c>
      <c r="AC7" s="3">
        <v>850000</v>
      </c>
    </row>
    <row r="8" spans="1:29" ht="75">
      <c r="A8" s="3">
        <f t="shared" ref="A8:A71" si="10">A7+1</f>
        <v>4</v>
      </c>
      <c r="B8" s="3">
        <v>1254</v>
      </c>
      <c r="C8" s="3" t="s">
        <v>233</v>
      </c>
      <c r="D8" s="4">
        <f>72000000-10127134</f>
        <v>61872866</v>
      </c>
      <c r="E8" s="4">
        <v>61872866</v>
      </c>
      <c r="F8" s="4">
        <f t="shared" si="0"/>
        <v>0</v>
      </c>
      <c r="G8" s="4">
        <v>53372866</v>
      </c>
      <c r="H8" s="4">
        <v>51145068.82</v>
      </c>
      <c r="I8" s="4">
        <v>0</v>
      </c>
      <c r="J8" s="4">
        <v>1616555.17</v>
      </c>
      <c r="K8" s="4">
        <f t="shared" si="1"/>
        <v>1616555.17</v>
      </c>
      <c r="L8" s="4">
        <f t="shared" si="2"/>
        <v>52761623.990000002</v>
      </c>
      <c r="M8" s="4">
        <f t="shared" si="3"/>
        <v>611242.00999999791</v>
      </c>
      <c r="N8" s="4">
        <f>15200000-10700000-1500000-2000000</f>
        <v>1000000</v>
      </c>
      <c r="O8" s="4">
        <f t="shared" si="4"/>
        <v>7500000</v>
      </c>
      <c r="P8" s="4">
        <f t="shared" si="5"/>
        <v>611242.00999999791</v>
      </c>
      <c r="Q8" s="4"/>
      <c r="R8" s="4"/>
      <c r="S8" s="4">
        <f t="shared" si="6"/>
        <v>0</v>
      </c>
      <c r="T8" s="4">
        <f t="shared" si="7"/>
        <v>0</v>
      </c>
      <c r="U8" s="4">
        <f t="shared" si="8"/>
        <v>1000000</v>
      </c>
      <c r="V8" s="4"/>
      <c r="W8" s="4">
        <f t="shared" si="9"/>
        <v>1000000</v>
      </c>
      <c r="X8" s="4"/>
      <c r="Y8" s="4"/>
      <c r="Z8" s="4"/>
      <c r="AA8" s="3"/>
      <c r="AB8" s="3" t="s">
        <v>520</v>
      </c>
      <c r="AC8" s="3">
        <v>746000</v>
      </c>
    </row>
    <row r="9" spans="1:29" ht="45">
      <c r="A9" s="3">
        <f t="shared" si="10"/>
        <v>5</v>
      </c>
      <c r="B9" s="3">
        <v>1342</v>
      </c>
      <c r="C9" s="3" t="s">
        <v>58</v>
      </c>
      <c r="D9" s="4">
        <v>8000000</v>
      </c>
      <c r="E9" s="4">
        <v>6200000</v>
      </c>
      <c r="F9" s="4">
        <f t="shared" si="0"/>
        <v>1800000</v>
      </c>
      <c r="G9" s="4">
        <v>4040000</v>
      </c>
      <c r="H9" s="4">
        <v>3753858</v>
      </c>
      <c r="I9" s="4">
        <v>0</v>
      </c>
      <c r="J9" s="4">
        <v>250244</v>
      </c>
      <c r="K9" s="4">
        <f t="shared" si="1"/>
        <v>250244</v>
      </c>
      <c r="L9" s="4">
        <f t="shared" si="2"/>
        <v>4004102</v>
      </c>
      <c r="M9" s="4">
        <f t="shared" si="3"/>
        <v>185898</v>
      </c>
      <c r="N9" s="4">
        <f>1500000-1000000-300000</f>
        <v>200000</v>
      </c>
      <c r="O9" s="4">
        <f t="shared" si="4"/>
        <v>3610000</v>
      </c>
      <c r="P9" s="4">
        <f t="shared" si="5"/>
        <v>35898</v>
      </c>
      <c r="Q9" s="4">
        <v>150000</v>
      </c>
      <c r="R9" s="4"/>
      <c r="S9" s="4">
        <f t="shared" si="6"/>
        <v>150000</v>
      </c>
      <c r="T9" s="4">
        <f t="shared" si="7"/>
        <v>0</v>
      </c>
      <c r="U9" s="4">
        <f t="shared" si="8"/>
        <v>200000</v>
      </c>
      <c r="V9" s="4"/>
      <c r="W9" s="4">
        <f t="shared" si="9"/>
        <v>200000</v>
      </c>
      <c r="X9" s="4"/>
      <c r="Y9" s="4"/>
      <c r="Z9" s="4"/>
      <c r="AA9" s="3"/>
      <c r="AB9" s="3" t="s">
        <v>501</v>
      </c>
      <c r="AC9" s="3">
        <v>746000</v>
      </c>
    </row>
    <row r="10" spans="1:29" ht="69" customHeight="1">
      <c r="A10" s="3">
        <f t="shared" si="10"/>
        <v>6</v>
      </c>
      <c r="B10" s="3">
        <v>1343</v>
      </c>
      <c r="C10" s="3" t="s">
        <v>59</v>
      </c>
      <c r="D10" s="4">
        <v>9000000</v>
      </c>
      <c r="E10" s="4">
        <v>8570000</v>
      </c>
      <c r="F10" s="4">
        <f t="shared" si="0"/>
        <v>430000</v>
      </c>
      <c r="G10" s="4">
        <v>7769500</v>
      </c>
      <c r="H10" s="4">
        <v>7315846.21</v>
      </c>
      <c r="I10" s="4">
        <v>0</v>
      </c>
      <c r="J10" s="4">
        <v>184637</v>
      </c>
      <c r="K10" s="4">
        <f t="shared" si="1"/>
        <v>184637</v>
      </c>
      <c r="L10" s="4">
        <f t="shared" si="2"/>
        <v>7500483.21</v>
      </c>
      <c r="M10" s="4">
        <f t="shared" si="3"/>
        <v>669016.79</v>
      </c>
      <c r="N10" s="4">
        <f>630000-130000</f>
        <v>500000</v>
      </c>
      <c r="O10" s="4">
        <f t="shared" si="4"/>
        <v>330500</v>
      </c>
      <c r="P10" s="4">
        <f t="shared" si="5"/>
        <v>269016.79000000004</v>
      </c>
      <c r="Q10" s="4">
        <v>400000</v>
      </c>
      <c r="R10" s="4"/>
      <c r="S10" s="4">
        <f t="shared" si="6"/>
        <v>400000</v>
      </c>
      <c r="T10" s="4">
        <f t="shared" si="7"/>
        <v>0</v>
      </c>
      <c r="U10" s="4">
        <f t="shared" si="8"/>
        <v>500000</v>
      </c>
      <c r="V10" s="4"/>
      <c r="W10" s="4">
        <f t="shared" si="9"/>
        <v>500000</v>
      </c>
      <c r="X10" s="4"/>
      <c r="Y10" s="4"/>
      <c r="Z10" s="4"/>
      <c r="AA10" s="3"/>
      <c r="AB10" s="3" t="s">
        <v>1511</v>
      </c>
      <c r="AC10" s="3">
        <v>746000</v>
      </c>
    </row>
    <row r="11" spans="1:29" ht="30" customHeight="1">
      <c r="A11" s="3">
        <f t="shared" si="10"/>
        <v>7</v>
      </c>
      <c r="B11" s="3">
        <v>1416</v>
      </c>
      <c r="C11" s="3" t="s">
        <v>80</v>
      </c>
      <c r="D11" s="4">
        <f>5535000+1150000</f>
        <v>6685000</v>
      </c>
      <c r="E11" s="4">
        <v>5535000</v>
      </c>
      <c r="F11" s="4">
        <f t="shared" si="0"/>
        <v>1150000</v>
      </c>
      <c r="G11" s="4">
        <v>5535000</v>
      </c>
      <c r="H11" s="4">
        <v>4072353</v>
      </c>
      <c r="I11" s="4">
        <v>0</v>
      </c>
      <c r="J11" s="4">
        <v>1260810</v>
      </c>
      <c r="K11" s="4">
        <f t="shared" si="1"/>
        <v>1260810</v>
      </c>
      <c r="L11" s="4">
        <f t="shared" si="2"/>
        <v>5333163</v>
      </c>
      <c r="M11" s="4">
        <f t="shared" si="3"/>
        <v>201837</v>
      </c>
      <c r="N11" s="4">
        <f>1150000-350000</f>
        <v>800000</v>
      </c>
      <c r="O11" s="4">
        <f t="shared" si="4"/>
        <v>350000</v>
      </c>
      <c r="P11" s="4">
        <f t="shared" si="5"/>
        <v>201837</v>
      </c>
      <c r="Q11" s="311"/>
      <c r="R11" s="4"/>
      <c r="S11" s="4">
        <f t="shared" si="6"/>
        <v>0</v>
      </c>
      <c r="T11" s="4">
        <f t="shared" si="7"/>
        <v>0</v>
      </c>
      <c r="U11" s="4">
        <f t="shared" si="8"/>
        <v>800000</v>
      </c>
      <c r="V11" s="4"/>
      <c r="W11" s="4">
        <f t="shared" si="9"/>
        <v>800000</v>
      </c>
      <c r="X11" s="4"/>
      <c r="Y11" s="4"/>
      <c r="Z11" s="4"/>
      <c r="AA11" s="3"/>
      <c r="AB11" s="3" t="s">
        <v>1493</v>
      </c>
      <c r="AC11" s="3">
        <v>930000</v>
      </c>
    </row>
    <row r="12" spans="1:29" ht="90">
      <c r="A12" s="3">
        <f t="shared" si="10"/>
        <v>8</v>
      </c>
      <c r="B12" s="3">
        <v>1435</v>
      </c>
      <c r="C12" s="19" t="s">
        <v>1210</v>
      </c>
      <c r="D12" s="4">
        <f>48000000-7725680</f>
        <v>40274320</v>
      </c>
      <c r="E12" s="4">
        <v>45000000</v>
      </c>
      <c r="F12" s="4">
        <f t="shared" si="0"/>
        <v>-4725680</v>
      </c>
      <c r="G12" s="4">
        <v>40274320</v>
      </c>
      <c r="H12" s="4">
        <v>38089074.590000004</v>
      </c>
      <c r="I12" s="4">
        <v>0</v>
      </c>
      <c r="J12" s="4">
        <v>1688388.56</v>
      </c>
      <c r="K12" s="4">
        <f t="shared" si="1"/>
        <v>1688388.56</v>
      </c>
      <c r="L12" s="4">
        <f t="shared" si="2"/>
        <v>39777463.150000006</v>
      </c>
      <c r="M12" s="4">
        <f t="shared" si="3"/>
        <v>496856.84999999404</v>
      </c>
      <c r="N12" s="4">
        <f>3850000-1850000-2000000</f>
        <v>0</v>
      </c>
      <c r="O12" s="4">
        <f t="shared" si="4"/>
        <v>0</v>
      </c>
      <c r="P12" s="4">
        <f t="shared" si="5"/>
        <v>496856.84999999404</v>
      </c>
      <c r="Q12" s="311"/>
      <c r="R12" s="4"/>
      <c r="S12" s="4">
        <f t="shared" si="6"/>
        <v>0</v>
      </c>
      <c r="T12" s="4">
        <f t="shared" si="7"/>
        <v>0</v>
      </c>
      <c r="U12" s="4">
        <f t="shared" si="8"/>
        <v>0</v>
      </c>
      <c r="V12" s="4"/>
      <c r="W12" s="4">
        <f t="shared" si="9"/>
        <v>0</v>
      </c>
      <c r="X12" s="4"/>
      <c r="Y12" s="4"/>
      <c r="Z12" s="4"/>
      <c r="AA12" s="3"/>
      <c r="AB12" s="3" t="s">
        <v>1395</v>
      </c>
      <c r="AC12" s="3">
        <v>848500</v>
      </c>
    </row>
    <row r="13" spans="1:29" ht="30" customHeight="1">
      <c r="A13" s="3">
        <f t="shared" si="10"/>
        <v>9</v>
      </c>
      <c r="B13" s="3">
        <v>1477</v>
      </c>
      <c r="C13" s="3" t="s">
        <v>350</v>
      </c>
      <c r="D13" s="4">
        <v>9350000</v>
      </c>
      <c r="E13" s="4">
        <v>9350000</v>
      </c>
      <c r="F13" s="4">
        <f t="shared" si="0"/>
        <v>0</v>
      </c>
      <c r="G13" s="4">
        <v>5955000</v>
      </c>
      <c r="H13" s="4">
        <v>5878063</v>
      </c>
      <c r="I13" s="4">
        <v>0</v>
      </c>
      <c r="J13" s="4">
        <v>75396</v>
      </c>
      <c r="K13" s="4">
        <f t="shared" si="1"/>
        <v>75396</v>
      </c>
      <c r="L13" s="4">
        <f t="shared" si="2"/>
        <v>5953459</v>
      </c>
      <c r="M13" s="4">
        <f t="shared" si="3"/>
        <v>1541</v>
      </c>
      <c r="N13" s="4">
        <f>1600000+200000+285000-300000-1000000</f>
        <v>785000</v>
      </c>
      <c r="O13" s="4">
        <f t="shared" si="4"/>
        <v>2610000</v>
      </c>
      <c r="P13" s="4">
        <f t="shared" si="5"/>
        <v>1541</v>
      </c>
      <c r="Q13" s="311"/>
      <c r="R13" s="4"/>
      <c r="S13" s="4">
        <f t="shared" si="6"/>
        <v>0</v>
      </c>
      <c r="T13" s="4">
        <f t="shared" si="7"/>
        <v>0</v>
      </c>
      <c r="U13" s="4">
        <f t="shared" si="8"/>
        <v>785000</v>
      </c>
      <c r="V13" s="4"/>
      <c r="W13" s="4">
        <f t="shared" si="9"/>
        <v>785000</v>
      </c>
      <c r="X13" s="4"/>
      <c r="Y13" s="4"/>
      <c r="Z13" s="4"/>
      <c r="AA13" s="3"/>
      <c r="AB13" s="290" t="s">
        <v>533</v>
      </c>
      <c r="AC13" s="290">
        <v>810000</v>
      </c>
    </row>
    <row r="14" spans="1:29" ht="60">
      <c r="A14" s="3">
        <f t="shared" si="10"/>
        <v>10</v>
      </c>
      <c r="B14" s="3">
        <v>1489</v>
      </c>
      <c r="C14" s="3" t="s">
        <v>228</v>
      </c>
      <c r="D14" s="4">
        <v>66500000</v>
      </c>
      <c r="E14" s="4">
        <v>66500000</v>
      </c>
      <c r="F14" s="4">
        <f t="shared" si="0"/>
        <v>0</v>
      </c>
      <c r="G14" s="4">
        <v>66500000</v>
      </c>
      <c r="H14" s="4">
        <v>63240735</v>
      </c>
      <c r="I14" s="4">
        <v>0</v>
      </c>
      <c r="J14" s="4">
        <v>2738494</v>
      </c>
      <c r="K14" s="4">
        <f t="shared" si="1"/>
        <v>2738494</v>
      </c>
      <c r="L14" s="4">
        <f t="shared" si="2"/>
        <v>65979229</v>
      </c>
      <c r="M14" s="4">
        <f t="shared" si="3"/>
        <v>520771</v>
      </c>
      <c r="N14" s="4"/>
      <c r="O14" s="4">
        <f t="shared" si="4"/>
        <v>0</v>
      </c>
      <c r="P14" s="4">
        <f t="shared" si="5"/>
        <v>520771</v>
      </c>
      <c r="Q14" s="311"/>
      <c r="R14" s="4"/>
      <c r="S14" s="4">
        <f t="shared" si="6"/>
        <v>0</v>
      </c>
      <c r="T14" s="4">
        <f t="shared" si="7"/>
        <v>0</v>
      </c>
      <c r="U14" s="4">
        <f t="shared" si="8"/>
        <v>0</v>
      </c>
      <c r="V14" s="4"/>
      <c r="W14" s="4">
        <f t="shared" si="9"/>
        <v>0</v>
      </c>
      <c r="X14" s="4"/>
      <c r="Y14" s="4"/>
      <c r="Z14" s="4"/>
      <c r="AA14" s="3"/>
      <c r="AB14" s="3" t="s">
        <v>764</v>
      </c>
      <c r="AC14" s="3">
        <v>742000</v>
      </c>
    </row>
    <row r="15" spans="1:29" ht="75">
      <c r="A15" s="3">
        <f t="shared" si="10"/>
        <v>11</v>
      </c>
      <c r="B15" s="3">
        <v>1504</v>
      </c>
      <c r="C15" s="3" t="s">
        <v>60</v>
      </c>
      <c r="D15" s="4">
        <v>2700000</v>
      </c>
      <c r="E15" s="4">
        <v>2500000</v>
      </c>
      <c r="F15" s="4">
        <f t="shared" si="0"/>
        <v>200000</v>
      </c>
      <c r="G15" s="4">
        <v>2100000</v>
      </c>
      <c r="H15" s="4">
        <v>1861058</v>
      </c>
      <c r="I15" s="4">
        <v>0</v>
      </c>
      <c r="J15" s="4">
        <v>228690.48</v>
      </c>
      <c r="K15" s="4">
        <f t="shared" si="1"/>
        <v>228690.48</v>
      </c>
      <c r="L15" s="4">
        <f t="shared" si="2"/>
        <v>2089748.48</v>
      </c>
      <c r="M15" s="4">
        <f t="shared" si="3"/>
        <v>10251.520000000019</v>
      </c>
      <c r="N15" s="4">
        <f>300000-100000-100000</f>
        <v>100000</v>
      </c>
      <c r="O15" s="4">
        <f t="shared" si="4"/>
        <v>500000</v>
      </c>
      <c r="P15" s="4">
        <f t="shared" si="5"/>
        <v>10251.520000000019</v>
      </c>
      <c r="Q15" s="311"/>
      <c r="R15" s="4"/>
      <c r="S15" s="4">
        <f t="shared" si="6"/>
        <v>0</v>
      </c>
      <c r="T15" s="4">
        <f t="shared" si="7"/>
        <v>0</v>
      </c>
      <c r="U15" s="4">
        <f t="shared" si="8"/>
        <v>100000</v>
      </c>
      <c r="V15" s="4"/>
      <c r="W15" s="4">
        <f t="shared" si="9"/>
        <v>100000</v>
      </c>
      <c r="X15" s="4"/>
      <c r="Y15" s="4"/>
      <c r="Z15" s="4"/>
      <c r="AA15" s="3"/>
      <c r="AB15" s="3" t="s">
        <v>315</v>
      </c>
      <c r="AC15" s="3">
        <v>746000</v>
      </c>
    </row>
    <row r="16" spans="1:29" ht="75">
      <c r="A16" s="3">
        <f t="shared" si="10"/>
        <v>12</v>
      </c>
      <c r="B16" s="3">
        <v>1560</v>
      </c>
      <c r="C16" s="3" t="s">
        <v>41</v>
      </c>
      <c r="D16" s="4">
        <f>12785000+775000</f>
        <v>13560000</v>
      </c>
      <c r="E16" s="4">
        <v>12785000</v>
      </c>
      <c r="F16" s="4">
        <f t="shared" si="0"/>
        <v>775000</v>
      </c>
      <c r="G16" s="4">
        <v>10060000</v>
      </c>
      <c r="H16" s="4">
        <v>9026525</v>
      </c>
      <c r="I16" s="4">
        <v>0</v>
      </c>
      <c r="J16" s="4">
        <v>537876</v>
      </c>
      <c r="K16" s="4">
        <f t="shared" si="1"/>
        <v>537876</v>
      </c>
      <c r="L16" s="4">
        <f t="shared" si="2"/>
        <v>9564401</v>
      </c>
      <c r="M16" s="4">
        <f t="shared" si="3"/>
        <v>495599</v>
      </c>
      <c r="N16" s="4">
        <f>3500000-1000000-1000000-500000</f>
        <v>1000000</v>
      </c>
      <c r="O16" s="4">
        <f t="shared" si="4"/>
        <v>2500000</v>
      </c>
      <c r="P16" s="4">
        <f t="shared" si="5"/>
        <v>495599</v>
      </c>
      <c r="Q16" s="311"/>
      <c r="R16" s="4"/>
      <c r="S16" s="4">
        <f t="shared" si="6"/>
        <v>0</v>
      </c>
      <c r="T16" s="4">
        <f t="shared" si="7"/>
        <v>0</v>
      </c>
      <c r="U16" s="4">
        <f t="shared" si="8"/>
        <v>1000000</v>
      </c>
      <c r="V16" s="4"/>
      <c r="W16" s="4">
        <f t="shared" si="9"/>
        <v>1000000</v>
      </c>
      <c r="X16" s="4"/>
      <c r="Y16" s="4"/>
      <c r="Z16" s="4"/>
      <c r="AA16" s="3"/>
      <c r="AB16" s="3" t="s">
        <v>1268</v>
      </c>
      <c r="AC16" s="3">
        <v>746000</v>
      </c>
    </row>
    <row r="17" spans="1:29" ht="30" customHeight="1">
      <c r="A17" s="3">
        <f t="shared" si="10"/>
        <v>13</v>
      </c>
      <c r="B17" s="3">
        <v>1621</v>
      </c>
      <c r="C17" s="127" t="s">
        <v>42</v>
      </c>
      <c r="D17" s="4">
        <f>6070000+1400000</f>
        <v>7470000</v>
      </c>
      <c r="E17" s="4">
        <v>6070000</v>
      </c>
      <c r="F17" s="4">
        <f t="shared" si="0"/>
        <v>1400000</v>
      </c>
      <c r="G17" s="4">
        <v>5970000</v>
      </c>
      <c r="H17" s="4">
        <v>3721485</v>
      </c>
      <c r="I17" s="4">
        <v>0</v>
      </c>
      <c r="J17" s="4">
        <v>815020</v>
      </c>
      <c r="K17" s="4">
        <f t="shared" si="1"/>
        <v>815020</v>
      </c>
      <c r="L17" s="4">
        <f t="shared" si="2"/>
        <v>4536505</v>
      </c>
      <c r="M17" s="4">
        <f t="shared" si="3"/>
        <v>1433495</v>
      </c>
      <c r="N17" s="4">
        <f>1500000-500000</f>
        <v>1000000</v>
      </c>
      <c r="O17" s="4">
        <f t="shared" si="4"/>
        <v>500000</v>
      </c>
      <c r="P17" s="4">
        <f t="shared" si="5"/>
        <v>1433495</v>
      </c>
      <c r="Q17" s="311"/>
      <c r="R17" s="4"/>
      <c r="S17" s="4">
        <f t="shared" si="6"/>
        <v>0</v>
      </c>
      <c r="T17" s="4">
        <f t="shared" si="7"/>
        <v>0</v>
      </c>
      <c r="U17" s="4">
        <f t="shared" si="8"/>
        <v>1000000</v>
      </c>
      <c r="V17" s="4"/>
      <c r="W17" s="4">
        <f t="shared" si="9"/>
        <v>1000000</v>
      </c>
      <c r="X17" s="4"/>
      <c r="Y17" s="4"/>
      <c r="Z17" s="4"/>
      <c r="AA17" s="3"/>
      <c r="AB17" s="210" t="s">
        <v>428</v>
      </c>
      <c r="AC17" s="127">
        <v>723000</v>
      </c>
    </row>
    <row r="18" spans="1:29" ht="75">
      <c r="A18" s="3">
        <f t="shared" si="10"/>
        <v>14</v>
      </c>
      <c r="B18" s="3">
        <v>1680</v>
      </c>
      <c r="C18" s="3" t="s">
        <v>61</v>
      </c>
      <c r="D18" s="4">
        <f>3200000-500000</f>
        <v>2700000</v>
      </c>
      <c r="E18" s="4">
        <v>2700000</v>
      </c>
      <c r="F18" s="4">
        <f t="shared" si="0"/>
        <v>0</v>
      </c>
      <c r="G18" s="4">
        <v>2050000</v>
      </c>
      <c r="H18" s="4">
        <v>1762861.16</v>
      </c>
      <c r="I18" s="4">
        <v>0</v>
      </c>
      <c r="J18" s="4">
        <v>203325.88</v>
      </c>
      <c r="K18" s="4">
        <f t="shared" si="1"/>
        <v>203325.88</v>
      </c>
      <c r="L18" s="4">
        <f t="shared" si="2"/>
        <v>1966187.04</v>
      </c>
      <c r="M18" s="4">
        <f t="shared" si="3"/>
        <v>83812.959999999963</v>
      </c>
      <c r="N18" s="4">
        <f>800000-200000</f>
        <v>600000</v>
      </c>
      <c r="O18" s="4">
        <f t="shared" si="4"/>
        <v>50000</v>
      </c>
      <c r="P18" s="4">
        <f t="shared" si="5"/>
        <v>83812.959999999963</v>
      </c>
      <c r="Q18" s="311"/>
      <c r="R18" s="4"/>
      <c r="S18" s="4">
        <f t="shared" si="6"/>
        <v>0</v>
      </c>
      <c r="T18" s="4">
        <f t="shared" si="7"/>
        <v>0</v>
      </c>
      <c r="U18" s="4">
        <f t="shared" si="8"/>
        <v>600000</v>
      </c>
      <c r="V18" s="4"/>
      <c r="W18" s="4">
        <f t="shared" si="9"/>
        <v>600000</v>
      </c>
      <c r="X18" s="4"/>
      <c r="Y18" s="4"/>
      <c r="Z18" s="4"/>
      <c r="AA18" s="3"/>
      <c r="AB18" s="3" t="s">
        <v>1494</v>
      </c>
      <c r="AC18" s="3">
        <v>746000</v>
      </c>
    </row>
    <row r="19" spans="1:29" ht="30" customHeight="1">
      <c r="A19" s="3">
        <f t="shared" si="10"/>
        <v>15</v>
      </c>
      <c r="B19" s="3">
        <v>1848</v>
      </c>
      <c r="C19" s="3" t="s">
        <v>478</v>
      </c>
      <c r="D19" s="4">
        <f>2000000+200000</f>
        <v>2200000</v>
      </c>
      <c r="E19" s="4">
        <v>2000000</v>
      </c>
      <c r="F19" s="4">
        <f t="shared" si="0"/>
        <v>200000</v>
      </c>
      <c r="G19" s="4">
        <v>2000000</v>
      </c>
      <c r="H19" s="4">
        <v>1782300</v>
      </c>
      <c r="I19" s="4">
        <v>0</v>
      </c>
      <c r="J19" s="4">
        <v>194720</v>
      </c>
      <c r="K19" s="4">
        <f t="shared" si="1"/>
        <v>194720</v>
      </c>
      <c r="L19" s="4">
        <f t="shared" si="2"/>
        <v>1977020</v>
      </c>
      <c r="M19" s="4">
        <f t="shared" si="3"/>
        <v>22980</v>
      </c>
      <c r="N19" s="4">
        <v>200000</v>
      </c>
      <c r="O19" s="4">
        <f t="shared" si="4"/>
        <v>0</v>
      </c>
      <c r="P19" s="4">
        <f t="shared" si="5"/>
        <v>22980</v>
      </c>
      <c r="Q19" s="311"/>
      <c r="R19" s="4"/>
      <c r="S19" s="4">
        <f t="shared" si="6"/>
        <v>0</v>
      </c>
      <c r="T19" s="4">
        <f t="shared" si="7"/>
        <v>0</v>
      </c>
      <c r="U19" s="4">
        <f t="shared" si="8"/>
        <v>200000</v>
      </c>
      <c r="V19" s="4"/>
      <c r="W19" s="4">
        <f t="shared" si="9"/>
        <v>200000</v>
      </c>
      <c r="X19" s="4"/>
      <c r="Y19" s="4"/>
      <c r="Z19" s="4"/>
      <c r="AA19" s="3"/>
      <c r="AB19" s="3" t="s">
        <v>429</v>
      </c>
      <c r="AC19" s="3">
        <v>742000</v>
      </c>
    </row>
    <row r="20" spans="1:29" ht="30" customHeight="1">
      <c r="A20" s="3">
        <f t="shared" si="10"/>
        <v>16</v>
      </c>
      <c r="B20" s="3">
        <v>1850</v>
      </c>
      <c r="C20" s="3" t="s">
        <v>324</v>
      </c>
      <c r="D20" s="4">
        <v>14600000</v>
      </c>
      <c r="E20" s="4">
        <v>14600000</v>
      </c>
      <c r="F20" s="4">
        <f t="shared" si="0"/>
        <v>0</v>
      </c>
      <c r="G20" s="4">
        <v>7200000</v>
      </c>
      <c r="H20" s="4">
        <v>6678072</v>
      </c>
      <c r="I20" s="4">
        <v>0</v>
      </c>
      <c r="J20" s="4">
        <v>413140</v>
      </c>
      <c r="K20" s="4">
        <f t="shared" si="1"/>
        <v>413140</v>
      </c>
      <c r="L20" s="4">
        <f t="shared" si="2"/>
        <v>7091212</v>
      </c>
      <c r="M20" s="4">
        <f t="shared" si="3"/>
        <v>108788</v>
      </c>
      <c r="N20" s="4">
        <v>500000</v>
      </c>
      <c r="O20" s="4">
        <f t="shared" si="4"/>
        <v>6900000</v>
      </c>
      <c r="P20" s="4">
        <f t="shared" si="5"/>
        <v>108788</v>
      </c>
      <c r="Q20" s="311"/>
      <c r="R20" s="4"/>
      <c r="S20" s="4">
        <f t="shared" si="6"/>
        <v>0</v>
      </c>
      <c r="T20" s="4">
        <f t="shared" si="7"/>
        <v>0</v>
      </c>
      <c r="U20" s="4">
        <f t="shared" si="8"/>
        <v>500000</v>
      </c>
      <c r="V20" s="4"/>
      <c r="W20" s="4">
        <f t="shared" si="9"/>
        <v>500000</v>
      </c>
      <c r="X20" s="4"/>
      <c r="Y20" s="4"/>
      <c r="Z20" s="4"/>
      <c r="AA20" s="3"/>
      <c r="AB20" s="3" t="s">
        <v>744</v>
      </c>
      <c r="AC20" s="3">
        <v>810000</v>
      </c>
    </row>
    <row r="21" spans="1:29" ht="45">
      <c r="A21" s="3">
        <f t="shared" si="10"/>
        <v>17</v>
      </c>
      <c r="B21" s="3">
        <v>1883</v>
      </c>
      <c r="C21" s="3" t="s">
        <v>88</v>
      </c>
      <c r="D21" s="4">
        <v>26215000</v>
      </c>
      <c r="E21" s="4">
        <v>26215000</v>
      </c>
      <c r="F21" s="4">
        <f t="shared" si="0"/>
        <v>0</v>
      </c>
      <c r="G21" s="4">
        <v>26215000</v>
      </c>
      <c r="H21" s="4">
        <v>26214141</v>
      </c>
      <c r="I21" s="4">
        <v>0</v>
      </c>
      <c r="J21" s="4">
        <v>0</v>
      </c>
      <c r="K21" s="4">
        <f t="shared" si="1"/>
        <v>0</v>
      </c>
      <c r="L21" s="4">
        <f t="shared" si="2"/>
        <v>26214141</v>
      </c>
      <c r="M21" s="4">
        <f t="shared" si="3"/>
        <v>859</v>
      </c>
      <c r="N21" s="4"/>
      <c r="O21" s="4">
        <f t="shared" si="4"/>
        <v>0</v>
      </c>
      <c r="P21" s="4">
        <f t="shared" si="5"/>
        <v>859</v>
      </c>
      <c r="Q21" s="311"/>
      <c r="R21" s="4"/>
      <c r="S21" s="4">
        <f t="shared" si="6"/>
        <v>0</v>
      </c>
      <c r="T21" s="4">
        <f t="shared" si="7"/>
        <v>0</v>
      </c>
      <c r="U21" s="4">
        <f t="shared" si="8"/>
        <v>0</v>
      </c>
      <c r="V21" s="4"/>
      <c r="W21" s="4">
        <f t="shared" si="9"/>
        <v>0</v>
      </c>
      <c r="X21" s="4"/>
      <c r="Y21" s="4"/>
      <c r="Z21" s="4"/>
      <c r="AA21" s="3"/>
      <c r="AB21" s="3" t="s">
        <v>727</v>
      </c>
      <c r="AC21" s="3">
        <v>810000</v>
      </c>
    </row>
    <row r="22" spans="1:29" ht="30" customHeight="1">
      <c r="A22" s="3">
        <f t="shared" si="10"/>
        <v>18</v>
      </c>
      <c r="B22" s="3">
        <v>1887</v>
      </c>
      <c r="C22" s="3" t="s">
        <v>89</v>
      </c>
      <c r="D22" s="4">
        <v>5200000</v>
      </c>
      <c r="E22" s="4">
        <v>5200000</v>
      </c>
      <c r="F22" s="4">
        <f t="shared" si="0"/>
        <v>0</v>
      </c>
      <c r="G22" s="4">
        <v>2385000</v>
      </c>
      <c r="H22" s="4">
        <v>1396187</v>
      </c>
      <c r="I22" s="4">
        <v>88157</v>
      </c>
      <c r="J22" s="4">
        <f>827771+27308</f>
        <v>855079</v>
      </c>
      <c r="K22" s="4">
        <f t="shared" si="1"/>
        <v>943236</v>
      </c>
      <c r="L22" s="4">
        <f t="shared" si="2"/>
        <v>2339423</v>
      </c>
      <c r="M22" s="4">
        <f t="shared" si="3"/>
        <v>45577</v>
      </c>
      <c r="N22" s="4"/>
      <c r="O22" s="4">
        <f t="shared" si="4"/>
        <v>2815000</v>
      </c>
      <c r="P22" s="4">
        <f t="shared" si="5"/>
        <v>45577</v>
      </c>
      <c r="Q22" s="311"/>
      <c r="R22" s="4"/>
      <c r="S22" s="4">
        <f t="shared" si="6"/>
        <v>0</v>
      </c>
      <c r="T22" s="4">
        <f t="shared" si="7"/>
        <v>0</v>
      </c>
      <c r="U22" s="4">
        <f t="shared" si="8"/>
        <v>0</v>
      </c>
      <c r="V22" s="4"/>
      <c r="W22" s="4">
        <f t="shared" si="9"/>
        <v>0</v>
      </c>
      <c r="X22" s="4"/>
      <c r="Y22" s="4"/>
      <c r="Z22" s="4"/>
      <c r="AA22" s="3"/>
      <c r="AB22" s="3" t="s">
        <v>500</v>
      </c>
      <c r="AC22" s="3">
        <v>810000</v>
      </c>
    </row>
    <row r="23" spans="1:29" ht="30" customHeight="1">
      <c r="A23" s="3">
        <f t="shared" si="10"/>
        <v>19</v>
      </c>
      <c r="B23" s="3">
        <v>1900</v>
      </c>
      <c r="C23" s="3" t="s">
        <v>90</v>
      </c>
      <c r="D23" s="4">
        <f>600000-27000</f>
        <v>573000</v>
      </c>
      <c r="E23" s="4">
        <v>600000</v>
      </c>
      <c r="F23" s="4">
        <f t="shared" si="0"/>
        <v>-27000</v>
      </c>
      <c r="G23" s="4">
        <v>573000</v>
      </c>
      <c r="H23" s="4">
        <v>572915</v>
      </c>
      <c r="I23" s="4">
        <v>0</v>
      </c>
      <c r="J23" s="4">
        <v>0</v>
      </c>
      <c r="K23" s="4">
        <f t="shared" si="1"/>
        <v>0</v>
      </c>
      <c r="L23" s="4">
        <f t="shared" si="2"/>
        <v>572915</v>
      </c>
      <c r="M23" s="4">
        <f t="shared" si="3"/>
        <v>85</v>
      </c>
      <c r="N23" s="4"/>
      <c r="O23" s="4">
        <f t="shared" si="4"/>
        <v>0</v>
      </c>
      <c r="P23" s="4">
        <f t="shared" si="5"/>
        <v>85</v>
      </c>
      <c r="Q23" s="311"/>
      <c r="R23" s="4"/>
      <c r="S23" s="4">
        <f t="shared" si="6"/>
        <v>0</v>
      </c>
      <c r="T23" s="4">
        <f t="shared" si="7"/>
        <v>0</v>
      </c>
      <c r="U23" s="4">
        <f t="shared" si="8"/>
        <v>0</v>
      </c>
      <c r="V23" s="4"/>
      <c r="W23" s="4">
        <f t="shared" si="9"/>
        <v>0</v>
      </c>
      <c r="X23" s="4"/>
      <c r="Y23" s="4"/>
      <c r="Z23" s="4"/>
      <c r="AA23" s="3"/>
      <c r="AB23" s="3" t="s">
        <v>728</v>
      </c>
      <c r="AC23" s="3">
        <v>810000</v>
      </c>
    </row>
    <row r="24" spans="1:29" ht="45">
      <c r="A24" s="3">
        <f t="shared" si="10"/>
        <v>20</v>
      </c>
      <c r="B24" s="3">
        <v>1917</v>
      </c>
      <c r="C24" s="3" t="s">
        <v>91</v>
      </c>
      <c r="D24" s="4">
        <f>33701000+100000</f>
        <v>33801000</v>
      </c>
      <c r="E24" s="4">
        <v>33701000</v>
      </c>
      <c r="F24" s="4">
        <f t="shared" si="0"/>
        <v>100000</v>
      </c>
      <c r="G24" s="4">
        <v>33701000</v>
      </c>
      <c r="H24" s="4">
        <v>30942608</v>
      </c>
      <c r="I24" s="4">
        <v>0</v>
      </c>
      <c r="J24" s="4">
        <v>2747896</v>
      </c>
      <c r="K24" s="4">
        <f t="shared" si="1"/>
        <v>2747896</v>
      </c>
      <c r="L24" s="4">
        <f t="shared" si="2"/>
        <v>33690504</v>
      </c>
      <c r="M24" s="4">
        <f t="shared" si="3"/>
        <v>10496</v>
      </c>
      <c r="N24" s="4">
        <f>100000-100000+100000</f>
        <v>100000</v>
      </c>
      <c r="O24" s="4">
        <f t="shared" si="4"/>
        <v>0</v>
      </c>
      <c r="P24" s="4">
        <f t="shared" si="5"/>
        <v>10496</v>
      </c>
      <c r="Q24" s="311"/>
      <c r="R24" s="4"/>
      <c r="S24" s="4">
        <f t="shared" si="6"/>
        <v>0</v>
      </c>
      <c r="T24" s="4">
        <f t="shared" si="7"/>
        <v>0</v>
      </c>
      <c r="U24" s="4">
        <f t="shared" si="8"/>
        <v>100000</v>
      </c>
      <c r="V24" s="4"/>
      <c r="W24" s="4">
        <f t="shared" si="9"/>
        <v>100000</v>
      </c>
      <c r="X24" s="4"/>
      <c r="Y24" s="4"/>
      <c r="Z24" s="4"/>
      <c r="AA24" s="3"/>
      <c r="AB24" s="3" t="s">
        <v>1269</v>
      </c>
      <c r="AC24" s="3">
        <v>743000</v>
      </c>
    </row>
    <row r="25" spans="1:29" ht="30" customHeight="1">
      <c r="A25" s="3">
        <f t="shared" si="10"/>
        <v>21</v>
      </c>
      <c r="B25" s="3">
        <v>1967</v>
      </c>
      <c r="C25" s="3" t="s">
        <v>97</v>
      </c>
      <c r="D25" s="4">
        <v>16629000</v>
      </c>
      <c r="E25" s="4">
        <v>16629000</v>
      </c>
      <c r="F25" s="4">
        <f t="shared" si="0"/>
        <v>0</v>
      </c>
      <c r="G25" s="4">
        <v>14479000</v>
      </c>
      <c r="H25" s="4">
        <v>11619240</v>
      </c>
      <c r="I25" s="4">
        <v>0</v>
      </c>
      <c r="J25" s="4">
        <v>1477587</v>
      </c>
      <c r="K25" s="4">
        <f t="shared" si="1"/>
        <v>1477587</v>
      </c>
      <c r="L25" s="4">
        <f t="shared" si="2"/>
        <v>13096827</v>
      </c>
      <c r="M25" s="4">
        <f t="shared" si="3"/>
        <v>1382173</v>
      </c>
      <c r="N25" s="4">
        <f>400000-200000</f>
        <v>200000</v>
      </c>
      <c r="O25" s="4">
        <f t="shared" si="4"/>
        <v>1950000</v>
      </c>
      <c r="P25" s="4">
        <f t="shared" si="5"/>
        <v>1382173</v>
      </c>
      <c r="Q25" s="311"/>
      <c r="R25" s="4"/>
      <c r="S25" s="4">
        <f t="shared" si="6"/>
        <v>0</v>
      </c>
      <c r="T25" s="4">
        <f t="shared" si="7"/>
        <v>0</v>
      </c>
      <c r="U25" s="4">
        <f t="shared" si="8"/>
        <v>200000</v>
      </c>
      <c r="V25" s="4"/>
      <c r="W25" s="4">
        <f t="shared" si="9"/>
        <v>200000</v>
      </c>
      <c r="X25" s="4"/>
      <c r="Y25" s="4"/>
      <c r="Z25" s="4"/>
      <c r="AA25" s="3"/>
      <c r="AB25" s="3" t="s">
        <v>1325</v>
      </c>
      <c r="AC25" s="3">
        <v>810000</v>
      </c>
    </row>
    <row r="26" spans="1:29" ht="45">
      <c r="A26" s="3">
        <f t="shared" si="10"/>
        <v>22</v>
      </c>
      <c r="B26" s="3">
        <v>1970</v>
      </c>
      <c r="C26" s="3" t="s">
        <v>100</v>
      </c>
      <c r="D26" s="4">
        <v>32500000</v>
      </c>
      <c r="E26" s="4">
        <v>32500000</v>
      </c>
      <c r="F26" s="4">
        <f t="shared" si="0"/>
        <v>0</v>
      </c>
      <c r="G26" s="4">
        <v>32500000</v>
      </c>
      <c r="H26" s="4">
        <v>32499902</v>
      </c>
      <c r="I26" s="4">
        <v>0</v>
      </c>
      <c r="J26" s="4">
        <v>0</v>
      </c>
      <c r="K26" s="4">
        <f t="shared" si="1"/>
        <v>0</v>
      </c>
      <c r="L26" s="4">
        <f t="shared" si="2"/>
        <v>32499902</v>
      </c>
      <c r="M26" s="4">
        <f t="shared" si="3"/>
        <v>98</v>
      </c>
      <c r="N26" s="4"/>
      <c r="O26" s="4">
        <f t="shared" si="4"/>
        <v>0</v>
      </c>
      <c r="P26" s="4">
        <f t="shared" si="5"/>
        <v>98</v>
      </c>
      <c r="Q26" s="311"/>
      <c r="R26" s="4"/>
      <c r="S26" s="4">
        <f t="shared" si="6"/>
        <v>0</v>
      </c>
      <c r="T26" s="4">
        <f t="shared" si="7"/>
        <v>0</v>
      </c>
      <c r="U26" s="4">
        <f t="shared" si="8"/>
        <v>0</v>
      </c>
      <c r="V26" s="4"/>
      <c r="W26" s="4">
        <f t="shared" si="9"/>
        <v>0</v>
      </c>
      <c r="X26" s="4"/>
      <c r="Y26" s="4"/>
      <c r="Z26" s="4"/>
      <c r="AA26" s="3"/>
      <c r="AB26" s="3" t="s">
        <v>683</v>
      </c>
      <c r="AC26" s="3">
        <v>810000</v>
      </c>
    </row>
    <row r="27" spans="1:29" ht="30" customHeight="1">
      <c r="A27" s="3">
        <f t="shared" si="10"/>
        <v>23</v>
      </c>
      <c r="B27" s="3">
        <v>1973</v>
      </c>
      <c r="C27" s="3" t="s">
        <v>98</v>
      </c>
      <c r="D27" s="4">
        <v>3250000</v>
      </c>
      <c r="E27" s="4">
        <v>3250000</v>
      </c>
      <c r="F27" s="4">
        <f t="shared" si="0"/>
        <v>0</v>
      </c>
      <c r="G27" s="4">
        <v>2300000</v>
      </c>
      <c r="H27" s="4">
        <v>2237589.58</v>
      </c>
      <c r="I27" s="4">
        <v>0</v>
      </c>
      <c r="J27" s="4">
        <v>61550.400000000001</v>
      </c>
      <c r="K27" s="4">
        <f t="shared" si="1"/>
        <v>61550.400000000001</v>
      </c>
      <c r="L27" s="4">
        <f t="shared" si="2"/>
        <v>2299139.98</v>
      </c>
      <c r="M27" s="4">
        <f t="shared" si="3"/>
        <v>860.02000000001863</v>
      </c>
      <c r="N27" s="4">
        <f>500000-300000-100000</f>
        <v>100000</v>
      </c>
      <c r="O27" s="4">
        <f t="shared" si="4"/>
        <v>850000</v>
      </c>
      <c r="P27" s="4">
        <f t="shared" si="5"/>
        <v>860.02000000001863</v>
      </c>
      <c r="Q27" s="311"/>
      <c r="R27" s="4"/>
      <c r="S27" s="4">
        <f t="shared" si="6"/>
        <v>0</v>
      </c>
      <c r="T27" s="4">
        <f t="shared" si="7"/>
        <v>0</v>
      </c>
      <c r="U27" s="4">
        <f t="shared" si="8"/>
        <v>100000</v>
      </c>
      <c r="V27" s="4"/>
      <c r="W27" s="4">
        <f t="shared" si="9"/>
        <v>100000</v>
      </c>
      <c r="X27" s="4"/>
      <c r="Y27" s="4"/>
      <c r="Z27" s="4"/>
      <c r="AA27" s="3"/>
      <c r="AB27" s="3" t="s">
        <v>1270</v>
      </c>
      <c r="AC27" s="3">
        <v>742000</v>
      </c>
    </row>
    <row r="28" spans="1:29" ht="60">
      <c r="A28" s="3">
        <f t="shared" si="10"/>
        <v>24</v>
      </c>
      <c r="B28" s="3">
        <v>2030</v>
      </c>
      <c r="C28" s="3" t="s">
        <v>198</v>
      </c>
      <c r="D28" s="4">
        <v>46821977</v>
      </c>
      <c r="E28" s="4">
        <v>46821977</v>
      </c>
      <c r="F28" s="4">
        <f t="shared" si="0"/>
        <v>0</v>
      </c>
      <c r="G28" s="4">
        <v>11821977</v>
      </c>
      <c r="H28" s="4">
        <v>11578434</v>
      </c>
      <c r="I28" s="4">
        <v>164458</v>
      </c>
      <c r="J28" s="4">
        <v>11641</v>
      </c>
      <c r="K28" s="4">
        <f t="shared" si="1"/>
        <v>176099</v>
      </c>
      <c r="L28" s="4">
        <f t="shared" si="2"/>
        <v>11754533</v>
      </c>
      <c r="M28" s="4">
        <f t="shared" si="3"/>
        <v>567444</v>
      </c>
      <c r="N28" s="4">
        <f>525000+5000000-3000000</f>
        <v>2525000</v>
      </c>
      <c r="O28" s="4">
        <f t="shared" si="4"/>
        <v>31975000</v>
      </c>
      <c r="P28" s="4">
        <f t="shared" si="5"/>
        <v>67444</v>
      </c>
      <c r="Q28" s="311"/>
      <c r="R28" s="4">
        <v>500000</v>
      </c>
      <c r="S28" s="4">
        <f t="shared" si="6"/>
        <v>500000</v>
      </c>
      <c r="T28" s="4">
        <f t="shared" si="7"/>
        <v>0</v>
      </c>
      <c r="U28" s="4">
        <f t="shared" si="8"/>
        <v>2525000</v>
      </c>
      <c r="V28" s="4"/>
      <c r="W28" s="4">
        <f t="shared" si="9"/>
        <v>2525000</v>
      </c>
      <c r="X28" s="4"/>
      <c r="Y28" s="4"/>
      <c r="Z28" s="4"/>
      <c r="AA28" s="3"/>
      <c r="AB28" s="3" t="s">
        <v>1265</v>
      </c>
      <c r="AC28" s="3">
        <v>810000</v>
      </c>
    </row>
    <row r="29" spans="1:29" ht="75">
      <c r="A29" s="3">
        <f t="shared" si="10"/>
        <v>25</v>
      </c>
      <c r="B29" s="3">
        <v>2037</v>
      </c>
      <c r="C29" s="3" t="s">
        <v>302</v>
      </c>
      <c r="D29" s="4">
        <v>5000000</v>
      </c>
      <c r="E29" s="4">
        <v>5000000</v>
      </c>
      <c r="F29" s="4">
        <f t="shared" si="0"/>
        <v>0</v>
      </c>
      <c r="G29" s="4">
        <v>2100000</v>
      </c>
      <c r="H29" s="4">
        <v>1710377</v>
      </c>
      <c r="I29" s="4">
        <v>0</v>
      </c>
      <c r="J29" s="4">
        <v>369949</v>
      </c>
      <c r="K29" s="4">
        <f t="shared" si="1"/>
        <v>369949</v>
      </c>
      <c r="L29" s="4">
        <f t="shared" si="2"/>
        <v>2080326</v>
      </c>
      <c r="M29" s="4">
        <f t="shared" si="3"/>
        <v>19674</v>
      </c>
      <c r="N29" s="4">
        <f>500000-300000-200000</f>
        <v>0</v>
      </c>
      <c r="O29" s="4">
        <f t="shared" si="4"/>
        <v>2900000</v>
      </c>
      <c r="P29" s="4">
        <f t="shared" si="5"/>
        <v>19674</v>
      </c>
      <c r="Q29" s="311"/>
      <c r="R29" s="4"/>
      <c r="S29" s="4">
        <f t="shared" si="6"/>
        <v>0</v>
      </c>
      <c r="T29" s="4">
        <f t="shared" si="7"/>
        <v>0</v>
      </c>
      <c r="U29" s="4">
        <f t="shared" si="8"/>
        <v>0</v>
      </c>
      <c r="V29" s="4"/>
      <c r="W29" s="4">
        <f t="shared" si="9"/>
        <v>0</v>
      </c>
      <c r="X29" s="4"/>
      <c r="Y29" s="4"/>
      <c r="Z29" s="4"/>
      <c r="AA29" s="3"/>
      <c r="AB29" s="3" t="s">
        <v>534</v>
      </c>
      <c r="AC29" s="3">
        <v>870000</v>
      </c>
    </row>
    <row r="30" spans="1:29" ht="75">
      <c r="A30" s="3">
        <f t="shared" si="10"/>
        <v>26</v>
      </c>
      <c r="B30" s="3">
        <v>2038</v>
      </c>
      <c r="C30" s="3" t="s">
        <v>316</v>
      </c>
      <c r="D30" s="4">
        <v>12000000</v>
      </c>
      <c r="E30" s="4">
        <v>7500000</v>
      </c>
      <c r="F30" s="4">
        <f t="shared" si="0"/>
        <v>4500000</v>
      </c>
      <c r="G30" s="4">
        <v>5950000</v>
      </c>
      <c r="H30" s="4">
        <v>5381912.8499999996</v>
      </c>
      <c r="I30" s="4">
        <v>0</v>
      </c>
      <c r="J30" s="4">
        <v>567517.09</v>
      </c>
      <c r="K30" s="4">
        <f t="shared" si="1"/>
        <v>567517.09</v>
      </c>
      <c r="L30" s="4">
        <f t="shared" si="2"/>
        <v>5949429.9399999995</v>
      </c>
      <c r="M30" s="4">
        <f t="shared" si="3"/>
        <v>570.06000000052154</v>
      </c>
      <c r="N30" s="4">
        <f>3000000-1500000-500000</f>
        <v>1000000</v>
      </c>
      <c r="O30" s="4">
        <f t="shared" si="4"/>
        <v>5050000</v>
      </c>
      <c r="P30" s="4">
        <f t="shared" si="5"/>
        <v>570.06000000052154</v>
      </c>
      <c r="Q30" s="311"/>
      <c r="R30" s="4"/>
      <c r="S30" s="4">
        <f t="shared" si="6"/>
        <v>0</v>
      </c>
      <c r="T30" s="4">
        <f t="shared" si="7"/>
        <v>0</v>
      </c>
      <c r="U30" s="4">
        <f t="shared" si="8"/>
        <v>1000000</v>
      </c>
      <c r="V30" s="4"/>
      <c r="W30" s="4">
        <f t="shared" si="9"/>
        <v>1000000</v>
      </c>
      <c r="X30" s="4"/>
      <c r="Y30" s="4"/>
      <c r="Z30" s="4"/>
      <c r="AA30" s="3"/>
      <c r="AB30" s="3" t="s">
        <v>330</v>
      </c>
      <c r="AC30" s="3">
        <v>810000</v>
      </c>
    </row>
    <row r="31" spans="1:29" ht="30" customHeight="1">
      <c r="A31" s="3">
        <f t="shared" si="10"/>
        <v>27</v>
      </c>
      <c r="B31" s="3">
        <v>2040</v>
      </c>
      <c r="C31" s="3" t="s">
        <v>234</v>
      </c>
      <c r="D31" s="4">
        <v>2710000</v>
      </c>
      <c r="E31" s="4">
        <v>2710000</v>
      </c>
      <c r="F31" s="4">
        <f t="shared" si="0"/>
        <v>0</v>
      </c>
      <c r="G31" s="4">
        <v>1410000</v>
      </c>
      <c r="H31" s="4">
        <v>1156514</v>
      </c>
      <c r="I31" s="4">
        <v>0</v>
      </c>
      <c r="J31" s="4">
        <v>223089.65</v>
      </c>
      <c r="K31" s="4">
        <f t="shared" si="1"/>
        <v>223089.65</v>
      </c>
      <c r="L31" s="4">
        <f t="shared" si="2"/>
        <v>1379603.65</v>
      </c>
      <c r="M31" s="4">
        <f t="shared" si="3"/>
        <v>230396.35000000009</v>
      </c>
      <c r="N31" s="4">
        <f>500000-500000</f>
        <v>0</v>
      </c>
      <c r="O31" s="4">
        <f t="shared" si="4"/>
        <v>1100000</v>
      </c>
      <c r="P31" s="4">
        <f t="shared" si="5"/>
        <v>30396.350000000093</v>
      </c>
      <c r="Q31" s="4">
        <v>200000</v>
      </c>
      <c r="R31" s="4"/>
      <c r="S31" s="4">
        <f t="shared" si="6"/>
        <v>200000</v>
      </c>
      <c r="T31" s="4">
        <f t="shared" si="7"/>
        <v>0</v>
      </c>
      <c r="U31" s="4">
        <f t="shared" si="8"/>
        <v>0</v>
      </c>
      <c r="V31" s="4"/>
      <c r="W31" s="4">
        <f t="shared" si="9"/>
        <v>0</v>
      </c>
      <c r="X31" s="4"/>
      <c r="Y31" s="4"/>
      <c r="Z31" s="4"/>
      <c r="AA31" s="3"/>
      <c r="AB31" s="3" t="s">
        <v>1323</v>
      </c>
      <c r="AC31" s="3">
        <v>829000</v>
      </c>
    </row>
    <row r="32" spans="1:29" ht="45">
      <c r="A32" s="3">
        <f t="shared" si="10"/>
        <v>28</v>
      </c>
      <c r="B32" s="3">
        <v>2043</v>
      </c>
      <c r="C32" s="3" t="s">
        <v>320</v>
      </c>
      <c r="D32" s="4">
        <v>26500000</v>
      </c>
      <c r="E32" s="4">
        <v>20500000</v>
      </c>
      <c r="F32" s="4">
        <f t="shared" si="0"/>
        <v>6000000</v>
      </c>
      <c r="G32" s="4">
        <v>20355864</v>
      </c>
      <c r="H32" s="4">
        <v>17308743.210000001</v>
      </c>
      <c r="I32" s="4">
        <f>56624</f>
        <v>56624</v>
      </c>
      <c r="J32" s="4">
        <f>2457480.57-I32</f>
        <v>2400856.5699999998</v>
      </c>
      <c r="K32" s="4">
        <f t="shared" si="1"/>
        <v>2457480.5699999998</v>
      </c>
      <c r="L32" s="4">
        <f t="shared" si="2"/>
        <v>19766223.780000001</v>
      </c>
      <c r="M32" s="4">
        <f t="shared" si="3"/>
        <v>589640.21999999881</v>
      </c>
      <c r="N32" s="4">
        <f>3000000-1500000</f>
        <v>1500000</v>
      </c>
      <c r="O32" s="4">
        <f t="shared" si="4"/>
        <v>4644136</v>
      </c>
      <c r="P32" s="4">
        <f t="shared" si="5"/>
        <v>589640.21999999881</v>
      </c>
      <c r="Q32" s="4"/>
      <c r="R32" s="4"/>
      <c r="S32" s="4">
        <f t="shared" si="6"/>
        <v>0</v>
      </c>
      <c r="T32" s="4">
        <f t="shared" si="7"/>
        <v>0</v>
      </c>
      <c r="U32" s="4">
        <f t="shared" si="8"/>
        <v>1500000</v>
      </c>
      <c r="V32" s="4"/>
      <c r="W32" s="4">
        <f t="shared" si="9"/>
        <v>1500000</v>
      </c>
      <c r="X32" s="4"/>
      <c r="Y32" s="4"/>
      <c r="Z32" s="4"/>
      <c r="AA32" s="3"/>
      <c r="AB32" s="3" t="s">
        <v>473</v>
      </c>
      <c r="AC32" s="3">
        <v>747000</v>
      </c>
    </row>
    <row r="33" spans="1:68" ht="30" customHeight="1">
      <c r="A33" s="3">
        <f t="shared" si="10"/>
        <v>29</v>
      </c>
      <c r="B33" s="3">
        <v>2047</v>
      </c>
      <c r="C33" s="3" t="s">
        <v>235</v>
      </c>
      <c r="D33" s="4">
        <v>170000</v>
      </c>
      <c r="E33" s="4">
        <v>170000</v>
      </c>
      <c r="F33" s="4">
        <f t="shared" si="0"/>
        <v>0</v>
      </c>
      <c r="G33" s="4">
        <v>170000</v>
      </c>
      <c r="H33" s="4">
        <v>170000</v>
      </c>
      <c r="I33" s="4">
        <v>0</v>
      </c>
      <c r="J33" s="4">
        <v>0</v>
      </c>
      <c r="K33" s="4">
        <f t="shared" si="1"/>
        <v>0</v>
      </c>
      <c r="L33" s="4">
        <f t="shared" si="2"/>
        <v>170000</v>
      </c>
      <c r="M33" s="4">
        <f t="shared" si="3"/>
        <v>0</v>
      </c>
      <c r="N33" s="4"/>
      <c r="O33" s="4">
        <f t="shared" si="4"/>
        <v>0</v>
      </c>
      <c r="P33" s="4">
        <f t="shared" si="5"/>
        <v>0</v>
      </c>
      <c r="Q33" s="4"/>
      <c r="R33" s="4"/>
      <c r="S33" s="4">
        <f t="shared" si="6"/>
        <v>0</v>
      </c>
      <c r="T33" s="4">
        <f t="shared" si="7"/>
        <v>0</v>
      </c>
      <c r="U33" s="4">
        <f t="shared" si="8"/>
        <v>0</v>
      </c>
      <c r="V33" s="4"/>
      <c r="W33" s="4">
        <f t="shared" si="9"/>
        <v>0</v>
      </c>
      <c r="X33" s="4"/>
      <c r="Y33" s="4"/>
      <c r="Z33" s="4"/>
      <c r="AA33" s="3"/>
      <c r="AB33" s="3" t="s">
        <v>730</v>
      </c>
      <c r="AC33" s="3">
        <v>747000</v>
      </c>
    </row>
    <row r="34" spans="1:68" ht="30" customHeight="1">
      <c r="A34" s="3">
        <f t="shared" si="10"/>
        <v>30</v>
      </c>
      <c r="B34" s="3">
        <v>2063</v>
      </c>
      <c r="C34" s="3" t="s">
        <v>229</v>
      </c>
      <c r="D34" s="4">
        <f>3100000+900000</f>
        <v>4000000</v>
      </c>
      <c r="E34" s="4">
        <v>3100000</v>
      </c>
      <c r="F34" s="4">
        <f t="shared" si="0"/>
        <v>900000</v>
      </c>
      <c r="G34" s="4">
        <v>3000000</v>
      </c>
      <c r="H34" s="4">
        <v>664045</v>
      </c>
      <c r="I34" s="4">
        <v>0</v>
      </c>
      <c r="J34" s="4">
        <v>1554999</v>
      </c>
      <c r="K34" s="4">
        <f t="shared" si="1"/>
        <v>1554999</v>
      </c>
      <c r="L34" s="4">
        <f t="shared" si="2"/>
        <v>2219044</v>
      </c>
      <c r="M34" s="4">
        <f t="shared" si="3"/>
        <v>780956</v>
      </c>
      <c r="N34" s="4">
        <f>1000000-1000000</f>
        <v>0</v>
      </c>
      <c r="O34" s="4">
        <f t="shared" si="4"/>
        <v>1000000</v>
      </c>
      <c r="P34" s="4">
        <f t="shared" si="5"/>
        <v>780956</v>
      </c>
      <c r="Q34" s="4"/>
      <c r="R34" s="4"/>
      <c r="S34" s="4">
        <f t="shared" si="6"/>
        <v>0</v>
      </c>
      <c r="T34" s="4">
        <f t="shared" si="7"/>
        <v>0</v>
      </c>
      <c r="U34" s="4">
        <f t="shared" si="8"/>
        <v>0</v>
      </c>
      <c r="V34" s="4"/>
      <c r="W34" s="4">
        <f t="shared" si="9"/>
        <v>0</v>
      </c>
      <c r="X34" s="4"/>
      <c r="Y34" s="4"/>
      <c r="Z34" s="4"/>
      <c r="AA34" s="3"/>
      <c r="AB34" s="3" t="s">
        <v>390</v>
      </c>
      <c r="AC34" s="3">
        <v>810000</v>
      </c>
    </row>
    <row r="35" spans="1:68" ht="30" customHeight="1">
      <c r="A35" s="3">
        <f t="shared" si="10"/>
        <v>31</v>
      </c>
      <c r="B35" s="3">
        <v>2071</v>
      </c>
      <c r="C35" s="3" t="s">
        <v>231</v>
      </c>
      <c r="D35" s="4">
        <v>278080</v>
      </c>
      <c r="E35" s="4">
        <v>278080</v>
      </c>
      <c r="F35" s="4">
        <f t="shared" si="0"/>
        <v>0</v>
      </c>
      <c r="G35" s="4">
        <v>278080</v>
      </c>
      <c r="H35" s="4">
        <v>278080</v>
      </c>
      <c r="I35" s="4">
        <v>0</v>
      </c>
      <c r="J35" s="4">
        <v>0</v>
      </c>
      <c r="K35" s="4">
        <f t="shared" si="1"/>
        <v>0</v>
      </c>
      <c r="L35" s="4">
        <f t="shared" si="2"/>
        <v>278080</v>
      </c>
      <c r="M35" s="4">
        <f t="shared" si="3"/>
        <v>0</v>
      </c>
      <c r="N35" s="4"/>
      <c r="O35" s="4">
        <f t="shared" si="4"/>
        <v>0</v>
      </c>
      <c r="P35" s="4">
        <f t="shared" si="5"/>
        <v>0</v>
      </c>
      <c r="Q35" s="4"/>
      <c r="R35" s="4"/>
      <c r="S35" s="4">
        <f t="shared" si="6"/>
        <v>0</v>
      </c>
      <c r="T35" s="4">
        <f t="shared" si="7"/>
        <v>0</v>
      </c>
      <c r="U35" s="4">
        <f t="shared" si="8"/>
        <v>0</v>
      </c>
      <c r="V35" s="4"/>
      <c r="W35" s="4">
        <f t="shared" si="9"/>
        <v>0</v>
      </c>
      <c r="X35" s="4"/>
      <c r="Y35" s="4"/>
      <c r="Z35" s="4"/>
      <c r="AA35" s="3"/>
      <c r="AB35" s="3" t="s">
        <v>313</v>
      </c>
      <c r="AC35" s="3">
        <v>810000</v>
      </c>
    </row>
    <row r="36" spans="1:68" ht="30" customHeight="1">
      <c r="A36" s="3">
        <f t="shared" si="10"/>
        <v>32</v>
      </c>
      <c r="B36" s="3">
        <v>2091</v>
      </c>
      <c r="C36" s="3" t="s">
        <v>232</v>
      </c>
      <c r="D36" s="4">
        <v>1360000</v>
      </c>
      <c r="E36" s="4">
        <v>1360000</v>
      </c>
      <c r="F36" s="4">
        <f t="shared" si="0"/>
        <v>0</v>
      </c>
      <c r="G36" s="4">
        <v>240000</v>
      </c>
      <c r="H36" s="4">
        <v>160000</v>
      </c>
      <c r="I36" s="4">
        <v>0</v>
      </c>
      <c r="J36" s="4">
        <v>80000</v>
      </c>
      <c r="K36" s="4">
        <f t="shared" si="1"/>
        <v>80000</v>
      </c>
      <c r="L36" s="4">
        <f t="shared" si="2"/>
        <v>240000</v>
      </c>
      <c r="M36" s="4">
        <f t="shared" si="3"/>
        <v>0</v>
      </c>
      <c r="N36" s="4"/>
      <c r="O36" s="4">
        <f>D36-M36-N36-L36</f>
        <v>1120000</v>
      </c>
      <c r="P36" s="4">
        <f t="shared" si="5"/>
        <v>0</v>
      </c>
      <c r="Q36" s="4"/>
      <c r="R36" s="4"/>
      <c r="S36" s="4">
        <f t="shared" si="6"/>
        <v>0</v>
      </c>
      <c r="T36" s="4">
        <f t="shared" si="7"/>
        <v>0</v>
      </c>
      <c r="U36" s="4">
        <f t="shared" si="8"/>
        <v>0</v>
      </c>
      <c r="V36" s="4"/>
      <c r="W36" s="4">
        <f t="shared" si="9"/>
        <v>0</v>
      </c>
      <c r="X36" s="4"/>
      <c r="Y36" s="4"/>
      <c r="Z36" s="4"/>
      <c r="AA36" s="3"/>
      <c r="AB36" s="3" t="s">
        <v>1512</v>
      </c>
      <c r="AC36" s="3">
        <v>810000</v>
      </c>
      <c r="BA36" s="16"/>
      <c r="BB36" s="16"/>
      <c r="BC36" s="16"/>
      <c r="BD36" s="16"/>
      <c r="BE36" s="16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s="5" customFormat="1" ht="30" customHeight="1">
      <c r="A37" s="3">
        <f t="shared" si="10"/>
        <v>33</v>
      </c>
      <c r="B37" s="3">
        <v>2095</v>
      </c>
      <c r="C37" s="3" t="s">
        <v>230</v>
      </c>
      <c r="D37" s="4">
        <v>210000</v>
      </c>
      <c r="E37" s="4">
        <v>210000</v>
      </c>
      <c r="F37" s="4">
        <f t="shared" ref="F37:F68" si="11">D37-E37</f>
        <v>0</v>
      </c>
      <c r="G37" s="4">
        <v>210000</v>
      </c>
      <c r="H37" s="4">
        <v>144788</v>
      </c>
      <c r="I37" s="4">
        <v>0</v>
      </c>
      <c r="J37" s="4">
        <v>0</v>
      </c>
      <c r="K37" s="4">
        <f t="shared" ref="K37:K68" si="12">I37+J37</f>
        <v>0</v>
      </c>
      <c r="L37" s="4">
        <f t="shared" ref="L37:L68" si="13">H37+K37</f>
        <v>144788</v>
      </c>
      <c r="M37" s="4">
        <f t="shared" ref="M37:M68" si="14">P37+S37</f>
        <v>65212</v>
      </c>
      <c r="N37" s="4"/>
      <c r="O37" s="4">
        <f>D37-L37-M37-N37</f>
        <v>0</v>
      </c>
      <c r="P37" s="4">
        <f t="shared" ref="P37:P68" si="15">G37-L37</f>
        <v>65212</v>
      </c>
      <c r="Q37" s="4"/>
      <c r="R37" s="4"/>
      <c r="S37" s="4">
        <f t="shared" ref="S37:S68" si="16">SUM(Q37:R37)</f>
        <v>0</v>
      </c>
      <c r="T37" s="4">
        <f t="shared" ref="T37:T68" si="17">P37-M37+S37</f>
        <v>0</v>
      </c>
      <c r="U37" s="4">
        <f t="shared" ref="U37:U68" si="18">N37-T37</f>
        <v>0</v>
      </c>
      <c r="V37" s="4"/>
      <c r="W37" s="4">
        <f t="shared" si="9"/>
        <v>0</v>
      </c>
      <c r="X37" s="4"/>
      <c r="Y37" s="4"/>
      <c r="Z37" s="4"/>
      <c r="AA37" s="3"/>
      <c r="AB37" s="3" t="s">
        <v>391</v>
      </c>
      <c r="AC37" s="3">
        <v>610000</v>
      </c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48"/>
      <c r="AQ37" s="148"/>
      <c r="AR37" s="148"/>
      <c r="AS37" s="148"/>
      <c r="AT37" s="531"/>
      <c r="AU37" s="531"/>
      <c r="AV37" s="531"/>
      <c r="AW37" s="531"/>
      <c r="AX37" s="531"/>
      <c r="AY37" s="531"/>
      <c r="AZ37" s="531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</row>
    <row r="38" spans="1:68" ht="45">
      <c r="A38" s="3">
        <f t="shared" si="10"/>
        <v>34</v>
      </c>
      <c r="B38" s="3">
        <v>2133</v>
      </c>
      <c r="C38" s="3" t="s">
        <v>305</v>
      </c>
      <c r="D38" s="4">
        <v>5150000</v>
      </c>
      <c r="E38" s="4">
        <v>5150000</v>
      </c>
      <c r="F38" s="4">
        <f t="shared" si="11"/>
        <v>0</v>
      </c>
      <c r="G38" s="4">
        <v>2950000</v>
      </c>
      <c r="H38" s="4">
        <v>2769760</v>
      </c>
      <c r="I38" s="4">
        <v>0</v>
      </c>
      <c r="J38" s="4">
        <v>78014</v>
      </c>
      <c r="K38" s="4">
        <f t="shared" si="12"/>
        <v>78014</v>
      </c>
      <c r="L38" s="4">
        <f t="shared" si="13"/>
        <v>2847774</v>
      </c>
      <c r="M38" s="4">
        <f t="shared" si="14"/>
        <v>502226</v>
      </c>
      <c r="N38" s="4">
        <f>200000-200000</f>
        <v>0</v>
      </c>
      <c r="O38" s="4">
        <f>D38-L38-M38-N38</f>
        <v>1800000</v>
      </c>
      <c r="P38" s="4">
        <f t="shared" si="15"/>
        <v>102226</v>
      </c>
      <c r="Q38" s="4">
        <v>400000</v>
      </c>
      <c r="R38" s="4"/>
      <c r="S38" s="4">
        <f t="shared" si="16"/>
        <v>400000</v>
      </c>
      <c r="T38" s="4">
        <f t="shared" si="17"/>
        <v>0</v>
      </c>
      <c r="U38" s="4">
        <f t="shared" si="18"/>
        <v>0</v>
      </c>
      <c r="V38" s="4"/>
      <c r="W38" s="4">
        <f t="shared" ref="W38:W69" si="19">U38-AA38-V38-Y38</f>
        <v>0</v>
      </c>
      <c r="X38" s="4"/>
      <c r="Y38" s="4"/>
      <c r="Z38" s="4"/>
      <c r="AA38" s="3"/>
      <c r="AB38" s="3" t="s">
        <v>556</v>
      </c>
      <c r="AC38" s="3">
        <v>930000</v>
      </c>
    </row>
    <row r="39" spans="1:68" ht="30" customHeight="1">
      <c r="A39" s="3">
        <f t="shared" si="10"/>
        <v>35</v>
      </c>
      <c r="B39" s="3">
        <v>2140</v>
      </c>
      <c r="C39" s="3" t="s">
        <v>341</v>
      </c>
      <c r="D39" s="4">
        <f>360000-76878</f>
        <v>283122</v>
      </c>
      <c r="E39" s="4">
        <v>360000</v>
      </c>
      <c r="F39" s="4">
        <f t="shared" si="11"/>
        <v>-76878</v>
      </c>
      <c r="G39" s="4">
        <v>283122</v>
      </c>
      <c r="H39" s="4">
        <v>283122</v>
      </c>
      <c r="I39" s="4">
        <v>0</v>
      </c>
      <c r="J39" s="4">
        <v>0</v>
      </c>
      <c r="K39" s="4">
        <f t="shared" si="12"/>
        <v>0</v>
      </c>
      <c r="L39" s="4">
        <f t="shared" si="13"/>
        <v>283122</v>
      </c>
      <c r="M39" s="4">
        <f t="shared" si="14"/>
        <v>0</v>
      </c>
      <c r="N39" s="4"/>
      <c r="O39" s="4">
        <f>D39-L39-M39-N39</f>
        <v>0</v>
      </c>
      <c r="P39" s="4">
        <f t="shared" si="15"/>
        <v>0</v>
      </c>
      <c r="Q39" s="4"/>
      <c r="R39" s="4"/>
      <c r="S39" s="4">
        <f t="shared" si="16"/>
        <v>0</v>
      </c>
      <c r="T39" s="4">
        <f t="shared" si="17"/>
        <v>0</v>
      </c>
      <c r="U39" s="4">
        <f t="shared" si="18"/>
        <v>0</v>
      </c>
      <c r="V39" s="4"/>
      <c r="W39" s="4">
        <f t="shared" si="19"/>
        <v>0</v>
      </c>
      <c r="X39" s="4"/>
      <c r="Y39" s="4"/>
      <c r="Z39" s="4"/>
      <c r="AA39" s="3"/>
      <c r="AB39" s="3" t="s">
        <v>734</v>
      </c>
      <c r="AC39" s="3">
        <v>810000</v>
      </c>
    </row>
    <row r="40" spans="1:68" ht="60">
      <c r="A40" s="3">
        <f t="shared" si="10"/>
        <v>36</v>
      </c>
      <c r="B40" s="3">
        <v>2156</v>
      </c>
      <c r="C40" s="3" t="s">
        <v>617</v>
      </c>
      <c r="D40" s="4">
        <v>2700000</v>
      </c>
      <c r="E40" s="4">
        <v>2700000</v>
      </c>
      <c r="F40" s="4">
        <f t="shared" si="11"/>
        <v>0</v>
      </c>
      <c r="G40" s="4">
        <v>1100000</v>
      </c>
      <c r="H40" s="4">
        <v>729728</v>
      </c>
      <c r="I40" s="4">
        <v>0</v>
      </c>
      <c r="J40" s="4">
        <v>351838</v>
      </c>
      <c r="K40" s="4">
        <f t="shared" si="12"/>
        <v>351838</v>
      </c>
      <c r="L40" s="4">
        <f t="shared" si="13"/>
        <v>1081566</v>
      </c>
      <c r="M40" s="4">
        <f t="shared" si="14"/>
        <v>18434</v>
      </c>
      <c r="N40" s="4">
        <f>1500000-250000-500000-250000</f>
        <v>500000</v>
      </c>
      <c r="O40" s="4">
        <f>D40-L40-M40-N40</f>
        <v>1100000</v>
      </c>
      <c r="P40" s="4">
        <f t="shared" si="15"/>
        <v>18434</v>
      </c>
      <c r="Q40" s="4"/>
      <c r="R40" s="4"/>
      <c r="S40" s="4">
        <f t="shared" si="16"/>
        <v>0</v>
      </c>
      <c r="T40" s="4">
        <f t="shared" si="17"/>
        <v>0</v>
      </c>
      <c r="U40" s="4">
        <f t="shared" si="18"/>
        <v>500000</v>
      </c>
      <c r="V40" s="4"/>
      <c r="W40" s="4">
        <f t="shared" si="19"/>
        <v>500000</v>
      </c>
      <c r="X40" s="4"/>
      <c r="Y40" s="4"/>
      <c r="Z40" s="4"/>
      <c r="AA40" s="3"/>
      <c r="AB40" s="3" t="s">
        <v>1496</v>
      </c>
      <c r="AC40" s="3">
        <v>720000</v>
      </c>
    </row>
    <row r="41" spans="1:68" ht="54.75" customHeight="1">
      <c r="A41" s="3">
        <f t="shared" si="10"/>
        <v>37</v>
      </c>
      <c r="B41" s="3">
        <v>2160</v>
      </c>
      <c r="C41" s="3" t="s">
        <v>314</v>
      </c>
      <c r="D41" s="4">
        <v>210000</v>
      </c>
      <c r="E41" s="4">
        <v>210000</v>
      </c>
      <c r="F41" s="4">
        <f t="shared" si="11"/>
        <v>0</v>
      </c>
      <c r="G41" s="4">
        <v>210000</v>
      </c>
      <c r="H41" s="4">
        <v>0</v>
      </c>
      <c r="I41" s="4">
        <v>0</v>
      </c>
      <c r="J41" s="4">
        <v>208441</v>
      </c>
      <c r="K41" s="4">
        <f t="shared" si="12"/>
        <v>208441</v>
      </c>
      <c r="L41" s="4">
        <f t="shared" si="13"/>
        <v>208441</v>
      </c>
      <c r="M41" s="4">
        <f t="shared" si="14"/>
        <v>1559</v>
      </c>
      <c r="N41" s="4"/>
      <c r="O41" s="4">
        <f>D41-M41-N41-L41</f>
        <v>0</v>
      </c>
      <c r="P41" s="4">
        <f t="shared" si="15"/>
        <v>1559</v>
      </c>
      <c r="Q41" s="311"/>
      <c r="R41" s="4"/>
      <c r="S41" s="4">
        <f t="shared" si="16"/>
        <v>0</v>
      </c>
      <c r="T41" s="4">
        <f t="shared" si="17"/>
        <v>0</v>
      </c>
      <c r="U41" s="4">
        <f t="shared" si="18"/>
        <v>0</v>
      </c>
      <c r="V41" s="4"/>
      <c r="W41" s="4">
        <f t="shared" si="19"/>
        <v>0</v>
      </c>
      <c r="X41" s="4"/>
      <c r="Y41" s="4"/>
      <c r="Z41" s="4"/>
      <c r="AA41" s="3"/>
      <c r="AB41" s="3" t="s">
        <v>735</v>
      </c>
      <c r="AC41" s="3">
        <v>810000</v>
      </c>
      <c r="BA41" s="16"/>
      <c r="BB41" s="16"/>
      <c r="BC41" s="16"/>
      <c r="BD41" s="16"/>
      <c r="BE41" s="1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s="5" customFormat="1" ht="45">
      <c r="A42" s="3">
        <f t="shared" si="10"/>
        <v>38</v>
      </c>
      <c r="B42" s="3">
        <v>2165</v>
      </c>
      <c r="C42" s="3" t="s">
        <v>430</v>
      </c>
      <c r="D42" s="4">
        <f>1600000+300000</f>
        <v>1900000</v>
      </c>
      <c r="E42" s="4">
        <v>1600000</v>
      </c>
      <c r="F42" s="4">
        <f t="shared" si="11"/>
        <v>300000</v>
      </c>
      <c r="G42" s="4">
        <v>0</v>
      </c>
      <c r="H42" s="4">
        <v>0</v>
      </c>
      <c r="I42" s="4">
        <v>0</v>
      </c>
      <c r="J42" s="4">
        <v>0</v>
      </c>
      <c r="K42" s="4">
        <f t="shared" si="12"/>
        <v>0</v>
      </c>
      <c r="L42" s="4">
        <f t="shared" si="13"/>
        <v>0</v>
      </c>
      <c r="M42" s="4">
        <f t="shared" si="14"/>
        <v>0</v>
      </c>
      <c r="N42" s="4">
        <f>1000000+900000-1900000</f>
        <v>0</v>
      </c>
      <c r="O42" s="4">
        <f t="shared" ref="O42:O73" si="20">D42-L42-M42-N42</f>
        <v>1900000</v>
      </c>
      <c r="P42" s="4">
        <f t="shared" si="15"/>
        <v>0</v>
      </c>
      <c r="Q42" s="311"/>
      <c r="R42" s="4"/>
      <c r="S42" s="4">
        <f t="shared" si="16"/>
        <v>0</v>
      </c>
      <c r="T42" s="4">
        <f t="shared" si="17"/>
        <v>0</v>
      </c>
      <c r="U42" s="4">
        <f t="shared" si="18"/>
        <v>0</v>
      </c>
      <c r="V42" s="4"/>
      <c r="W42" s="4">
        <f t="shared" si="19"/>
        <v>0</v>
      </c>
      <c r="X42" s="4"/>
      <c r="Y42" s="4"/>
      <c r="Z42" s="4"/>
      <c r="AA42" s="3"/>
      <c r="AB42" s="3" t="s">
        <v>484</v>
      </c>
      <c r="AC42" s="3">
        <v>746000</v>
      </c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48"/>
      <c r="AQ42" s="148"/>
      <c r="AR42" s="148"/>
      <c r="AS42" s="148"/>
      <c r="AT42" s="531"/>
      <c r="AU42" s="531"/>
      <c r="AV42" s="531"/>
      <c r="AW42" s="531"/>
      <c r="AX42" s="531"/>
      <c r="AY42" s="531"/>
      <c r="AZ42" s="531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</row>
    <row r="43" spans="1:68" ht="45">
      <c r="A43" s="3">
        <f t="shared" si="10"/>
        <v>39</v>
      </c>
      <c r="B43" s="3">
        <v>2166</v>
      </c>
      <c r="C43" s="3" t="s">
        <v>317</v>
      </c>
      <c r="D43" s="4">
        <v>6200000</v>
      </c>
      <c r="E43" s="4">
        <v>6200000</v>
      </c>
      <c r="F43" s="4">
        <f t="shared" si="11"/>
        <v>0</v>
      </c>
      <c r="G43" s="4">
        <v>0</v>
      </c>
      <c r="H43" s="4">
        <v>0</v>
      </c>
      <c r="I43" s="4">
        <v>0</v>
      </c>
      <c r="J43" s="4">
        <v>0</v>
      </c>
      <c r="K43" s="4">
        <f t="shared" si="12"/>
        <v>0</v>
      </c>
      <c r="L43" s="4">
        <f t="shared" si="13"/>
        <v>0</v>
      </c>
      <c r="M43" s="4">
        <f t="shared" si="14"/>
        <v>0</v>
      </c>
      <c r="N43" s="4"/>
      <c r="O43" s="4">
        <f t="shared" si="20"/>
        <v>6200000</v>
      </c>
      <c r="P43" s="4">
        <f t="shared" si="15"/>
        <v>0</v>
      </c>
      <c r="Q43" s="311"/>
      <c r="R43" s="4"/>
      <c r="S43" s="4">
        <f t="shared" si="16"/>
        <v>0</v>
      </c>
      <c r="T43" s="4">
        <f t="shared" si="17"/>
        <v>0</v>
      </c>
      <c r="U43" s="4">
        <f t="shared" si="18"/>
        <v>0</v>
      </c>
      <c r="V43" s="4"/>
      <c r="W43" s="4">
        <f t="shared" si="19"/>
        <v>0</v>
      </c>
      <c r="X43" s="4"/>
      <c r="Y43" s="4"/>
      <c r="Z43" s="4"/>
      <c r="AA43" s="3"/>
      <c r="AB43" s="3" t="s">
        <v>618</v>
      </c>
      <c r="AC43" s="3">
        <v>746000</v>
      </c>
    </row>
    <row r="44" spans="1:68" ht="45">
      <c r="A44" s="3">
        <f t="shared" si="10"/>
        <v>40</v>
      </c>
      <c r="B44" s="3">
        <v>2167</v>
      </c>
      <c r="C44" s="3" t="s">
        <v>318</v>
      </c>
      <c r="D44" s="4">
        <v>1400000</v>
      </c>
      <c r="E44" s="4">
        <v>1400000</v>
      </c>
      <c r="F44" s="4">
        <f t="shared" si="11"/>
        <v>0</v>
      </c>
      <c r="G44" s="4">
        <v>100000</v>
      </c>
      <c r="H44" s="4">
        <v>94687</v>
      </c>
      <c r="I44" s="4">
        <v>0</v>
      </c>
      <c r="J44" s="4">
        <v>4661</v>
      </c>
      <c r="K44" s="4">
        <f t="shared" si="12"/>
        <v>4661</v>
      </c>
      <c r="L44" s="4">
        <f t="shared" si="13"/>
        <v>99348</v>
      </c>
      <c r="M44" s="4">
        <f t="shared" si="14"/>
        <v>50652</v>
      </c>
      <c r="N44" s="4"/>
      <c r="O44" s="4">
        <f t="shared" si="20"/>
        <v>1250000</v>
      </c>
      <c r="P44" s="4">
        <f t="shared" si="15"/>
        <v>652</v>
      </c>
      <c r="Q44" s="4">
        <v>50000</v>
      </c>
      <c r="R44" s="4"/>
      <c r="S44" s="4">
        <f t="shared" si="16"/>
        <v>50000</v>
      </c>
      <c r="T44" s="4">
        <f t="shared" si="17"/>
        <v>0</v>
      </c>
      <c r="U44" s="4">
        <f t="shared" si="18"/>
        <v>0</v>
      </c>
      <c r="V44" s="4"/>
      <c r="W44" s="4">
        <f t="shared" si="19"/>
        <v>0</v>
      </c>
      <c r="X44" s="4"/>
      <c r="Y44" s="4"/>
      <c r="Z44" s="4"/>
      <c r="AA44" s="3"/>
      <c r="AB44" s="3" t="s">
        <v>535</v>
      </c>
      <c r="AC44" s="3">
        <v>742000</v>
      </c>
    </row>
    <row r="45" spans="1:68" ht="45">
      <c r="A45" s="3">
        <f t="shared" si="10"/>
        <v>41</v>
      </c>
      <c r="B45" s="3">
        <v>2177</v>
      </c>
      <c r="C45" s="3" t="s">
        <v>411</v>
      </c>
      <c r="D45" s="4">
        <v>12500000</v>
      </c>
      <c r="E45" s="4">
        <v>12500000</v>
      </c>
      <c r="F45" s="4">
        <f t="shared" si="11"/>
        <v>0</v>
      </c>
      <c r="G45" s="4">
        <v>12500000</v>
      </c>
      <c r="H45" s="4">
        <v>12273451</v>
      </c>
      <c r="I45" s="4">
        <v>0</v>
      </c>
      <c r="J45" s="4">
        <v>226000</v>
      </c>
      <c r="K45" s="4">
        <f t="shared" si="12"/>
        <v>226000</v>
      </c>
      <c r="L45" s="4">
        <f t="shared" si="13"/>
        <v>12499451</v>
      </c>
      <c r="M45" s="4">
        <f t="shared" si="14"/>
        <v>549</v>
      </c>
      <c r="N45" s="4"/>
      <c r="O45" s="4">
        <f t="shared" si="20"/>
        <v>0</v>
      </c>
      <c r="P45" s="4">
        <f t="shared" si="15"/>
        <v>549</v>
      </c>
      <c r="Q45" s="311"/>
      <c r="R45" s="4"/>
      <c r="S45" s="4">
        <f t="shared" si="16"/>
        <v>0</v>
      </c>
      <c r="T45" s="4">
        <f t="shared" si="17"/>
        <v>0</v>
      </c>
      <c r="U45" s="4">
        <f t="shared" si="18"/>
        <v>0</v>
      </c>
      <c r="V45" s="4"/>
      <c r="W45" s="4">
        <f t="shared" si="19"/>
        <v>0</v>
      </c>
      <c r="X45" s="4"/>
      <c r="Y45" s="4"/>
      <c r="Z45" s="4"/>
      <c r="AA45" s="3"/>
      <c r="AB45" s="3" t="s">
        <v>745</v>
      </c>
      <c r="AC45" s="3">
        <v>810000</v>
      </c>
    </row>
    <row r="46" spans="1:68" ht="45">
      <c r="A46" s="3">
        <f t="shared" si="10"/>
        <v>42</v>
      </c>
      <c r="B46" s="3">
        <v>2181</v>
      </c>
      <c r="C46" s="3" t="s">
        <v>343</v>
      </c>
      <c r="D46" s="4">
        <v>1259000</v>
      </c>
      <c r="E46" s="4">
        <v>1259000</v>
      </c>
      <c r="F46" s="4">
        <f t="shared" si="11"/>
        <v>0</v>
      </c>
      <c r="G46" s="4">
        <v>1259000</v>
      </c>
      <c r="H46" s="4">
        <v>1259000</v>
      </c>
      <c r="I46" s="4">
        <v>0</v>
      </c>
      <c r="J46" s="4">
        <v>0</v>
      </c>
      <c r="K46" s="4">
        <f t="shared" si="12"/>
        <v>0</v>
      </c>
      <c r="L46" s="4">
        <f t="shared" si="13"/>
        <v>1259000</v>
      </c>
      <c r="M46" s="4">
        <f t="shared" si="14"/>
        <v>0</v>
      </c>
      <c r="N46" s="4"/>
      <c r="O46" s="4">
        <f t="shared" si="20"/>
        <v>0</v>
      </c>
      <c r="P46" s="4">
        <f t="shared" si="15"/>
        <v>0</v>
      </c>
      <c r="Q46" s="311"/>
      <c r="R46" s="4"/>
      <c r="S46" s="4">
        <f t="shared" si="16"/>
        <v>0</v>
      </c>
      <c r="T46" s="4">
        <f t="shared" si="17"/>
        <v>0</v>
      </c>
      <c r="U46" s="4">
        <f t="shared" si="18"/>
        <v>0</v>
      </c>
      <c r="V46" s="4"/>
      <c r="W46" s="4">
        <f t="shared" si="19"/>
        <v>0</v>
      </c>
      <c r="X46" s="4"/>
      <c r="Y46" s="4"/>
      <c r="Z46" s="4"/>
      <c r="AA46" s="3"/>
      <c r="AB46" s="3" t="s">
        <v>736</v>
      </c>
      <c r="AC46" s="3">
        <v>747000</v>
      </c>
    </row>
    <row r="47" spans="1:68" ht="30" customHeight="1">
      <c r="A47" s="3">
        <f t="shared" si="10"/>
        <v>43</v>
      </c>
      <c r="B47" s="3">
        <v>2184</v>
      </c>
      <c r="C47" s="3" t="s">
        <v>585</v>
      </c>
      <c r="D47" s="112">
        <f>2495000+1819000</f>
        <v>4314000</v>
      </c>
      <c r="E47" s="112">
        <v>2495000</v>
      </c>
      <c r="F47" s="4">
        <f t="shared" si="11"/>
        <v>1819000</v>
      </c>
      <c r="G47" s="112">
        <v>2060000</v>
      </c>
      <c r="H47" s="112">
        <v>43432</v>
      </c>
      <c r="I47" s="112">
        <v>0</v>
      </c>
      <c r="J47" s="112">
        <v>499979</v>
      </c>
      <c r="K47" s="4">
        <f t="shared" si="12"/>
        <v>499979</v>
      </c>
      <c r="L47" s="4">
        <f t="shared" si="13"/>
        <v>543411</v>
      </c>
      <c r="M47" s="4">
        <f t="shared" si="14"/>
        <v>1516589</v>
      </c>
      <c r="N47" s="4">
        <f>2254000-1300000</f>
        <v>954000</v>
      </c>
      <c r="O47" s="4">
        <f t="shared" si="20"/>
        <v>1300000</v>
      </c>
      <c r="P47" s="4">
        <f t="shared" si="15"/>
        <v>1516589</v>
      </c>
      <c r="Q47" s="311"/>
      <c r="R47" s="4"/>
      <c r="S47" s="4">
        <f t="shared" si="16"/>
        <v>0</v>
      </c>
      <c r="T47" s="4">
        <f t="shared" si="17"/>
        <v>0</v>
      </c>
      <c r="U47" s="4">
        <f t="shared" si="18"/>
        <v>954000</v>
      </c>
      <c r="V47" s="4"/>
      <c r="W47" s="4">
        <f t="shared" si="19"/>
        <v>954000</v>
      </c>
      <c r="X47" s="4"/>
      <c r="Y47" s="4"/>
      <c r="Z47" s="4"/>
      <c r="AA47" s="3"/>
      <c r="AB47" s="3" t="s">
        <v>1266</v>
      </c>
      <c r="AC47" s="3">
        <v>930000</v>
      </c>
      <c r="BB47" s="206"/>
      <c r="BC47" s="206"/>
      <c r="BD47" s="206"/>
      <c r="BE47" s="206"/>
      <c r="BF47" s="206"/>
      <c r="BG47" s="206"/>
    </row>
    <row r="48" spans="1:68" ht="30" customHeight="1">
      <c r="A48" s="3">
        <f t="shared" si="10"/>
        <v>44</v>
      </c>
      <c r="B48" s="3">
        <v>2187</v>
      </c>
      <c r="C48" s="3" t="s">
        <v>351</v>
      </c>
      <c r="D48" s="4">
        <v>9900000</v>
      </c>
      <c r="E48" s="4">
        <v>9900000</v>
      </c>
      <c r="F48" s="4">
        <f t="shared" si="11"/>
        <v>0</v>
      </c>
      <c r="G48" s="4">
        <v>9900000</v>
      </c>
      <c r="H48" s="4">
        <v>9895014</v>
      </c>
      <c r="I48" s="4">
        <v>0</v>
      </c>
      <c r="J48" s="4">
        <v>0</v>
      </c>
      <c r="K48" s="4">
        <f t="shared" si="12"/>
        <v>0</v>
      </c>
      <c r="L48" s="4">
        <f t="shared" si="13"/>
        <v>9895014</v>
      </c>
      <c r="M48" s="4">
        <f t="shared" si="14"/>
        <v>4986</v>
      </c>
      <c r="N48" s="4"/>
      <c r="O48" s="4">
        <f t="shared" si="20"/>
        <v>0</v>
      </c>
      <c r="P48" s="4">
        <f t="shared" si="15"/>
        <v>4986</v>
      </c>
      <c r="Q48" s="311"/>
      <c r="R48" s="4"/>
      <c r="S48" s="4">
        <f t="shared" si="16"/>
        <v>0</v>
      </c>
      <c r="T48" s="4">
        <f t="shared" si="17"/>
        <v>0</v>
      </c>
      <c r="U48" s="4">
        <f t="shared" si="18"/>
        <v>0</v>
      </c>
      <c r="V48" s="4"/>
      <c r="W48" s="4">
        <f t="shared" si="19"/>
        <v>0</v>
      </c>
      <c r="X48" s="4"/>
      <c r="Y48" s="4"/>
      <c r="Z48" s="4"/>
      <c r="AA48" s="3"/>
      <c r="AB48" s="3" t="s">
        <v>737</v>
      </c>
      <c r="AC48" s="3">
        <v>810000</v>
      </c>
    </row>
    <row r="49" spans="1:29" ht="30" customHeight="1">
      <c r="A49" s="3">
        <f t="shared" si="10"/>
        <v>45</v>
      </c>
      <c r="B49" s="3">
        <v>2215</v>
      </c>
      <c r="C49" s="3" t="s">
        <v>353</v>
      </c>
      <c r="D49" s="4">
        <f>420000-23590</f>
        <v>396410</v>
      </c>
      <c r="E49" s="4">
        <v>420000</v>
      </c>
      <c r="F49" s="4">
        <f t="shared" si="11"/>
        <v>-23590</v>
      </c>
      <c r="G49" s="4">
        <v>396410</v>
      </c>
      <c r="H49" s="4">
        <v>396410</v>
      </c>
      <c r="I49" s="4">
        <v>0</v>
      </c>
      <c r="J49" s="4">
        <v>0</v>
      </c>
      <c r="K49" s="4">
        <f t="shared" si="12"/>
        <v>0</v>
      </c>
      <c r="L49" s="4">
        <f t="shared" si="13"/>
        <v>396410</v>
      </c>
      <c r="M49" s="4">
        <f t="shared" si="14"/>
        <v>0</v>
      </c>
      <c r="N49" s="4"/>
      <c r="O49" s="4">
        <f t="shared" si="20"/>
        <v>0</v>
      </c>
      <c r="P49" s="4">
        <f t="shared" si="15"/>
        <v>0</v>
      </c>
      <c r="Q49" s="311"/>
      <c r="R49" s="4"/>
      <c r="S49" s="4">
        <f t="shared" si="16"/>
        <v>0</v>
      </c>
      <c r="T49" s="4">
        <f t="shared" si="17"/>
        <v>0</v>
      </c>
      <c r="U49" s="4">
        <f t="shared" si="18"/>
        <v>0</v>
      </c>
      <c r="V49" s="4"/>
      <c r="W49" s="4">
        <f t="shared" si="19"/>
        <v>0</v>
      </c>
      <c r="X49" s="4"/>
      <c r="Y49" s="4"/>
      <c r="Z49" s="4"/>
      <c r="AA49" s="3"/>
      <c r="AB49" s="3" t="s">
        <v>1485</v>
      </c>
      <c r="AC49" s="3">
        <v>810000</v>
      </c>
    </row>
    <row r="50" spans="1:29" ht="30" customHeight="1">
      <c r="A50" s="3">
        <f t="shared" si="10"/>
        <v>46</v>
      </c>
      <c r="B50" s="3">
        <v>2216</v>
      </c>
      <c r="C50" s="3" t="s">
        <v>354</v>
      </c>
      <c r="D50" s="4">
        <f>7500000+350000</f>
        <v>7850000</v>
      </c>
      <c r="E50" s="4">
        <f>7500000+350000</f>
        <v>7850000</v>
      </c>
      <c r="F50" s="4">
        <f t="shared" si="11"/>
        <v>0</v>
      </c>
      <c r="G50" s="4">
        <v>7500000</v>
      </c>
      <c r="H50" s="4">
        <v>7465720</v>
      </c>
      <c r="I50" s="4">
        <v>0</v>
      </c>
      <c r="J50" s="4">
        <v>32875</v>
      </c>
      <c r="K50" s="4">
        <f t="shared" si="12"/>
        <v>32875</v>
      </c>
      <c r="L50" s="4">
        <f t="shared" si="13"/>
        <v>7498595</v>
      </c>
      <c r="M50" s="4">
        <f t="shared" si="14"/>
        <v>351405</v>
      </c>
      <c r="N50" s="4"/>
      <c r="O50" s="4">
        <f t="shared" si="20"/>
        <v>0</v>
      </c>
      <c r="P50" s="4">
        <f t="shared" si="15"/>
        <v>1405</v>
      </c>
      <c r="Q50" s="311"/>
      <c r="R50" s="4">
        <v>350000</v>
      </c>
      <c r="S50" s="4">
        <f t="shared" si="16"/>
        <v>350000</v>
      </c>
      <c r="T50" s="4">
        <f t="shared" si="17"/>
        <v>0</v>
      </c>
      <c r="U50" s="4">
        <f t="shared" si="18"/>
        <v>0</v>
      </c>
      <c r="V50" s="4"/>
      <c r="W50" s="4">
        <f t="shared" si="19"/>
        <v>0</v>
      </c>
      <c r="X50" s="4"/>
      <c r="Y50" s="4"/>
      <c r="Z50" s="4"/>
      <c r="AA50" s="3"/>
      <c r="AB50" s="3" t="s">
        <v>355</v>
      </c>
      <c r="AC50" s="3">
        <v>810000</v>
      </c>
    </row>
    <row r="51" spans="1:29" ht="30" customHeight="1">
      <c r="A51" s="3">
        <f t="shared" si="10"/>
        <v>47</v>
      </c>
      <c r="B51" s="3">
        <v>2221</v>
      </c>
      <c r="C51" s="3" t="s">
        <v>359</v>
      </c>
      <c r="D51" s="4">
        <v>91304</v>
      </c>
      <c r="E51" s="4">
        <v>91304</v>
      </c>
      <c r="F51" s="4">
        <f t="shared" si="11"/>
        <v>0</v>
      </c>
      <c r="G51" s="4">
        <v>91304</v>
      </c>
      <c r="H51" s="4">
        <v>91202</v>
      </c>
      <c r="I51" s="4">
        <v>0</v>
      </c>
      <c r="J51" s="4">
        <v>0</v>
      </c>
      <c r="K51" s="4">
        <f t="shared" si="12"/>
        <v>0</v>
      </c>
      <c r="L51" s="4">
        <f t="shared" si="13"/>
        <v>91202</v>
      </c>
      <c r="M51" s="4">
        <f t="shared" si="14"/>
        <v>102</v>
      </c>
      <c r="N51" s="4"/>
      <c r="O51" s="4">
        <f t="shared" si="20"/>
        <v>0</v>
      </c>
      <c r="P51" s="4">
        <f t="shared" si="15"/>
        <v>102</v>
      </c>
      <c r="Q51" s="311"/>
      <c r="R51" s="4"/>
      <c r="S51" s="4">
        <f t="shared" si="16"/>
        <v>0</v>
      </c>
      <c r="T51" s="4">
        <f t="shared" si="17"/>
        <v>0</v>
      </c>
      <c r="U51" s="4">
        <f t="shared" si="18"/>
        <v>0</v>
      </c>
      <c r="V51" s="4"/>
      <c r="W51" s="4">
        <f t="shared" si="19"/>
        <v>0</v>
      </c>
      <c r="X51" s="4"/>
      <c r="Y51" s="4"/>
      <c r="Z51" s="4"/>
      <c r="AA51" s="3"/>
      <c r="AB51" s="3" t="s">
        <v>730</v>
      </c>
      <c r="AC51" s="3">
        <v>747000</v>
      </c>
    </row>
    <row r="52" spans="1:29" ht="30">
      <c r="A52" s="3">
        <f t="shared" si="10"/>
        <v>48</v>
      </c>
      <c r="B52" s="3">
        <v>2225</v>
      </c>
      <c r="C52" s="3" t="s">
        <v>353</v>
      </c>
      <c r="D52" s="4">
        <f>150000-60000</f>
        <v>90000</v>
      </c>
      <c r="E52" s="4">
        <v>150000</v>
      </c>
      <c r="F52" s="4">
        <f t="shared" si="11"/>
        <v>-60000</v>
      </c>
      <c r="G52" s="4">
        <v>90000</v>
      </c>
      <c r="H52" s="4">
        <v>73365</v>
      </c>
      <c r="I52" s="4">
        <v>0</v>
      </c>
      <c r="J52" s="4">
        <v>0</v>
      </c>
      <c r="K52" s="4">
        <f t="shared" si="12"/>
        <v>0</v>
      </c>
      <c r="L52" s="4">
        <f t="shared" si="13"/>
        <v>73365</v>
      </c>
      <c r="M52" s="4">
        <f t="shared" si="14"/>
        <v>16635</v>
      </c>
      <c r="N52" s="4"/>
      <c r="O52" s="4">
        <f t="shared" si="20"/>
        <v>0</v>
      </c>
      <c r="P52" s="4">
        <f t="shared" si="15"/>
        <v>16635</v>
      </c>
      <c r="Q52" s="311"/>
      <c r="R52" s="4"/>
      <c r="S52" s="4">
        <f t="shared" si="16"/>
        <v>0</v>
      </c>
      <c r="T52" s="4">
        <f t="shared" si="17"/>
        <v>0</v>
      </c>
      <c r="U52" s="4">
        <f t="shared" si="18"/>
        <v>0</v>
      </c>
      <c r="V52" s="4"/>
      <c r="W52" s="4">
        <f t="shared" si="19"/>
        <v>0</v>
      </c>
      <c r="X52" s="4"/>
      <c r="Y52" s="4"/>
      <c r="Z52" s="4"/>
      <c r="AA52" s="3"/>
      <c r="AB52" s="3" t="s">
        <v>1486</v>
      </c>
      <c r="AC52" s="3">
        <v>810000</v>
      </c>
    </row>
    <row r="53" spans="1:29" ht="30" customHeight="1">
      <c r="A53" s="3">
        <f t="shared" si="10"/>
        <v>49</v>
      </c>
      <c r="B53" s="3">
        <v>2234</v>
      </c>
      <c r="C53" s="3" t="s">
        <v>414</v>
      </c>
      <c r="D53" s="4">
        <v>270000</v>
      </c>
      <c r="E53" s="4">
        <v>270000</v>
      </c>
      <c r="F53" s="4">
        <f t="shared" si="11"/>
        <v>0</v>
      </c>
      <c r="G53" s="4">
        <v>270000</v>
      </c>
      <c r="H53" s="4">
        <v>197586</v>
      </c>
      <c r="I53" s="4">
        <v>0</v>
      </c>
      <c r="J53" s="4">
        <v>0</v>
      </c>
      <c r="K53" s="4">
        <f t="shared" si="12"/>
        <v>0</v>
      </c>
      <c r="L53" s="4">
        <f t="shared" si="13"/>
        <v>197586</v>
      </c>
      <c r="M53" s="4">
        <f t="shared" si="14"/>
        <v>72414</v>
      </c>
      <c r="N53" s="4"/>
      <c r="O53" s="4">
        <f t="shared" si="20"/>
        <v>0</v>
      </c>
      <c r="P53" s="4">
        <f t="shared" si="15"/>
        <v>72414</v>
      </c>
      <c r="Q53" s="4"/>
      <c r="R53" s="4"/>
      <c r="S53" s="4">
        <f t="shared" si="16"/>
        <v>0</v>
      </c>
      <c r="T53" s="4">
        <f t="shared" si="17"/>
        <v>0</v>
      </c>
      <c r="U53" s="4">
        <f t="shared" si="18"/>
        <v>0</v>
      </c>
      <c r="V53" s="4"/>
      <c r="W53" s="4">
        <f t="shared" si="19"/>
        <v>0</v>
      </c>
      <c r="X53" s="4"/>
      <c r="Y53" s="4"/>
      <c r="Z53" s="4"/>
      <c r="AA53" s="3"/>
      <c r="AB53" s="3" t="s">
        <v>416</v>
      </c>
      <c r="AC53" s="3">
        <v>810000</v>
      </c>
    </row>
    <row r="54" spans="1:29" ht="45">
      <c r="A54" s="3">
        <f t="shared" si="10"/>
        <v>50</v>
      </c>
      <c r="B54" s="3">
        <v>2235</v>
      </c>
      <c r="C54" s="3" t="s">
        <v>415</v>
      </c>
      <c r="D54" s="4">
        <v>3775000</v>
      </c>
      <c r="E54" s="4">
        <v>3775000</v>
      </c>
      <c r="F54" s="4">
        <f t="shared" si="11"/>
        <v>0</v>
      </c>
      <c r="G54" s="4">
        <v>3000000</v>
      </c>
      <c r="H54" s="4">
        <v>2436524</v>
      </c>
      <c r="I54" s="4">
        <v>0</v>
      </c>
      <c r="J54" s="4">
        <v>0</v>
      </c>
      <c r="K54" s="4">
        <f t="shared" si="12"/>
        <v>0</v>
      </c>
      <c r="L54" s="4">
        <f t="shared" si="13"/>
        <v>2436524</v>
      </c>
      <c r="M54" s="4">
        <f t="shared" si="14"/>
        <v>1338476</v>
      </c>
      <c r="N54" s="4"/>
      <c r="O54" s="4">
        <f t="shared" si="20"/>
        <v>0</v>
      </c>
      <c r="P54" s="4">
        <f t="shared" si="15"/>
        <v>563476</v>
      </c>
      <c r="Q54" s="4">
        <v>775000</v>
      </c>
      <c r="R54" s="4"/>
      <c r="S54" s="4">
        <f t="shared" si="16"/>
        <v>775000</v>
      </c>
      <c r="T54" s="4">
        <f t="shared" si="17"/>
        <v>0</v>
      </c>
      <c r="U54" s="4">
        <f t="shared" si="18"/>
        <v>0</v>
      </c>
      <c r="V54" s="4"/>
      <c r="W54" s="4">
        <f t="shared" si="19"/>
        <v>0</v>
      </c>
      <c r="X54" s="4"/>
      <c r="Y54" s="4"/>
      <c r="Z54" s="4"/>
      <c r="AA54" s="3"/>
      <c r="AB54" s="3" t="s">
        <v>1209</v>
      </c>
      <c r="AC54" s="3">
        <v>829000</v>
      </c>
    </row>
    <row r="55" spans="1:29" ht="30" customHeight="1">
      <c r="A55" s="3">
        <f t="shared" si="10"/>
        <v>51</v>
      </c>
      <c r="B55" s="3">
        <v>2236</v>
      </c>
      <c r="C55" s="3" t="s">
        <v>414</v>
      </c>
      <c r="D55" s="4">
        <v>180000</v>
      </c>
      <c r="E55" s="4">
        <v>180000</v>
      </c>
      <c r="F55" s="4">
        <f t="shared" si="11"/>
        <v>0</v>
      </c>
      <c r="G55" s="4">
        <v>180000</v>
      </c>
      <c r="H55" s="4">
        <v>116522</v>
      </c>
      <c r="I55" s="4">
        <v>0</v>
      </c>
      <c r="J55" s="4">
        <v>0</v>
      </c>
      <c r="K55" s="4">
        <f t="shared" si="12"/>
        <v>0</v>
      </c>
      <c r="L55" s="4">
        <f t="shared" si="13"/>
        <v>116522</v>
      </c>
      <c r="M55" s="4">
        <f t="shared" si="14"/>
        <v>63478</v>
      </c>
      <c r="N55" s="4"/>
      <c r="O55" s="4">
        <f t="shared" si="20"/>
        <v>0</v>
      </c>
      <c r="P55" s="4">
        <f t="shared" si="15"/>
        <v>63478</v>
      </c>
      <c r="Q55" s="4"/>
      <c r="R55" s="4"/>
      <c r="S55" s="4">
        <f t="shared" si="16"/>
        <v>0</v>
      </c>
      <c r="T55" s="4">
        <f t="shared" si="17"/>
        <v>0</v>
      </c>
      <c r="U55" s="4">
        <f t="shared" si="18"/>
        <v>0</v>
      </c>
      <c r="V55" s="4"/>
      <c r="W55" s="4">
        <f t="shared" si="19"/>
        <v>0</v>
      </c>
      <c r="X55" s="4"/>
      <c r="Y55" s="4"/>
      <c r="Z55" s="4"/>
      <c r="AA55" s="3"/>
      <c r="AB55" s="3" t="s">
        <v>536</v>
      </c>
      <c r="AC55" s="3">
        <v>810000</v>
      </c>
    </row>
    <row r="56" spans="1:29" ht="30" customHeight="1">
      <c r="A56" s="3">
        <f t="shared" si="10"/>
        <v>52</v>
      </c>
      <c r="B56" s="3">
        <v>2237</v>
      </c>
      <c r="C56" s="3" t="s">
        <v>431</v>
      </c>
      <c r="D56" s="4">
        <v>1700000</v>
      </c>
      <c r="E56" s="4">
        <v>1700000</v>
      </c>
      <c r="F56" s="4">
        <f t="shared" si="11"/>
        <v>0</v>
      </c>
      <c r="G56" s="4">
        <v>1250000</v>
      </c>
      <c r="H56" s="4">
        <v>1047135</v>
      </c>
      <c r="I56" s="4">
        <v>0</v>
      </c>
      <c r="J56" s="4">
        <v>0</v>
      </c>
      <c r="K56" s="4">
        <f t="shared" si="12"/>
        <v>0</v>
      </c>
      <c r="L56" s="4">
        <f t="shared" si="13"/>
        <v>1047135</v>
      </c>
      <c r="M56" s="4">
        <f t="shared" si="14"/>
        <v>202865</v>
      </c>
      <c r="N56" s="4"/>
      <c r="O56" s="4">
        <f t="shared" si="20"/>
        <v>450000</v>
      </c>
      <c r="P56" s="4">
        <f t="shared" si="15"/>
        <v>202865</v>
      </c>
      <c r="Q56" s="4"/>
      <c r="R56" s="4"/>
      <c r="S56" s="4">
        <f t="shared" si="16"/>
        <v>0</v>
      </c>
      <c r="T56" s="4">
        <f t="shared" si="17"/>
        <v>0</v>
      </c>
      <c r="U56" s="4">
        <f t="shared" si="18"/>
        <v>0</v>
      </c>
      <c r="V56" s="4"/>
      <c r="W56" s="4">
        <f t="shared" si="19"/>
        <v>0</v>
      </c>
      <c r="X56" s="4"/>
      <c r="Y56" s="4"/>
      <c r="Z56" s="4"/>
      <c r="AA56" s="3"/>
      <c r="AB56" s="3" t="s">
        <v>537</v>
      </c>
      <c r="AC56" s="3">
        <v>742000</v>
      </c>
    </row>
    <row r="57" spans="1:29" ht="30" customHeight="1">
      <c r="A57" s="3">
        <f t="shared" si="10"/>
        <v>53</v>
      </c>
      <c r="B57" s="3">
        <v>2238</v>
      </c>
      <c r="C57" s="3" t="s">
        <v>432</v>
      </c>
      <c r="D57" s="4">
        <v>7300000</v>
      </c>
      <c r="E57" s="4">
        <v>7300000</v>
      </c>
      <c r="F57" s="4">
        <f t="shared" si="11"/>
        <v>0</v>
      </c>
      <c r="G57" s="4">
        <v>7100000</v>
      </c>
      <c r="H57" s="4">
        <v>7084174</v>
      </c>
      <c r="I57" s="4">
        <v>0</v>
      </c>
      <c r="J57" s="4">
        <v>0</v>
      </c>
      <c r="K57" s="4">
        <f t="shared" si="12"/>
        <v>0</v>
      </c>
      <c r="L57" s="4">
        <f t="shared" si="13"/>
        <v>7084174</v>
      </c>
      <c r="M57" s="4">
        <f t="shared" si="14"/>
        <v>215826</v>
      </c>
      <c r="N57" s="4"/>
      <c r="O57" s="4">
        <f t="shared" si="20"/>
        <v>0</v>
      </c>
      <c r="P57" s="4">
        <f t="shared" si="15"/>
        <v>15826</v>
      </c>
      <c r="Q57" s="4">
        <v>200000</v>
      </c>
      <c r="R57" s="4"/>
      <c r="S57" s="4">
        <f t="shared" si="16"/>
        <v>200000</v>
      </c>
      <c r="T57" s="4">
        <f t="shared" si="17"/>
        <v>0</v>
      </c>
      <c r="U57" s="4">
        <f t="shared" si="18"/>
        <v>0</v>
      </c>
      <c r="V57" s="4"/>
      <c r="W57" s="4">
        <f t="shared" si="19"/>
        <v>0</v>
      </c>
      <c r="X57" s="4"/>
      <c r="Y57" s="4"/>
      <c r="Z57" s="4"/>
      <c r="AA57" s="3"/>
      <c r="AB57" s="3" t="s">
        <v>1211</v>
      </c>
      <c r="AC57" s="3">
        <v>747000</v>
      </c>
    </row>
    <row r="58" spans="1:29" ht="45">
      <c r="A58" s="3">
        <f t="shared" si="10"/>
        <v>54</v>
      </c>
      <c r="B58" s="3">
        <v>2239</v>
      </c>
      <c r="C58" s="3" t="s">
        <v>433</v>
      </c>
      <c r="D58" s="4">
        <v>30000000</v>
      </c>
      <c r="E58" s="4">
        <v>30000000</v>
      </c>
      <c r="F58" s="4">
        <f t="shared" si="11"/>
        <v>0</v>
      </c>
      <c r="G58" s="4">
        <v>7300000</v>
      </c>
      <c r="H58" s="4">
        <v>3372000.81</v>
      </c>
      <c r="I58" s="4">
        <v>0</v>
      </c>
      <c r="J58" s="4">
        <v>3554315.37</v>
      </c>
      <c r="K58" s="4">
        <f t="shared" si="12"/>
        <v>3554315.37</v>
      </c>
      <c r="L58" s="4">
        <f t="shared" si="13"/>
        <v>6926316.1799999997</v>
      </c>
      <c r="M58" s="4">
        <f t="shared" si="14"/>
        <v>373683.8200000003</v>
      </c>
      <c r="N58" s="4">
        <f>1500000+1800000-1800000-500000-500000</f>
        <v>500000</v>
      </c>
      <c r="O58" s="4">
        <f t="shared" si="20"/>
        <v>22200000</v>
      </c>
      <c r="P58" s="4">
        <f t="shared" si="15"/>
        <v>373683.8200000003</v>
      </c>
      <c r="Q58" s="4"/>
      <c r="R58" s="4"/>
      <c r="S58" s="4">
        <f t="shared" si="16"/>
        <v>0</v>
      </c>
      <c r="T58" s="4">
        <f t="shared" si="17"/>
        <v>0</v>
      </c>
      <c r="U58" s="4">
        <f t="shared" si="18"/>
        <v>500000</v>
      </c>
      <c r="V58" s="4"/>
      <c r="W58" s="4">
        <f t="shared" si="19"/>
        <v>500000</v>
      </c>
      <c r="X58" s="4"/>
      <c r="Y58" s="4"/>
      <c r="Z58" s="4"/>
      <c r="AA58" s="3"/>
      <c r="AB58" s="3" t="s">
        <v>464</v>
      </c>
      <c r="AC58" s="3">
        <v>742000</v>
      </c>
    </row>
    <row r="59" spans="1:29" ht="45">
      <c r="A59" s="3">
        <f t="shared" si="10"/>
        <v>55</v>
      </c>
      <c r="B59" s="3">
        <v>2240</v>
      </c>
      <c r="C59" s="3" t="s">
        <v>434</v>
      </c>
      <c r="D59" s="4">
        <v>13200000</v>
      </c>
      <c r="E59" s="4">
        <v>13200000</v>
      </c>
      <c r="F59" s="4">
        <f t="shared" si="11"/>
        <v>0</v>
      </c>
      <c r="G59" s="4">
        <v>4890000</v>
      </c>
      <c r="H59" s="4">
        <v>4123822</v>
      </c>
      <c r="I59" s="4">
        <v>0</v>
      </c>
      <c r="J59" s="4">
        <v>427250</v>
      </c>
      <c r="K59" s="4">
        <f t="shared" si="12"/>
        <v>427250</v>
      </c>
      <c r="L59" s="4">
        <f t="shared" si="13"/>
        <v>4551072</v>
      </c>
      <c r="M59" s="4">
        <f t="shared" si="14"/>
        <v>338928</v>
      </c>
      <c r="N59" s="4">
        <f>1700000-200000-500000</f>
        <v>1000000</v>
      </c>
      <c r="O59" s="4">
        <f t="shared" si="20"/>
        <v>7310000</v>
      </c>
      <c r="P59" s="4">
        <f t="shared" si="15"/>
        <v>338928</v>
      </c>
      <c r="Q59" s="311"/>
      <c r="R59" s="4"/>
      <c r="S59" s="4">
        <f t="shared" si="16"/>
        <v>0</v>
      </c>
      <c r="T59" s="4">
        <f t="shared" si="17"/>
        <v>0</v>
      </c>
      <c r="U59" s="4">
        <f t="shared" si="18"/>
        <v>1000000</v>
      </c>
      <c r="V59" s="4"/>
      <c r="W59" s="4">
        <f t="shared" si="19"/>
        <v>1000000</v>
      </c>
      <c r="X59" s="4"/>
      <c r="Y59" s="4"/>
      <c r="Z59" s="4"/>
      <c r="AA59" s="3"/>
      <c r="AB59" s="3" t="s">
        <v>1212</v>
      </c>
      <c r="AC59" s="3">
        <v>720000</v>
      </c>
    </row>
    <row r="60" spans="1:29" ht="30" customHeight="1">
      <c r="A60" s="3">
        <f t="shared" si="10"/>
        <v>56</v>
      </c>
      <c r="B60" s="3">
        <v>2242</v>
      </c>
      <c r="C60" s="3" t="s">
        <v>474</v>
      </c>
      <c r="D60" s="4">
        <v>93079</v>
      </c>
      <c r="E60" s="4">
        <v>93079</v>
      </c>
      <c r="F60" s="4">
        <f t="shared" si="11"/>
        <v>0</v>
      </c>
      <c r="G60" s="4">
        <v>93079</v>
      </c>
      <c r="H60" s="4">
        <v>17667</v>
      </c>
      <c r="I60" s="4">
        <v>0</v>
      </c>
      <c r="J60" s="4">
        <v>0</v>
      </c>
      <c r="K60" s="4">
        <f t="shared" si="12"/>
        <v>0</v>
      </c>
      <c r="L60" s="4">
        <f t="shared" si="13"/>
        <v>17667</v>
      </c>
      <c r="M60" s="4">
        <f t="shared" si="14"/>
        <v>75412</v>
      </c>
      <c r="N60" s="4"/>
      <c r="O60" s="4">
        <f t="shared" si="20"/>
        <v>0</v>
      </c>
      <c r="P60" s="4">
        <f t="shared" si="15"/>
        <v>75412</v>
      </c>
      <c r="Q60" s="311"/>
      <c r="R60" s="4"/>
      <c r="S60" s="4">
        <f t="shared" si="16"/>
        <v>0</v>
      </c>
      <c r="T60" s="4">
        <f t="shared" si="17"/>
        <v>0</v>
      </c>
      <c r="U60" s="4">
        <f t="shared" si="18"/>
        <v>0</v>
      </c>
      <c r="V60" s="4"/>
      <c r="W60" s="4">
        <f t="shared" si="19"/>
        <v>0</v>
      </c>
      <c r="X60" s="4"/>
      <c r="Y60" s="4"/>
      <c r="Z60" s="4"/>
      <c r="AA60" s="3"/>
      <c r="AB60" s="3" t="s">
        <v>538</v>
      </c>
      <c r="AC60" s="3">
        <v>810000</v>
      </c>
    </row>
    <row r="61" spans="1:29" ht="30" customHeight="1">
      <c r="A61" s="3">
        <f t="shared" si="10"/>
        <v>57</v>
      </c>
      <c r="B61" s="3">
        <v>20020</v>
      </c>
      <c r="C61" s="3" t="s">
        <v>436</v>
      </c>
      <c r="D61" s="4">
        <f>2290000+170000</f>
        <v>2460000</v>
      </c>
      <c r="E61" s="4">
        <v>2290000</v>
      </c>
      <c r="F61" s="4">
        <f t="shared" si="11"/>
        <v>170000</v>
      </c>
      <c r="G61" s="4">
        <v>1460000</v>
      </c>
      <c r="H61" s="4">
        <v>915778</v>
      </c>
      <c r="I61" s="4">
        <v>0</v>
      </c>
      <c r="J61" s="4">
        <v>349015</v>
      </c>
      <c r="K61" s="4">
        <f t="shared" si="12"/>
        <v>349015</v>
      </c>
      <c r="L61" s="4">
        <f t="shared" si="13"/>
        <v>1264793</v>
      </c>
      <c r="M61" s="4">
        <f t="shared" si="14"/>
        <v>195207</v>
      </c>
      <c r="N61" s="4">
        <f>500000+500000-200000-300000</f>
        <v>500000</v>
      </c>
      <c r="O61" s="4">
        <f t="shared" si="20"/>
        <v>500000</v>
      </c>
      <c r="P61" s="4">
        <f t="shared" si="15"/>
        <v>195207</v>
      </c>
      <c r="Q61" s="311"/>
      <c r="R61" s="4"/>
      <c r="S61" s="4">
        <f t="shared" si="16"/>
        <v>0</v>
      </c>
      <c r="T61" s="4">
        <f t="shared" si="17"/>
        <v>0</v>
      </c>
      <c r="U61" s="4">
        <f t="shared" si="18"/>
        <v>500000</v>
      </c>
      <c r="V61" s="4"/>
      <c r="W61" s="4">
        <f t="shared" si="19"/>
        <v>500000</v>
      </c>
      <c r="X61" s="4"/>
      <c r="Y61" s="4"/>
      <c r="Z61" s="4"/>
      <c r="AA61" s="3"/>
      <c r="AB61" s="290" t="s">
        <v>1213</v>
      </c>
      <c r="AC61" s="3">
        <v>720000</v>
      </c>
    </row>
    <row r="62" spans="1:29" ht="38.25" customHeight="1">
      <c r="A62" s="3">
        <f t="shared" si="10"/>
        <v>58</v>
      </c>
      <c r="B62" s="3">
        <v>20021</v>
      </c>
      <c r="C62" s="3" t="s">
        <v>437</v>
      </c>
      <c r="D62" s="4">
        <v>13000000</v>
      </c>
      <c r="E62" s="4">
        <v>13000000</v>
      </c>
      <c r="F62" s="4">
        <f t="shared" si="11"/>
        <v>0</v>
      </c>
      <c r="G62" s="4">
        <v>5380000</v>
      </c>
      <c r="H62" s="4">
        <v>3832154</v>
      </c>
      <c r="I62" s="4">
        <v>0</v>
      </c>
      <c r="J62" s="4">
        <v>1544562</v>
      </c>
      <c r="K62" s="4">
        <f t="shared" si="12"/>
        <v>1544562</v>
      </c>
      <c r="L62" s="4">
        <f t="shared" si="13"/>
        <v>5376716</v>
      </c>
      <c r="M62" s="4">
        <f t="shared" si="14"/>
        <v>3284</v>
      </c>
      <c r="N62" s="4"/>
      <c r="O62" s="4">
        <f t="shared" si="20"/>
        <v>7620000</v>
      </c>
      <c r="P62" s="4">
        <f t="shared" si="15"/>
        <v>3284</v>
      </c>
      <c r="Q62" s="311"/>
      <c r="R62" s="4"/>
      <c r="S62" s="4">
        <f t="shared" si="16"/>
        <v>0</v>
      </c>
      <c r="T62" s="4">
        <f t="shared" si="17"/>
        <v>0</v>
      </c>
      <c r="U62" s="4">
        <f t="shared" si="18"/>
        <v>0</v>
      </c>
      <c r="V62" s="4"/>
      <c r="W62" s="4">
        <f t="shared" si="19"/>
        <v>0</v>
      </c>
      <c r="X62" s="4"/>
      <c r="Y62" s="4"/>
      <c r="Z62" s="4"/>
      <c r="AA62" s="3"/>
      <c r="AB62" s="3" t="s">
        <v>1495</v>
      </c>
      <c r="AC62" s="3">
        <v>742000</v>
      </c>
    </row>
    <row r="63" spans="1:29" ht="45">
      <c r="A63" s="3">
        <f t="shared" si="10"/>
        <v>59</v>
      </c>
      <c r="B63" s="3">
        <v>20029</v>
      </c>
      <c r="C63" s="3" t="s">
        <v>439</v>
      </c>
      <c r="D63" s="4">
        <v>4500000</v>
      </c>
      <c r="E63" s="4">
        <v>3500000</v>
      </c>
      <c r="F63" s="4">
        <f t="shared" si="11"/>
        <v>1000000</v>
      </c>
      <c r="G63" s="4">
        <v>1720000</v>
      </c>
      <c r="H63" s="4">
        <v>1311286</v>
      </c>
      <c r="I63" s="4">
        <v>0</v>
      </c>
      <c r="J63" s="4">
        <v>392569.31</v>
      </c>
      <c r="K63" s="4">
        <f t="shared" si="12"/>
        <v>392569.31</v>
      </c>
      <c r="L63" s="4">
        <f t="shared" si="13"/>
        <v>1703855.31</v>
      </c>
      <c r="M63" s="4">
        <f t="shared" si="14"/>
        <v>16144.689999999944</v>
      </c>
      <c r="N63" s="4">
        <f>1500000-750000-250000</f>
        <v>500000</v>
      </c>
      <c r="O63" s="4">
        <f t="shared" si="20"/>
        <v>2280000</v>
      </c>
      <c r="P63" s="4">
        <f t="shared" si="15"/>
        <v>16144.689999999944</v>
      </c>
      <c r="Q63" s="311"/>
      <c r="R63" s="4"/>
      <c r="S63" s="4">
        <f t="shared" si="16"/>
        <v>0</v>
      </c>
      <c r="T63" s="4">
        <f t="shared" si="17"/>
        <v>0</v>
      </c>
      <c r="U63" s="4">
        <f t="shared" si="18"/>
        <v>500000</v>
      </c>
      <c r="V63" s="4"/>
      <c r="W63" s="4">
        <f t="shared" si="19"/>
        <v>500000</v>
      </c>
      <c r="X63" s="4"/>
      <c r="Y63" s="4"/>
      <c r="Z63" s="4"/>
      <c r="AA63" s="3"/>
      <c r="AB63" s="19" t="s">
        <v>557</v>
      </c>
      <c r="AC63" s="3">
        <v>848000</v>
      </c>
    </row>
    <row r="64" spans="1:29" ht="60">
      <c r="A64" s="3">
        <f t="shared" si="10"/>
        <v>60</v>
      </c>
      <c r="B64" s="3">
        <v>20030</v>
      </c>
      <c r="C64" s="3" t="s">
        <v>440</v>
      </c>
      <c r="D64" s="4">
        <f>55050000+3119543+13500000</f>
        <v>71669543</v>
      </c>
      <c r="E64" s="4">
        <v>55050000</v>
      </c>
      <c r="F64" s="4">
        <f t="shared" si="11"/>
        <v>16619543</v>
      </c>
      <c r="G64" s="4">
        <v>51669543</v>
      </c>
      <c r="H64" s="4">
        <v>46443660</v>
      </c>
      <c r="I64" s="4">
        <v>0</v>
      </c>
      <c r="J64" s="4">
        <v>4806091</v>
      </c>
      <c r="K64" s="4">
        <f t="shared" si="12"/>
        <v>4806091</v>
      </c>
      <c r="L64" s="4">
        <f t="shared" si="13"/>
        <v>51249751</v>
      </c>
      <c r="M64" s="4">
        <f t="shared" si="14"/>
        <v>419792</v>
      </c>
      <c r="N64" s="360">
        <f>6500000+13500000-10000000-4000000-1000000</f>
        <v>5000000</v>
      </c>
      <c r="O64" s="4">
        <f t="shared" si="20"/>
        <v>15000000</v>
      </c>
      <c r="P64" s="4">
        <f t="shared" si="15"/>
        <v>419792</v>
      </c>
      <c r="Q64" s="361"/>
      <c r="R64" s="360"/>
      <c r="S64" s="360">
        <f t="shared" si="16"/>
        <v>0</v>
      </c>
      <c r="T64" s="360">
        <f t="shared" si="17"/>
        <v>0</v>
      </c>
      <c r="U64" s="4">
        <f t="shared" si="18"/>
        <v>5000000</v>
      </c>
      <c r="V64" s="4"/>
      <c r="W64" s="4">
        <f t="shared" si="19"/>
        <v>5000000</v>
      </c>
      <c r="X64" s="4"/>
      <c r="Y64" s="4"/>
      <c r="Z64" s="4"/>
      <c r="AA64" s="3"/>
      <c r="AB64" s="3" t="s">
        <v>1271</v>
      </c>
      <c r="AC64" s="3">
        <v>810000</v>
      </c>
    </row>
    <row r="65" spans="1:29" ht="60">
      <c r="A65" s="3">
        <f t="shared" si="10"/>
        <v>61</v>
      </c>
      <c r="B65" s="3">
        <v>20032</v>
      </c>
      <c r="C65" s="3" t="s">
        <v>441</v>
      </c>
      <c r="D65" s="4">
        <v>3560000</v>
      </c>
      <c r="E65" s="4">
        <v>3560000</v>
      </c>
      <c r="F65" s="4">
        <f t="shared" si="11"/>
        <v>0</v>
      </c>
      <c r="G65" s="4">
        <v>3560000</v>
      </c>
      <c r="H65" s="4">
        <v>3553425</v>
      </c>
      <c r="I65" s="4">
        <v>0</v>
      </c>
      <c r="J65" s="4">
        <v>0</v>
      </c>
      <c r="K65" s="4">
        <f t="shared" si="12"/>
        <v>0</v>
      </c>
      <c r="L65" s="4">
        <f t="shared" si="13"/>
        <v>3553425</v>
      </c>
      <c r="M65" s="4">
        <f t="shared" si="14"/>
        <v>6575</v>
      </c>
      <c r="N65" s="4"/>
      <c r="O65" s="4">
        <f t="shared" si="20"/>
        <v>0</v>
      </c>
      <c r="P65" s="4">
        <f t="shared" si="15"/>
        <v>6575</v>
      </c>
      <c r="Q65" s="311"/>
      <c r="R65" s="4"/>
      <c r="S65" s="4">
        <f t="shared" si="16"/>
        <v>0</v>
      </c>
      <c r="T65" s="4">
        <f t="shared" si="17"/>
        <v>0</v>
      </c>
      <c r="U65" s="4">
        <f t="shared" si="18"/>
        <v>0</v>
      </c>
      <c r="V65" s="4"/>
      <c r="W65" s="4">
        <f t="shared" si="19"/>
        <v>0</v>
      </c>
      <c r="X65" s="4"/>
      <c r="Y65" s="4"/>
      <c r="Z65" s="4"/>
      <c r="AA65" s="3"/>
      <c r="AB65" s="3" t="s">
        <v>738</v>
      </c>
      <c r="AC65" s="3">
        <v>829000</v>
      </c>
    </row>
    <row r="66" spans="1:29" ht="60">
      <c r="A66" s="3">
        <f t="shared" si="10"/>
        <v>62</v>
      </c>
      <c r="B66" s="3">
        <v>20034</v>
      </c>
      <c r="C66" s="3" t="s">
        <v>619</v>
      </c>
      <c r="D66" s="4">
        <f>4000000+4700000</f>
        <v>8700000</v>
      </c>
      <c r="E66" s="4">
        <v>4000000</v>
      </c>
      <c r="F66" s="4">
        <f t="shared" si="11"/>
        <v>4700000</v>
      </c>
      <c r="G66" s="4">
        <v>3000000</v>
      </c>
      <c r="H66" s="4">
        <v>1635303</v>
      </c>
      <c r="I66" s="4">
        <v>0</v>
      </c>
      <c r="J66" s="4">
        <v>913750</v>
      </c>
      <c r="K66" s="4">
        <f t="shared" si="12"/>
        <v>913750</v>
      </c>
      <c r="L66" s="4">
        <f t="shared" si="13"/>
        <v>2549053</v>
      </c>
      <c r="M66" s="4">
        <f t="shared" si="14"/>
        <v>450947</v>
      </c>
      <c r="N66" s="4">
        <f>5700000-4500000</f>
        <v>1200000</v>
      </c>
      <c r="O66" s="4">
        <f t="shared" si="20"/>
        <v>4500000</v>
      </c>
      <c r="P66" s="4">
        <f t="shared" si="15"/>
        <v>450947</v>
      </c>
      <c r="Q66" s="311"/>
      <c r="R66" s="4"/>
      <c r="S66" s="4">
        <f t="shared" si="16"/>
        <v>0</v>
      </c>
      <c r="T66" s="4">
        <f t="shared" si="17"/>
        <v>0</v>
      </c>
      <c r="U66" s="4">
        <f t="shared" si="18"/>
        <v>1200000</v>
      </c>
      <c r="V66" s="4"/>
      <c r="W66" s="4">
        <f t="shared" si="19"/>
        <v>1200000</v>
      </c>
      <c r="X66" s="4"/>
      <c r="Y66" s="4"/>
      <c r="Z66" s="4"/>
      <c r="AA66" s="3"/>
      <c r="AB66" s="3" t="s">
        <v>1326</v>
      </c>
      <c r="AC66" s="3">
        <v>828000</v>
      </c>
    </row>
    <row r="67" spans="1:29" ht="60">
      <c r="A67" s="3">
        <f t="shared" si="10"/>
        <v>63</v>
      </c>
      <c r="B67" s="3">
        <v>20037</v>
      </c>
      <c r="C67" s="3" t="s">
        <v>442</v>
      </c>
      <c r="D67" s="4">
        <v>2200000</v>
      </c>
      <c r="E67" s="4">
        <v>2200000</v>
      </c>
      <c r="F67" s="4">
        <f t="shared" si="11"/>
        <v>0</v>
      </c>
      <c r="G67" s="4">
        <v>2200000</v>
      </c>
      <c r="H67" s="4">
        <v>2199700</v>
      </c>
      <c r="I67" s="4">
        <v>0</v>
      </c>
      <c r="J67" s="4">
        <v>0</v>
      </c>
      <c r="K67" s="4">
        <f t="shared" si="12"/>
        <v>0</v>
      </c>
      <c r="L67" s="4">
        <f t="shared" si="13"/>
        <v>2199700</v>
      </c>
      <c r="M67" s="4">
        <f t="shared" si="14"/>
        <v>300</v>
      </c>
      <c r="N67" s="4"/>
      <c r="O67" s="4">
        <f t="shared" si="20"/>
        <v>0</v>
      </c>
      <c r="P67" s="4">
        <f t="shared" si="15"/>
        <v>300</v>
      </c>
      <c r="Q67" s="311"/>
      <c r="R67" s="4"/>
      <c r="S67" s="4">
        <f t="shared" si="16"/>
        <v>0</v>
      </c>
      <c r="T67" s="4">
        <f t="shared" si="17"/>
        <v>0</v>
      </c>
      <c r="U67" s="4">
        <f t="shared" si="18"/>
        <v>0</v>
      </c>
      <c r="V67" s="4"/>
      <c r="W67" s="4">
        <f t="shared" si="19"/>
        <v>0</v>
      </c>
      <c r="X67" s="4"/>
      <c r="Y67" s="4"/>
      <c r="Z67" s="4"/>
      <c r="AA67" s="3"/>
      <c r="AB67" s="3" t="s">
        <v>767</v>
      </c>
      <c r="AC67" s="3">
        <v>826000</v>
      </c>
    </row>
    <row r="68" spans="1:29" ht="45">
      <c r="A68" s="3">
        <f t="shared" si="10"/>
        <v>64</v>
      </c>
      <c r="B68" s="3">
        <v>20051</v>
      </c>
      <c r="C68" s="3" t="s">
        <v>620</v>
      </c>
      <c r="D68" s="4">
        <v>5600000</v>
      </c>
      <c r="E68" s="4">
        <v>5600000</v>
      </c>
      <c r="F68" s="4">
        <f t="shared" si="11"/>
        <v>0</v>
      </c>
      <c r="G68" s="4">
        <v>5050000</v>
      </c>
      <c r="H68" s="4">
        <v>2630478.15</v>
      </c>
      <c r="I68" s="4">
        <v>0</v>
      </c>
      <c r="J68" s="4">
        <v>1565688.84</v>
      </c>
      <c r="K68" s="4">
        <f t="shared" si="12"/>
        <v>1565688.84</v>
      </c>
      <c r="L68" s="4">
        <f t="shared" si="13"/>
        <v>4196166.99</v>
      </c>
      <c r="M68" s="4">
        <f t="shared" si="14"/>
        <v>853833.00999999978</v>
      </c>
      <c r="N68" s="4">
        <v>400000</v>
      </c>
      <c r="O68" s="4">
        <f t="shared" si="20"/>
        <v>150000</v>
      </c>
      <c r="P68" s="4">
        <f t="shared" si="15"/>
        <v>853833.00999999978</v>
      </c>
      <c r="Q68" s="311"/>
      <c r="R68" s="4"/>
      <c r="S68" s="4">
        <f t="shared" si="16"/>
        <v>0</v>
      </c>
      <c r="T68" s="4">
        <f t="shared" si="17"/>
        <v>0</v>
      </c>
      <c r="U68" s="4">
        <f t="shared" si="18"/>
        <v>400000</v>
      </c>
      <c r="V68" s="4"/>
      <c r="W68" s="4">
        <f t="shared" si="19"/>
        <v>400000</v>
      </c>
      <c r="X68" s="4"/>
      <c r="Y68" s="4"/>
      <c r="Z68" s="4"/>
      <c r="AA68" s="3"/>
      <c r="AB68" s="3" t="s">
        <v>655</v>
      </c>
      <c r="AC68" s="3">
        <v>742000</v>
      </c>
    </row>
    <row r="69" spans="1:29" ht="45">
      <c r="A69" s="3">
        <f t="shared" si="10"/>
        <v>65</v>
      </c>
      <c r="B69" s="3">
        <v>20054</v>
      </c>
      <c r="C69" s="3" t="s">
        <v>475</v>
      </c>
      <c r="D69" s="4">
        <v>1260000</v>
      </c>
      <c r="E69" s="4">
        <v>1260000</v>
      </c>
      <c r="F69" s="4">
        <f t="shared" ref="F69:F95" si="21">D69-E69</f>
        <v>0</v>
      </c>
      <c r="G69" s="4">
        <v>1260000</v>
      </c>
      <c r="H69" s="4">
        <v>1251321</v>
      </c>
      <c r="I69" s="4">
        <v>0</v>
      </c>
      <c r="J69" s="4">
        <v>0</v>
      </c>
      <c r="K69" s="4">
        <f t="shared" ref="K69:K95" si="22">I69+J69</f>
        <v>0</v>
      </c>
      <c r="L69" s="4">
        <f t="shared" ref="L69:L95" si="23">H69+K69</f>
        <v>1251321</v>
      </c>
      <c r="M69" s="4">
        <f t="shared" ref="M69:M95" si="24">P69+S69</f>
        <v>8679</v>
      </c>
      <c r="N69" s="4"/>
      <c r="O69" s="4">
        <f t="shared" si="20"/>
        <v>0</v>
      </c>
      <c r="P69" s="4">
        <f t="shared" ref="P69:P95" si="25">G69-L69</f>
        <v>8679</v>
      </c>
      <c r="Q69" s="311"/>
      <c r="R69" s="4"/>
      <c r="S69" s="4">
        <f t="shared" ref="S69:S95" si="26">SUM(Q69:R69)</f>
        <v>0</v>
      </c>
      <c r="T69" s="4">
        <f t="shared" ref="T69:T95" si="27">P69-M69+S69</f>
        <v>0</v>
      </c>
      <c r="U69" s="4">
        <f t="shared" ref="U69:U95" si="28">N69-T69</f>
        <v>0</v>
      </c>
      <c r="V69" s="4"/>
      <c r="W69" s="4">
        <f t="shared" si="19"/>
        <v>0</v>
      </c>
      <c r="X69" s="4"/>
      <c r="Y69" s="4"/>
      <c r="Z69" s="4"/>
      <c r="AA69" s="3"/>
      <c r="AB69" s="3" t="s">
        <v>739</v>
      </c>
      <c r="AC69" s="3">
        <v>810000</v>
      </c>
    </row>
    <row r="70" spans="1:29" ht="45">
      <c r="A70" s="3">
        <f t="shared" si="10"/>
        <v>66</v>
      </c>
      <c r="B70" s="3">
        <v>20065</v>
      </c>
      <c r="C70" s="3" t="s">
        <v>485</v>
      </c>
      <c r="D70" s="4">
        <f>7600000+3000000</f>
        <v>10600000</v>
      </c>
      <c r="E70" s="4">
        <v>7600000</v>
      </c>
      <c r="F70" s="4">
        <f t="shared" si="21"/>
        <v>3000000</v>
      </c>
      <c r="G70" s="4">
        <v>7600000</v>
      </c>
      <c r="H70" s="4">
        <v>3108076</v>
      </c>
      <c r="I70" s="4">
        <v>0</v>
      </c>
      <c r="J70" s="4">
        <v>4342964</v>
      </c>
      <c r="K70" s="4">
        <f t="shared" si="22"/>
        <v>4342964</v>
      </c>
      <c r="L70" s="4">
        <f t="shared" si="23"/>
        <v>7451040</v>
      </c>
      <c r="M70" s="4">
        <f t="shared" si="24"/>
        <v>148960</v>
      </c>
      <c r="N70" s="4">
        <f>3000000-3000000</f>
        <v>0</v>
      </c>
      <c r="O70" s="4">
        <f t="shared" si="20"/>
        <v>3000000</v>
      </c>
      <c r="P70" s="4">
        <f t="shared" si="25"/>
        <v>148960</v>
      </c>
      <c r="Q70" s="311"/>
      <c r="R70" s="4"/>
      <c r="S70" s="4">
        <f t="shared" si="26"/>
        <v>0</v>
      </c>
      <c r="T70" s="4">
        <f t="shared" si="27"/>
        <v>0</v>
      </c>
      <c r="U70" s="4">
        <f t="shared" si="28"/>
        <v>0</v>
      </c>
      <c r="V70" s="4"/>
      <c r="W70" s="4">
        <f t="shared" ref="W70:W93" si="29">U70-AA70-V70-Y70</f>
        <v>0</v>
      </c>
      <c r="X70" s="4"/>
      <c r="Y70" s="4"/>
      <c r="Z70" s="4"/>
      <c r="AA70" s="3"/>
      <c r="AB70" s="3" t="s">
        <v>539</v>
      </c>
      <c r="AC70" s="3">
        <v>824000</v>
      </c>
    </row>
    <row r="71" spans="1:29" ht="45">
      <c r="A71" s="3">
        <f t="shared" si="10"/>
        <v>67</v>
      </c>
      <c r="B71" s="3">
        <v>20067</v>
      </c>
      <c r="C71" s="3" t="s">
        <v>486</v>
      </c>
      <c r="D71" s="4">
        <v>28000000</v>
      </c>
      <c r="E71" s="4">
        <v>28000000</v>
      </c>
      <c r="F71" s="4">
        <f t="shared" si="21"/>
        <v>0</v>
      </c>
      <c r="G71" s="4">
        <v>2800000</v>
      </c>
      <c r="H71" s="4">
        <v>741697</v>
      </c>
      <c r="I71" s="4">
        <v>0</v>
      </c>
      <c r="J71" s="4">
        <v>378476</v>
      </c>
      <c r="K71" s="4">
        <f t="shared" si="22"/>
        <v>378476</v>
      </c>
      <c r="L71" s="4">
        <f t="shared" si="23"/>
        <v>1120173</v>
      </c>
      <c r="M71" s="4">
        <f t="shared" si="24"/>
        <v>1679827</v>
      </c>
      <c r="N71" s="4">
        <f>1000000-250000-250000</f>
        <v>500000</v>
      </c>
      <c r="O71" s="4">
        <f t="shared" si="20"/>
        <v>24700000</v>
      </c>
      <c r="P71" s="4">
        <f t="shared" si="25"/>
        <v>1679827</v>
      </c>
      <c r="Q71" s="311"/>
      <c r="R71" s="4"/>
      <c r="S71" s="4">
        <f t="shared" si="26"/>
        <v>0</v>
      </c>
      <c r="T71" s="4">
        <f t="shared" si="27"/>
        <v>0</v>
      </c>
      <c r="U71" s="4">
        <f t="shared" si="28"/>
        <v>500000</v>
      </c>
      <c r="V71" s="4"/>
      <c r="W71" s="4">
        <f t="shared" si="29"/>
        <v>500000</v>
      </c>
      <c r="X71" s="4"/>
      <c r="Y71" s="4"/>
      <c r="Z71" s="4"/>
      <c r="AA71" s="3"/>
      <c r="AB71" s="3" t="s">
        <v>652</v>
      </c>
      <c r="AC71" s="3">
        <v>743000</v>
      </c>
    </row>
    <row r="72" spans="1:29" ht="30" customHeight="1">
      <c r="A72" s="3">
        <f t="shared" ref="A72:A101" si="30">A71+1</f>
        <v>68</v>
      </c>
      <c r="B72" s="3">
        <v>20069</v>
      </c>
      <c r="C72" s="3" t="s">
        <v>487</v>
      </c>
      <c r="D72" s="4">
        <v>33000</v>
      </c>
      <c r="E72" s="4">
        <v>33000</v>
      </c>
      <c r="F72" s="4">
        <f t="shared" si="21"/>
        <v>0</v>
      </c>
      <c r="G72" s="4">
        <v>33000</v>
      </c>
      <c r="H72" s="4">
        <v>29043</v>
      </c>
      <c r="I72" s="4">
        <v>0</v>
      </c>
      <c r="J72" s="4">
        <v>0</v>
      </c>
      <c r="K72" s="4">
        <f t="shared" si="22"/>
        <v>0</v>
      </c>
      <c r="L72" s="4">
        <f t="shared" si="23"/>
        <v>29043</v>
      </c>
      <c r="M72" s="4">
        <f t="shared" si="24"/>
        <v>3957</v>
      </c>
      <c r="N72" s="4"/>
      <c r="O72" s="4">
        <f t="shared" si="20"/>
        <v>0</v>
      </c>
      <c r="P72" s="4">
        <f t="shared" si="25"/>
        <v>3957</v>
      </c>
      <c r="Q72" s="311"/>
      <c r="R72" s="4"/>
      <c r="S72" s="4">
        <f t="shared" si="26"/>
        <v>0</v>
      </c>
      <c r="T72" s="4">
        <f t="shared" si="27"/>
        <v>0</v>
      </c>
      <c r="U72" s="4">
        <f t="shared" si="28"/>
        <v>0</v>
      </c>
      <c r="V72" s="4"/>
      <c r="W72" s="4">
        <f t="shared" si="29"/>
        <v>0</v>
      </c>
      <c r="X72" s="4"/>
      <c r="Y72" s="4"/>
      <c r="Z72" s="4"/>
      <c r="AA72" s="3"/>
      <c r="AB72" s="3" t="s">
        <v>740</v>
      </c>
      <c r="AC72" s="3">
        <v>747000</v>
      </c>
    </row>
    <row r="73" spans="1:29" ht="30" customHeight="1">
      <c r="A73" s="3">
        <f t="shared" si="30"/>
        <v>69</v>
      </c>
      <c r="B73" s="3">
        <v>20070</v>
      </c>
      <c r="C73" s="3" t="s">
        <v>488</v>
      </c>
      <c r="D73" s="4">
        <v>450000</v>
      </c>
      <c r="E73" s="4">
        <v>450000</v>
      </c>
      <c r="F73" s="4">
        <f t="shared" si="21"/>
        <v>0</v>
      </c>
      <c r="G73" s="4">
        <v>450000</v>
      </c>
      <c r="H73" s="4">
        <v>220649</v>
      </c>
      <c r="I73" s="4">
        <v>0</v>
      </c>
      <c r="J73" s="4">
        <v>62620</v>
      </c>
      <c r="K73" s="4">
        <f t="shared" si="22"/>
        <v>62620</v>
      </c>
      <c r="L73" s="4">
        <f t="shared" si="23"/>
        <v>283269</v>
      </c>
      <c r="M73" s="4">
        <f t="shared" si="24"/>
        <v>166731</v>
      </c>
      <c r="N73" s="4"/>
      <c r="O73" s="4">
        <f t="shared" si="20"/>
        <v>0</v>
      </c>
      <c r="P73" s="4">
        <f t="shared" si="25"/>
        <v>166731</v>
      </c>
      <c r="Q73" s="311"/>
      <c r="R73" s="4"/>
      <c r="S73" s="4">
        <f t="shared" si="26"/>
        <v>0</v>
      </c>
      <c r="T73" s="4">
        <f t="shared" si="27"/>
        <v>0</v>
      </c>
      <c r="U73" s="4">
        <f t="shared" si="28"/>
        <v>0</v>
      </c>
      <c r="V73" s="4"/>
      <c r="W73" s="4">
        <f t="shared" si="29"/>
        <v>0</v>
      </c>
      <c r="X73" s="4"/>
      <c r="Y73" s="4"/>
      <c r="Z73" s="4"/>
      <c r="AA73" s="3"/>
      <c r="AB73" s="3" t="s">
        <v>768</v>
      </c>
      <c r="AC73" s="3">
        <v>829000</v>
      </c>
    </row>
    <row r="74" spans="1:29" ht="30" customHeight="1">
      <c r="A74" s="3">
        <f t="shared" si="30"/>
        <v>70</v>
      </c>
      <c r="B74" s="3">
        <v>20071</v>
      </c>
      <c r="C74" s="3" t="s">
        <v>522</v>
      </c>
      <c r="D74" s="4">
        <v>600000</v>
      </c>
      <c r="E74" s="4">
        <v>600000</v>
      </c>
      <c r="F74" s="4">
        <f t="shared" si="21"/>
        <v>0</v>
      </c>
      <c r="G74" s="4">
        <v>0</v>
      </c>
      <c r="H74" s="4">
        <v>0</v>
      </c>
      <c r="I74" s="4">
        <v>0</v>
      </c>
      <c r="J74" s="4">
        <v>0</v>
      </c>
      <c r="K74" s="4">
        <f t="shared" si="22"/>
        <v>0</v>
      </c>
      <c r="L74" s="4">
        <f t="shared" si="23"/>
        <v>0</v>
      </c>
      <c r="M74" s="4">
        <f t="shared" si="24"/>
        <v>0</v>
      </c>
      <c r="N74" s="4">
        <f>300000</f>
        <v>300000</v>
      </c>
      <c r="O74" s="4">
        <f t="shared" ref="O74:O95" si="31">D74-L74-M74-N74</f>
        <v>300000</v>
      </c>
      <c r="P74" s="4">
        <f t="shared" si="25"/>
        <v>0</v>
      </c>
      <c r="Q74" s="311"/>
      <c r="R74" s="4"/>
      <c r="S74" s="4">
        <f t="shared" si="26"/>
        <v>0</v>
      </c>
      <c r="T74" s="4">
        <f t="shared" si="27"/>
        <v>0</v>
      </c>
      <c r="U74" s="4">
        <f t="shared" si="28"/>
        <v>300000</v>
      </c>
      <c r="V74" s="4"/>
      <c r="W74" s="4">
        <f t="shared" si="29"/>
        <v>300000</v>
      </c>
      <c r="X74" s="4"/>
      <c r="Y74" s="4"/>
      <c r="Z74" s="4"/>
      <c r="AA74" s="3"/>
      <c r="AB74" s="3" t="s">
        <v>558</v>
      </c>
      <c r="AC74" s="3">
        <v>747000</v>
      </c>
    </row>
    <row r="75" spans="1:29" ht="30" customHeight="1">
      <c r="A75" s="3">
        <f t="shared" si="30"/>
        <v>71</v>
      </c>
      <c r="B75" s="3">
        <v>20073</v>
      </c>
      <c r="C75" s="3" t="s">
        <v>517</v>
      </c>
      <c r="D75" s="4">
        <v>300000</v>
      </c>
      <c r="E75" s="4">
        <v>300000</v>
      </c>
      <c r="F75" s="4">
        <f t="shared" si="21"/>
        <v>0</v>
      </c>
      <c r="G75" s="4">
        <v>300000</v>
      </c>
      <c r="H75" s="4">
        <v>59989</v>
      </c>
      <c r="I75" s="4">
        <v>0</v>
      </c>
      <c r="J75" s="4">
        <v>0</v>
      </c>
      <c r="K75" s="4">
        <f t="shared" si="22"/>
        <v>0</v>
      </c>
      <c r="L75" s="4">
        <f t="shared" si="23"/>
        <v>59989</v>
      </c>
      <c r="M75" s="4">
        <f t="shared" si="24"/>
        <v>240011</v>
      </c>
      <c r="N75" s="4"/>
      <c r="O75" s="4">
        <f t="shared" si="31"/>
        <v>0</v>
      </c>
      <c r="P75" s="4">
        <f t="shared" si="25"/>
        <v>240011</v>
      </c>
      <c r="Q75" s="311"/>
      <c r="R75" s="4"/>
      <c r="S75" s="4">
        <f t="shared" si="26"/>
        <v>0</v>
      </c>
      <c r="T75" s="4">
        <f t="shared" si="27"/>
        <v>0</v>
      </c>
      <c r="U75" s="4">
        <f t="shared" si="28"/>
        <v>0</v>
      </c>
      <c r="V75" s="4"/>
      <c r="W75" s="4">
        <f t="shared" si="29"/>
        <v>0</v>
      </c>
      <c r="X75" s="4"/>
      <c r="Y75" s="4"/>
      <c r="Z75" s="4"/>
      <c r="AA75" s="3"/>
      <c r="AB75" s="3" t="s">
        <v>362</v>
      </c>
      <c r="AC75" s="3">
        <v>810000</v>
      </c>
    </row>
    <row r="76" spans="1:29" ht="60">
      <c r="A76" s="3">
        <f t="shared" si="30"/>
        <v>72</v>
      </c>
      <c r="B76" s="3">
        <v>20074</v>
      </c>
      <c r="C76" s="3" t="s">
        <v>523</v>
      </c>
      <c r="D76" s="4">
        <f>1500000+1070000</f>
        <v>2570000</v>
      </c>
      <c r="E76" s="4">
        <v>1500000</v>
      </c>
      <c r="F76" s="4">
        <f t="shared" si="21"/>
        <v>1070000</v>
      </c>
      <c r="G76" s="4">
        <v>1500000</v>
      </c>
      <c r="H76" s="4">
        <v>0</v>
      </c>
      <c r="I76" s="4">
        <v>0</v>
      </c>
      <c r="J76" s="4">
        <v>4686</v>
      </c>
      <c r="K76" s="4">
        <f t="shared" si="22"/>
        <v>4686</v>
      </c>
      <c r="L76" s="4">
        <f t="shared" si="23"/>
        <v>4686</v>
      </c>
      <c r="M76" s="4">
        <f t="shared" si="24"/>
        <v>1495314</v>
      </c>
      <c r="N76" s="4">
        <v>1070000</v>
      </c>
      <c r="O76" s="4">
        <f t="shared" si="31"/>
        <v>0</v>
      </c>
      <c r="P76" s="4">
        <f t="shared" si="25"/>
        <v>1495314</v>
      </c>
      <c r="Q76" s="311"/>
      <c r="R76" s="4"/>
      <c r="S76" s="4">
        <f t="shared" si="26"/>
        <v>0</v>
      </c>
      <c r="T76" s="4">
        <f t="shared" si="27"/>
        <v>0</v>
      </c>
      <c r="U76" s="4">
        <f t="shared" si="28"/>
        <v>1070000</v>
      </c>
      <c r="V76" s="4"/>
      <c r="W76" s="4">
        <f t="shared" si="29"/>
        <v>1070000</v>
      </c>
      <c r="X76" s="4"/>
      <c r="Y76" s="4"/>
      <c r="Z76" s="4"/>
      <c r="AA76" s="3"/>
      <c r="AB76" s="3" t="s">
        <v>1267</v>
      </c>
      <c r="AC76" s="3">
        <v>930000</v>
      </c>
    </row>
    <row r="77" spans="1:29" ht="30" customHeight="1">
      <c r="A77" s="3">
        <f t="shared" si="30"/>
        <v>73</v>
      </c>
      <c r="B77" s="3">
        <v>20086</v>
      </c>
      <c r="C77" s="3" t="s">
        <v>517</v>
      </c>
      <c r="D77" s="4">
        <v>60000</v>
      </c>
      <c r="E77" s="4">
        <v>60000</v>
      </c>
      <c r="F77" s="4">
        <f t="shared" si="21"/>
        <v>0</v>
      </c>
      <c r="G77" s="4">
        <v>60000</v>
      </c>
      <c r="H77" s="4">
        <v>0</v>
      </c>
      <c r="I77" s="4">
        <v>0</v>
      </c>
      <c r="J77" s="4">
        <v>0</v>
      </c>
      <c r="K77" s="4">
        <f t="shared" si="22"/>
        <v>0</v>
      </c>
      <c r="L77" s="4">
        <f t="shared" si="23"/>
        <v>0</v>
      </c>
      <c r="M77" s="4">
        <f t="shared" si="24"/>
        <v>60000</v>
      </c>
      <c r="N77" s="4"/>
      <c r="O77" s="4">
        <f t="shared" si="31"/>
        <v>0</v>
      </c>
      <c r="P77" s="4">
        <f t="shared" si="25"/>
        <v>60000</v>
      </c>
      <c r="Q77" s="311"/>
      <c r="R77" s="4"/>
      <c r="S77" s="4">
        <f t="shared" si="26"/>
        <v>0</v>
      </c>
      <c r="T77" s="4">
        <f t="shared" si="27"/>
        <v>0</v>
      </c>
      <c r="U77" s="4">
        <f t="shared" si="28"/>
        <v>0</v>
      </c>
      <c r="V77" s="4"/>
      <c r="W77" s="4">
        <f t="shared" si="29"/>
        <v>0</v>
      </c>
      <c r="X77" s="4"/>
      <c r="Y77" s="4"/>
      <c r="Z77" s="4"/>
      <c r="AA77" s="3"/>
      <c r="AB77" s="3" t="s">
        <v>596</v>
      </c>
      <c r="AC77" s="3">
        <v>810000</v>
      </c>
    </row>
    <row r="78" spans="1:29" ht="30" customHeight="1">
      <c r="A78" s="3">
        <f t="shared" si="30"/>
        <v>74</v>
      </c>
      <c r="B78" s="3">
        <v>20088</v>
      </c>
      <c r="C78" s="3" t="s">
        <v>586</v>
      </c>
      <c r="D78" s="4">
        <v>30000</v>
      </c>
      <c r="E78" s="4">
        <v>30000</v>
      </c>
      <c r="F78" s="4">
        <f t="shared" si="21"/>
        <v>0</v>
      </c>
      <c r="G78" s="4">
        <v>30000</v>
      </c>
      <c r="H78" s="4">
        <v>0</v>
      </c>
      <c r="I78" s="4">
        <v>0</v>
      </c>
      <c r="J78" s="4">
        <v>0</v>
      </c>
      <c r="K78" s="4">
        <f t="shared" si="22"/>
        <v>0</v>
      </c>
      <c r="L78" s="4">
        <f t="shared" si="23"/>
        <v>0</v>
      </c>
      <c r="M78" s="4">
        <f t="shared" si="24"/>
        <v>30000</v>
      </c>
      <c r="N78" s="4"/>
      <c r="O78" s="4">
        <f t="shared" si="31"/>
        <v>0</v>
      </c>
      <c r="P78" s="4">
        <f t="shared" si="25"/>
        <v>30000</v>
      </c>
      <c r="Q78" s="311"/>
      <c r="R78" s="4"/>
      <c r="S78" s="4">
        <f t="shared" si="26"/>
        <v>0</v>
      </c>
      <c r="T78" s="4">
        <f t="shared" si="27"/>
        <v>0</v>
      </c>
      <c r="U78" s="4">
        <f t="shared" si="28"/>
        <v>0</v>
      </c>
      <c r="V78" s="4"/>
      <c r="W78" s="4">
        <f t="shared" si="29"/>
        <v>0</v>
      </c>
      <c r="X78" s="4"/>
      <c r="Y78" s="4"/>
      <c r="Z78" s="4"/>
      <c r="AA78" s="3"/>
      <c r="AB78" s="3" t="s">
        <v>597</v>
      </c>
      <c r="AC78" s="3">
        <v>810000</v>
      </c>
    </row>
    <row r="79" spans="1:29" ht="60">
      <c r="A79" s="3">
        <f t="shared" si="30"/>
        <v>75</v>
      </c>
      <c r="B79" s="3">
        <v>20089</v>
      </c>
      <c r="C79" s="3" t="s">
        <v>587</v>
      </c>
      <c r="D79" s="4">
        <v>1500000</v>
      </c>
      <c r="E79" s="4">
        <v>1500000</v>
      </c>
      <c r="F79" s="4">
        <f t="shared" si="21"/>
        <v>0</v>
      </c>
      <c r="G79" s="4">
        <v>500000</v>
      </c>
      <c r="H79" s="4">
        <v>36855</v>
      </c>
      <c r="I79" s="4">
        <v>0</v>
      </c>
      <c r="J79" s="4">
        <v>400000</v>
      </c>
      <c r="K79" s="4">
        <f t="shared" si="22"/>
        <v>400000</v>
      </c>
      <c r="L79" s="4">
        <f t="shared" si="23"/>
        <v>436855</v>
      </c>
      <c r="M79" s="4">
        <f t="shared" si="24"/>
        <v>63145</v>
      </c>
      <c r="N79" s="4"/>
      <c r="O79" s="4">
        <f t="shared" si="31"/>
        <v>1000000</v>
      </c>
      <c r="P79" s="4">
        <f t="shared" si="25"/>
        <v>63145</v>
      </c>
      <c r="Q79" s="311"/>
      <c r="R79" s="4"/>
      <c r="S79" s="4">
        <f t="shared" si="26"/>
        <v>0</v>
      </c>
      <c r="T79" s="4">
        <f t="shared" si="27"/>
        <v>0</v>
      </c>
      <c r="U79" s="4">
        <f t="shared" si="28"/>
        <v>0</v>
      </c>
      <c r="V79" s="4"/>
      <c r="W79" s="4">
        <f t="shared" si="29"/>
        <v>0</v>
      </c>
      <c r="X79" s="4"/>
      <c r="Y79" s="4"/>
      <c r="Z79" s="4"/>
      <c r="AA79" s="3"/>
      <c r="AB79" s="3" t="s">
        <v>598</v>
      </c>
      <c r="AC79" s="3">
        <v>848000</v>
      </c>
    </row>
    <row r="80" spans="1:29" ht="30" customHeight="1">
      <c r="A80" s="3">
        <f t="shared" si="30"/>
        <v>76</v>
      </c>
      <c r="B80" s="3">
        <v>20091</v>
      </c>
      <c r="C80" s="3" t="s">
        <v>588</v>
      </c>
      <c r="D80" s="4">
        <v>1200000</v>
      </c>
      <c r="E80" s="4">
        <v>1200000</v>
      </c>
      <c r="F80" s="4">
        <f t="shared" si="21"/>
        <v>0</v>
      </c>
      <c r="G80" s="4">
        <v>900000</v>
      </c>
      <c r="H80" s="4">
        <v>434927</v>
      </c>
      <c r="I80" s="4">
        <v>0</v>
      </c>
      <c r="J80" s="4">
        <v>65060</v>
      </c>
      <c r="K80" s="4">
        <f t="shared" si="22"/>
        <v>65060</v>
      </c>
      <c r="L80" s="4">
        <f t="shared" si="23"/>
        <v>499987</v>
      </c>
      <c r="M80" s="4">
        <f t="shared" si="24"/>
        <v>400013</v>
      </c>
      <c r="N80" s="4"/>
      <c r="O80" s="4">
        <f t="shared" si="31"/>
        <v>300000</v>
      </c>
      <c r="P80" s="4">
        <f t="shared" si="25"/>
        <v>400013</v>
      </c>
      <c r="Q80" s="597"/>
      <c r="R80" s="4"/>
      <c r="S80" s="4">
        <f t="shared" si="26"/>
        <v>0</v>
      </c>
      <c r="T80" s="4">
        <f t="shared" si="27"/>
        <v>0</v>
      </c>
      <c r="U80" s="4">
        <f t="shared" si="28"/>
        <v>0</v>
      </c>
      <c r="V80" s="4"/>
      <c r="W80" s="4">
        <f t="shared" si="29"/>
        <v>0</v>
      </c>
      <c r="X80" s="4"/>
      <c r="Y80" s="4"/>
      <c r="Z80" s="4"/>
      <c r="AA80" s="3"/>
      <c r="AB80" s="3" t="s">
        <v>599</v>
      </c>
      <c r="AC80" s="3">
        <v>870000</v>
      </c>
    </row>
    <row r="81" spans="1:68" ht="30" customHeight="1">
      <c r="A81" s="3">
        <f t="shared" si="30"/>
        <v>77</v>
      </c>
      <c r="B81" s="3">
        <v>20094</v>
      </c>
      <c r="C81" s="3" t="s">
        <v>589</v>
      </c>
      <c r="D81" s="4">
        <v>2090000</v>
      </c>
      <c r="E81" s="4">
        <v>2090000</v>
      </c>
      <c r="F81" s="4">
        <f t="shared" si="21"/>
        <v>0</v>
      </c>
      <c r="G81" s="4">
        <v>2090000</v>
      </c>
      <c r="H81" s="4">
        <v>2089932</v>
      </c>
      <c r="I81" s="4">
        <v>0</v>
      </c>
      <c r="J81" s="4">
        <v>0</v>
      </c>
      <c r="K81" s="4">
        <f t="shared" si="22"/>
        <v>0</v>
      </c>
      <c r="L81" s="4">
        <f t="shared" si="23"/>
        <v>2089932</v>
      </c>
      <c r="M81" s="4">
        <f t="shared" si="24"/>
        <v>68</v>
      </c>
      <c r="N81" s="4"/>
      <c r="O81" s="4">
        <f t="shared" si="31"/>
        <v>0</v>
      </c>
      <c r="P81" s="4">
        <f t="shared" si="25"/>
        <v>68</v>
      </c>
      <c r="Q81" s="311"/>
      <c r="R81" s="4"/>
      <c r="S81" s="4">
        <f t="shared" si="26"/>
        <v>0</v>
      </c>
      <c r="T81" s="4">
        <f t="shared" si="27"/>
        <v>0</v>
      </c>
      <c r="U81" s="4">
        <f t="shared" si="28"/>
        <v>0</v>
      </c>
      <c r="V81" s="4"/>
      <c r="W81" s="4">
        <f t="shared" si="29"/>
        <v>0</v>
      </c>
      <c r="X81" s="4"/>
      <c r="Y81" s="4"/>
      <c r="Z81" s="4"/>
      <c r="AA81" s="3"/>
      <c r="AB81" s="3" t="s">
        <v>1513</v>
      </c>
      <c r="AC81" s="3">
        <v>829000</v>
      </c>
    </row>
    <row r="82" spans="1:68" ht="30" customHeight="1">
      <c r="A82" s="3">
        <f t="shared" si="30"/>
        <v>78</v>
      </c>
      <c r="B82" s="3">
        <v>20100</v>
      </c>
      <c r="C82" s="3" t="s">
        <v>591</v>
      </c>
      <c r="D82" s="4">
        <v>2010000</v>
      </c>
      <c r="E82" s="4">
        <v>2010000</v>
      </c>
      <c r="F82" s="4">
        <f t="shared" si="21"/>
        <v>0</v>
      </c>
      <c r="G82" s="4">
        <v>2010000</v>
      </c>
      <c r="H82" s="4">
        <v>1785158</v>
      </c>
      <c r="I82" s="4">
        <v>0</v>
      </c>
      <c r="J82" s="4">
        <v>211514</v>
      </c>
      <c r="K82" s="4">
        <f t="shared" si="22"/>
        <v>211514</v>
      </c>
      <c r="L82" s="4">
        <f t="shared" si="23"/>
        <v>1996672</v>
      </c>
      <c r="M82" s="4">
        <f t="shared" si="24"/>
        <v>13328</v>
      </c>
      <c r="N82" s="4"/>
      <c r="O82" s="4">
        <f t="shared" si="31"/>
        <v>0</v>
      </c>
      <c r="P82" s="4">
        <f t="shared" si="25"/>
        <v>13328</v>
      </c>
      <c r="Q82" s="311"/>
      <c r="R82" s="4"/>
      <c r="S82" s="4">
        <f t="shared" si="26"/>
        <v>0</v>
      </c>
      <c r="T82" s="4">
        <f t="shared" si="27"/>
        <v>0</v>
      </c>
      <c r="U82" s="4">
        <f t="shared" si="28"/>
        <v>0</v>
      </c>
      <c r="V82" s="4"/>
      <c r="W82" s="4">
        <f t="shared" si="29"/>
        <v>0</v>
      </c>
      <c r="X82" s="4"/>
      <c r="Y82" s="4"/>
      <c r="Z82" s="4"/>
      <c r="AA82" s="3"/>
      <c r="AB82" s="3" t="s">
        <v>600</v>
      </c>
      <c r="AC82" s="3">
        <v>742000</v>
      </c>
    </row>
    <row r="83" spans="1:68" ht="30" customHeight="1">
      <c r="A83" s="3">
        <f t="shared" si="30"/>
        <v>79</v>
      </c>
      <c r="B83" s="3">
        <v>20104</v>
      </c>
      <c r="C83" s="3" t="s">
        <v>772</v>
      </c>
      <c r="D83" s="4">
        <v>23200000</v>
      </c>
      <c r="E83" s="4">
        <v>23200000</v>
      </c>
      <c r="F83" s="4">
        <f t="shared" si="21"/>
        <v>0</v>
      </c>
      <c r="G83" s="4">
        <v>23200000</v>
      </c>
      <c r="H83" s="4">
        <v>4697872</v>
      </c>
      <c r="I83" s="4">
        <v>0</v>
      </c>
      <c r="J83" s="4">
        <v>9279691</v>
      </c>
      <c r="K83" s="4">
        <f t="shared" si="22"/>
        <v>9279691</v>
      </c>
      <c r="L83" s="4">
        <f t="shared" si="23"/>
        <v>13977563</v>
      </c>
      <c r="M83" s="4">
        <f t="shared" si="24"/>
        <v>9222437</v>
      </c>
      <c r="N83" s="4"/>
      <c r="O83" s="4">
        <f t="shared" si="31"/>
        <v>0</v>
      </c>
      <c r="P83" s="4">
        <f t="shared" si="25"/>
        <v>9222437</v>
      </c>
      <c r="Q83" s="311"/>
      <c r="R83" s="4"/>
      <c r="S83" s="4">
        <f t="shared" si="26"/>
        <v>0</v>
      </c>
      <c r="T83" s="4">
        <f t="shared" si="27"/>
        <v>0</v>
      </c>
      <c r="U83" s="4">
        <f t="shared" si="28"/>
        <v>0</v>
      </c>
      <c r="V83" s="4"/>
      <c r="W83" s="4">
        <f t="shared" si="29"/>
        <v>0</v>
      </c>
      <c r="X83" s="4"/>
      <c r="Y83" s="4"/>
      <c r="Z83" s="4"/>
      <c r="AA83" s="3"/>
      <c r="AB83" s="3" t="s">
        <v>1514</v>
      </c>
      <c r="AC83" s="3">
        <v>720000</v>
      </c>
    </row>
    <row r="84" spans="1:68" ht="90">
      <c r="A84" s="3">
        <f t="shared" si="30"/>
        <v>80</v>
      </c>
      <c r="B84" s="3">
        <v>20115</v>
      </c>
      <c r="C84" s="127" t="s">
        <v>742</v>
      </c>
      <c r="D84" s="112">
        <f>4000000+17500000</f>
        <v>21500000</v>
      </c>
      <c r="E84" s="112">
        <v>4000000</v>
      </c>
      <c r="F84" s="112">
        <f t="shared" si="21"/>
        <v>17500000</v>
      </c>
      <c r="G84" s="112">
        <v>3500000</v>
      </c>
      <c r="H84" s="112">
        <v>1553502</v>
      </c>
      <c r="I84" s="112">
        <v>0</v>
      </c>
      <c r="J84" s="112">
        <v>1628231</v>
      </c>
      <c r="K84" s="112">
        <f t="shared" si="22"/>
        <v>1628231</v>
      </c>
      <c r="L84" s="112">
        <f t="shared" si="23"/>
        <v>3181733</v>
      </c>
      <c r="M84" s="4">
        <f t="shared" si="24"/>
        <v>818267</v>
      </c>
      <c r="N84" s="112">
        <f>17500000-12500000-1000000</f>
        <v>4000000</v>
      </c>
      <c r="O84" s="112">
        <f t="shared" si="31"/>
        <v>13500000</v>
      </c>
      <c r="P84" s="112">
        <f t="shared" si="25"/>
        <v>318267</v>
      </c>
      <c r="Q84" s="112">
        <v>500000</v>
      </c>
      <c r="R84" s="112"/>
      <c r="S84" s="112">
        <f t="shared" si="26"/>
        <v>500000</v>
      </c>
      <c r="T84" s="112">
        <f t="shared" si="27"/>
        <v>0</v>
      </c>
      <c r="U84" s="4">
        <f t="shared" si="28"/>
        <v>4000000</v>
      </c>
      <c r="V84" s="4"/>
      <c r="W84" s="4">
        <f t="shared" si="29"/>
        <v>4000000</v>
      </c>
      <c r="X84" s="4"/>
      <c r="Y84" s="4"/>
      <c r="Z84" s="4"/>
      <c r="AA84" s="3"/>
      <c r="AB84" s="3" t="s">
        <v>1497</v>
      </c>
      <c r="AC84" s="3">
        <v>742000</v>
      </c>
      <c r="BB84" s="123"/>
      <c r="BC84" s="123"/>
      <c r="BD84" s="123"/>
      <c r="BE84" s="123"/>
      <c r="BF84" s="123"/>
      <c r="BG84" s="123"/>
      <c r="BH84" s="256"/>
      <c r="BI84" s="256"/>
      <c r="BJ84" s="256"/>
      <c r="BK84" s="256"/>
      <c r="BL84" s="256"/>
      <c r="BM84" s="256"/>
      <c r="BN84" s="256"/>
      <c r="BO84" s="256"/>
      <c r="BP84" s="256"/>
    </row>
    <row r="85" spans="1:68" ht="75">
      <c r="A85" s="3">
        <f t="shared" si="30"/>
        <v>81</v>
      </c>
      <c r="B85" s="3">
        <v>20116</v>
      </c>
      <c r="C85" s="127" t="s">
        <v>622</v>
      </c>
      <c r="D85" s="112">
        <v>5400000</v>
      </c>
      <c r="E85" s="112">
        <v>5400000</v>
      </c>
      <c r="F85" s="112">
        <f t="shared" si="21"/>
        <v>0</v>
      </c>
      <c r="G85" s="112"/>
      <c r="H85" s="112">
        <v>0</v>
      </c>
      <c r="I85" s="112">
        <v>0</v>
      </c>
      <c r="J85" s="112">
        <v>0</v>
      </c>
      <c r="K85" s="112">
        <f t="shared" si="22"/>
        <v>0</v>
      </c>
      <c r="L85" s="112">
        <f t="shared" si="23"/>
        <v>0</v>
      </c>
      <c r="M85" s="4">
        <f t="shared" si="24"/>
        <v>0</v>
      </c>
      <c r="N85" s="112">
        <f>650000+1790000-2440000</f>
        <v>0</v>
      </c>
      <c r="O85" s="112">
        <f t="shared" si="31"/>
        <v>5400000</v>
      </c>
      <c r="P85" s="112">
        <f t="shared" si="25"/>
        <v>0</v>
      </c>
      <c r="Q85" s="112"/>
      <c r="R85" s="112"/>
      <c r="S85" s="112">
        <f t="shared" si="26"/>
        <v>0</v>
      </c>
      <c r="T85" s="112">
        <f t="shared" si="27"/>
        <v>0</v>
      </c>
      <c r="U85" s="4">
        <f t="shared" si="28"/>
        <v>0</v>
      </c>
      <c r="V85" s="4"/>
      <c r="W85" s="4">
        <f t="shared" si="29"/>
        <v>0</v>
      </c>
      <c r="X85" s="4"/>
      <c r="Y85" s="4"/>
      <c r="Z85" s="4"/>
      <c r="AA85" s="3"/>
      <c r="AB85" s="3" t="s">
        <v>677</v>
      </c>
      <c r="AC85" s="3">
        <v>742000</v>
      </c>
      <c r="BB85" s="123"/>
      <c r="BC85" s="123"/>
      <c r="BD85" s="123"/>
      <c r="BE85" s="123"/>
      <c r="BF85" s="123"/>
      <c r="BG85" s="123"/>
      <c r="BH85" s="256"/>
      <c r="BI85" s="256"/>
      <c r="BJ85" s="256"/>
      <c r="BK85" s="256"/>
      <c r="BL85" s="256"/>
      <c r="BM85" s="256"/>
      <c r="BN85" s="256"/>
      <c r="BO85" s="256"/>
      <c r="BP85" s="256"/>
    </row>
    <row r="86" spans="1:68" s="5" customFormat="1" ht="30" customHeight="1">
      <c r="A86" s="3">
        <f t="shared" si="30"/>
        <v>82</v>
      </c>
      <c r="B86" s="3">
        <v>20117</v>
      </c>
      <c r="C86" s="127" t="s">
        <v>653</v>
      </c>
      <c r="D86" s="112">
        <v>1600000</v>
      </c>
      <c r="E86" s="112">
        <v>1600000</v>
      </c>
      <c r="F86" s="112">
        <f t="shared" si="21"/>
        <v>0</v>
      </c>
      <c r="G86" s="112">
        <v>0</v>
      </c>
      <c r="H86" s="112">
        <v>0</v>
      </c>
      <c r="I86" s="112">
        <v>0</v>
      </c>
      <c r="J86" s="112">
        <v>0</v>
      </c>
      <c r="K86" s="112">
        <f t="shared" si="22"/>
        <v>0</v>
      </c>
      <c r="L86" s="112">
        <f t="shared" si="23"/>
        <v>0</v>
      </c>
      <c r="M86" s="4">
        <f t="shared" si="24"/>
        <v>0</v>
      </c>
      <c r="N86" s="112">
        <f>1600000-1600000</f>
        <v>0</v>
      </c>
      <c r="O86" s="112">
        <f t="shared" si="31"/>
        <v>1600000</v>
      </c>
      <c r="P86" s="112">
        <f t="shared" si="25"/>
        <v>0</v>
      </c>
      <c r="Q86" s="112"/>
      <c r="R86" s="112"/>
      <c r="S86" s="112">
        <f t="shared" si="26"/>
        <v>0</v>
      </c>
      <c r="T86" s="112">
        <f t="shared" si="27"/>
        <v>0</v>
      </c>
      <c r="U86" s="4">
        <f t="shared" si="28"/>
        <v>0</v>
      </c>
      <c r="V86" s="4"/>
      <c r="W86" s="4">
        <f t="shared" si="29"/>
        <v>0</v>
      </c>
      <c r="X86" s="4"/>
      <c r="Y86" s="4"/>
      <c r="Z86" s="4"/>
      <c r="AA86" s="3"/>
      <c r="AB86" s="3" t="s">
        <v>654</v>
      </c>
      <c r="AC86" s="3">
        <v>743000</v>
      </c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48"/>
      <c r="AQ86" s="148"/>
      <c r="AR86" s="148"/>
      <c r="AS86" s="148"/>
      <c r="AT86" s="531"/>
      <c r="AU86" s="531"/>
      <c r="AV86" s="531"/>
      <c r="AW86" s="531"/>
      <c r="AX86" s="531"/>
      <c r="AY86" s="531"/>
      <c r="AZ86" s="531"/>
      <c r="BA86" s="148"/>
      <c r="BB86" s="123"/>
      <c r="BC86" s="123"/>
      <c r="BD86" s="123"/>
      <c r="BE86" s="123"/>
      <c r="BF86" s="123"/>
      <c r="BG86" s="123"/>
      <c r="BH86" s="256"/>
      <c r="BI86" s="256"/>
      <c r="BJ86" s="256"/>
      <c r="BK86" s="256"/>
      <c r="BL86" s="256"/>
      <c r="BM86" s="256"/>
      <c r="BN86" s="256"/>
      <c r="BO86" s="256"/>
      <c r="BP86" s="256"/>
    </row>
    <row r="87" spans="1:68" s="5" customFormat="1" ht="30" customHeight="1">
      <c r="A87" s="3">
        <f t="shared" si="30"/>
        <v>83</v>
      </c>
      <c r="B87" s="3">
        <v>20118</v>
      </c>
      <c r="C87" s="127" t="s">
        <v>623</v>
      </c>
      <c r="D87" s="112">
        <v>50000</v>
      </c>
      <c r="E87" s="112">
        <v>50000</v>
      </c>
      <c r="F87" s="112">
        <f t="shared" si="21"/>
        <v>0</v>
      </c>
      <c r="G87" s="112">
        <v>50000</v>
      </c>
      <c r="H87" s="112">
        <v>0</v>
      </c>
      <c r="I87" s="112">
        <v>0</v>
      </c>
      <c r="J87" s="112">
        <v>22141.27</v>
      </c>
      <c r="K87" s="112">
        <f t="shared" si="22"/>
        <v>22141.27</v>
      </c>
      <c r="L87" s="112">
        <f t="shared" si="23"/>
        <v>22141.27</v>
      </c>
      <c r="M87" s="4">
        <f t="shared" si="24"/>
        <v>27858.73</v>
      </c>
      <c r="N87" s="112"/>
      <c r="O87" s="112">
        <f t="shared" si="31"/>
        <v>0</v>
      </c>
      <c r="P87" s="112">
        <f t="shared" si="25"/>
        <v>27858.73</v>
      </c>
      <c r="Q87" s="112"/>
      <c r="R87" s="112"/>
      <c r="S87" s="112">
        <f t="shared" si="26"/>
        <v>0</v>
      </c>
      <c r="T87" s="112">
        <f t="shared" si="27"/>
        <v>0</v>
      </c>
      <c r="U87" s="4">
        <f t="shared" si="28"/>
        <v>0</v>
      </c>
      <c r="V87" s="4"/>
      <c r="W87" s="4">
        <f t="shared" si="29"/>
        <v>0</v>
      </c>
      <c r="X87" s="4"/>
      <c r="Y87" s="4"/>
      <c r="Z87" s="4"/>
      <c r="AA87" s="3"/>
      <c r="AB87" s="3" t="s">
        <v>360</v>
      </c>
      <c r="AC87" s="3">
        <v>747000</v>
      </c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48"/>
      <c r="AQ87" s="148"/>
      <c r="AR87" s="148"/>
      <c r="AS87" s="148"/>
      <c r="AT87" s="531"/>
      <c r="AU87" s="531"/>
      <c r="AV87" s="531"/>
      <c r="AW87" s="531"/>
      <c r="AX87" s="531"/>
      <c r="AY87" s="531"/>
      <c r="AZ87" s="531"/>
      <c r="BA87" s="148"/>
      <c r="BB87" s="123"/>
      <c r="BC87" s="123"/>
      <c r="BD87" s="123"/>
      <c r="BE87" s="123"/>
      <c r="BF87" s="123"/>
      <c r="BG87" s="123"/>
      <c r="BH87" s="256"/>
      <c r="BI87" s="256"/>
      <c r="BJ87" s="256"/>
      <c r="BK87" s="256"/>
      <c r="BL87" s="256"/>
      <c r="BM87" s="256"/>
      <c r="BN87" s="256"/>
      <c r="BO87" s="256"/>
      <c r="BP87" s="256"/>
    </row>
    <row r="88" spans="1:68" s="5" customFormat="1" ht="30" customHeight="1">
      <c r="A88" s="3">
        <f t="shared" si="30"/>
        <v>84</v>
      </c>
      <c r="B88" s="3">
        <v>20119</v>
      </c>
      <c r="C88" s="127" t="s">
        <v>624</v>
      </c>
      <c r="D88" s="112">
        <v>152000</v>
      </c>
      <c r="E88" s="112">
        <v>152000</v>
      </c>
      <c r="F88" s="112">
        <f t="shared" si="21"/>
        <v>0</v>
      </c>
      <c r="G88" s="112">
        <v>152000</v>
      </c>
      <c r="H88" s="112">
        <v>0</v>
      </c>
      <c r="I88" s="112">
        <v>0</v>
      </c>
      <c r="J88" s="112">
        <v>0</v>
      </c>
      <c r="K88" s="112">
        <f t="shared" si="22"/>
        <v>0</v>
      </c>
      <c r="L88" s="112">
        <f t="shared" si="23"/>
        <v>0</v>
      </c>
      <c r="M88" s="4">
        <f t="shared" si="24"/>
        <v>152000</v>
      </c>
      <c r="N88" s="112"/>
      <c r="O88" s="112">
        <f t="shared" si="31"/>
        <v>0</v>
      </c>
      <c r="P88" s="112">
        <f t="shared" si="25"/>
        <v>152000</v>
      </c>
      <c r="Q88" s="112"/>
      <c r="R88" s="112"/>
      <c r="S88" s="112">
        <f t="shared" si="26"/>
        <v>0</v>
      </c>
      <c r="T88" s="112">
        <f t="shared" si="27"/>
        <v>0</v>
      </c>
      <c r="U88" s="4">
        <f t="shared" si="28"/>
        <v>0</v>
      </c>
      <c r="V88" s="4"/>
      <c r="W88" s="4">
        <f t="shared" si="29"/>
        <v>0</v>
      </c>
      <c r="X88" s="4"/>
      <c r="Y88" s="4"/>
      <c r="Z88" s="4"/>
      <c r="AA88" s="3"/>
      <c r="AB88" s="3" t="s">
        <v>360</v>
      </c>
      <c r="AC88" s="3">
        <v>747000</v>
      </c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48"/>
      <c r="AQ88" s="148"/>
      <c r="AR88" s="148"/>
      <c r="AS88" s="148"/>
      <c r="AT88" s="531"/>
      <c r="AU88" s="531"/>
      <c r="AV88" s="531"/>
      <c r="AW88" s="531"/>
      <c r="AX88" s="531"/>
      <c r="AY88" s="531"/>
      <c r="AZ88" s="531"/>
      <c r="BA88" s="148"/>
      <c r="BB88" s="123"/>
      <c r="BC88" s="123"/>
      <c r="BD88" s="123"/>
      <c r="BE88" s="123"/>
      <c r="BF88" s="123"/>
      <c r="BG88" s="123"/>
      <c r="BH88" s="256"/>
      <c r="BI88" s="256"/>
      <c r="BJ88" s="256"/>
      <c r="BK88" s="256"/>
      <c r="BL88" s="256"/>
      <c r="BM88" s="256"/>
      <c r="BN88" s="256"/>
      <c r="BO88" s="256"/>
      <c r="BP88" s="256"/>
    </row>
    <row r="89" spans="1:68" s="5" customFormat="1" ht="30" customHeight="1">
      <c r="A89" s="3">
        <f t="shared" si="30"/>
        <v>85</v>
      </c>
      <c r="B89" s="3">
        <v>20120</v>
      </c>
      <c r="C89" s="127" t="s">
        <v>753</v>
      </c>
      <c r="D89" s="112">
        <v>263395</v>
      </c>
      <c r="E89" s="112">
        <v>263395</v>
      </c>
      <c r="F89" s="112">
        <f t="shared" si="21"/>
        <v>0</v>
      </c>
      <c r="G89" s="112">
        <v>263395</v>
      </c>
      <c r="H89" s="112">
        <v>0</v>
      </c>
      <c r="I89" s="112">
        <v>0</v>
      </c>
      <c r="J89" s="112">
        <v>0</v>
      </c>
      <c r="K89" s="112">
        <f t="shared" si="22"/>
        <v>0</v>
      </c>
      <c r="L89" s="112">
        <f t="shared" si="23"/>
        <v>0</v>
      </c>
      <c r="M89" s="4">
        <f t="shared" si="24"/>
        <v>263395</v>
      </c>
      <c r="N89" s="112"/>
      <c r="O89" s="112">
        <f t="shared" si="31"/>
        <v>0</v>
      </c>
      <c r="P89" s="112">
        <f t="shared" si="25"/>
        <v>263395</v>
      </c>
      <c r="Q89" s="112"/>
      <c r="R89" s="112"/>
      <c r="S89" s="112">
        <f t="shared" si="26"/>
        <v>0</v>
      </c>
      <c r="T89" s="112">
        <f t="shared" si="27"/>
        <v>0</v>
      </c>
      <c r="U89" s="4">
        <f t="shared" si="28"/>
        <v>0</v>
      </c>
      <c r="V89" s="4"/>
      <c r="W89" s="4">
        <f t="shared" si="29"/>
        <v>0</v>
      </c>
      <c r="X89" s="4"/>
      <c r="Y89" s="4"/>
      <c r="Z89" s="4"/>
      <c r="AA89" s="3"/>
      <c r="AB89" s="3" t="s">
        <v>360</v>
      </c>
      <c r="AC89" s="3">
        <v>747000</v>
      </c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48"/>
      <c r="AQ89" s="148"/>
      <c r="AR89" s="148"/>
      <c r="AS89" s="148"/>
      <c r="AT89" s="531"/>
      <c r="AU89" s="531"/>
      <c r="AV89" s="531"/>
      <c r="AW89" s="531"/>
      <c r="AX89" s="531"/>
      <c r="AY89" s="531"/>
      <c r="AZ89" s="531"/>
      <c r="BA89" s="148"/>
      <c r="BB89" s="123"/>
      <c r="BC89" s="123"/>
      <c r="BD89" s="123"/>
      <c r="BE89" s="123"/>
      <c r="BF89" s="123"/>
      <c r="BG89" s="123"/>
      <c r="BH89" s="256"/>
      <c r="BI89" s="256"/>
      <c r="BJ89" s="256"/>
      <c r="BK89" s="256"/>
      <c r="BL89" s="256"/>
      <c r="BM89" s="256"/>
      <c r="BN89" s="256"/>
      <c r="BO89" s="256"/>
      <c r="BP89" s="256"/>
    </row>
    <row r="90" spans="1:68" s="5" customFormat="1" ht="30" customHeight="1">
      <c r="A90" s="3">
        <f t="shared" si="30"/>
        <v>86</v>
      </c>
      <c r="B90" s="3">
        <v>20121</v>
      </c>
      <c r="C90" s="127" t="s">
        <v>1017</v>
      </c>
      <c r="D90" s="112">
        <f>1700000+250000</f>
        <v>1950000</v>
      </c>
      <c r="E90" s="112">
        <v>1700000</v>
      </c>
      <c r="F90" s="112">
        <f t="shared" si="21"/>
        <v>250000</v>
      </c>
      <c r="G90" s="112">
        <v>0</v>
      </c>
      <c r="H90" s="112">
        <v>0</v>
      </c>
      <c r="I90" s="112">
        <v>0</v>
      </c>
      <c r="J90" s="112">
        <v>0</v>
      </c>
      <c r="K90" s="112">
        <f t="shared" si="22"/>
        <v>0</v>
      </c>
      <c r="L90" s="112">
        <f t="shared" si="23"/>
        <v>0</v>
      </c>
      <c r="M90" s="4">
        <f t="shared" si="24"/>
        <v>0</v>
      </c>
      <c r="N90" s="112">
        <f>1700000+250000-1950000</f>
        <v>0</v>
      </c>
      <c r="O90" s="112">
        <f t="shared" si="31"/>
        <v>1950000</v>
      </c>
      <c r="P90" s="112">
        <f t="shared" si="25"/>
        <v>0</v>
      </c>
      <c r="Q90" s="112"/>
      <c r="R90" s="112"/>
      <c r="S90" s="112">
        <f t="shared" si="26"/>
        <v>0</v>
      </c>
      <c r="T90" s="112">
        <f t="shared" si="27"/>
        <v>0</v>
      </c>
      <c r="U90" s="4">
        <f t="shared" si="28"/>
        <v>0</v>
      </c>
      <c r="V90" s="4"/>
      <c r="W90" s="4">
        <f t="shared" si="29"/>
        <v>0</v>
      </c>
      <c r="X90" s="4"/>
      <c r="Y90" s="4"/>
      <c r="Z90" s="4"/>
      <c r="AA90" s="3"/>
      <c r="AB90" s="3" t="s">
        <v>1327</v>
      </c>
      <c r="AC90" s="3">
        <v>743000</v>
      </c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48"/>
      <c r="AQ90" s="148"/>
      <c r="AR90" s="148"/>
      <c r="AS90" s="148"/>
      <c r="AT90" s="531"/>
      <c r="AU90" s="531"/>
      <c r="AV90" s="531"/>
      <c r="AW90" s="531"/>
      <c r="AX90" s="531"/>
      <c r="AY90" s="531"/>
      <c r="AZ90" s="531"/>
      <c r="BA90" s="148"/>
      <c r="BB90" s="123"/>
      <c r="BC90" s="123"/>
      <c r="BD90" s="123"/>
      <c r="BE90" s="123"/>
      <c r="BF90" s="123"/>
      <c r="BG90" s="123"/>
      <c r="BH90" s="256"/>
      <c r="BI90" s="256"/>
      <c r="BJ90" s="256"/>
      <c r="BK90" s="256"/>
      <c r="BL90" s="256"/>
      <c r="BM90" s="256"/>
      <c r="BN90" s="256"/>
      <c r="BO90" s="256"/>
      <c r="BP90" s="256"/>
    </row>
    <row r="91" spans="1:68" s="5" customFormat="1" ht="30" customHeight="1">
      <c r="A91" s="3">
        <f t="shared" si="30"/>
        <v>87</v>
      </c>
      <c r="B91" s="3">
        <v>20122</v>
      </c>
      <c r="C91" s="127" t="s">
        <v>676</v>
      </c>
      <c r="D91" s="112">
        <f>600000+1800000</f>
        <v>2400000</v>
      </c>
      <c r="E91" s="112">
        <v>600000</v>
      </c>
      <c r="F91" s="112">
        <f t="shared" si="21"/>
        <v>1800000</v>
      </c>
      <c r="G91" s="112">
        <v>0</v>
      </c>
      <c r="H91" s="112">
        <v>0</v>
      </c>
      <c r="I91" s="112">
        <v>0</v>
      </c>
      <c r="J91" s="112">
        <v>0</v>
      </c>
      <c r="K91" s="112">
        <f t="shared" si="22"/>
        <v>0</v>
      </c>
      <c r="L91" s="112">
        <f t="shared" si="23"/>
        <v>0</v>
      </c>
      <c r="M91" s="4">
        <f t="shared" si="24"/>
        <v>0</v>
      </c>
      <c r="N91" s="112">
        <f>2400000-2400000</f>
        <v>0</v>
      </c>
      <c r="O91" s="112">
        <f t="shared" si="31"/>
        <v>2400000</v>
      </c>
      <c r="P91" s="112">
        <f t="shared" si="25"/>
        <v>0</v>
      </c>
      <c r="Q91" s="112"/>
      <c r="R91" s="112"/>
      <c r="S91" s="112">
        <f t="shared" si="26"/>
        <v>0</v>
      </c>
      <c r="T91" s="112">
        <f t="shared" si="27"/>
        <v>0</v>
      </c>
      <c r="U91" s="4">
        <f t="shared" si="28"/>
        <v>0</v>
      </c>
      <c r="V91" s="4"/>
      <c r="W91" s="4">
        <f t="shared" si="29"/>
        <v>0</v>
      </c>
      <c r="X91" s="4"/>
      <c r="Y91" s="4"/>
      <c r="Z91" s="4"/>
      <c r="AA91" s="3"/>
      <c r="AB91" s="3" t="s">
        <v>687</v>
      </c>
      <c r="AC91" s="3">
        <v>826000</v>
      </c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48"/>
      <c r="AQ91" s="148"/>
      <c r="AR91" s="148"/>
      <c r="AS91" s="148"/>
      <c r="AT91" s="531"/>
      <c r="AU91" s="531"/>
      <c r="AV91" s="531"/>
      <c r="AW91" s="531"/>
      <c r="AX91" s="531"/>
      <c r="AY91" s="531"/>
      <c r="AZ91" s="531"/>
      <c r="BA91" s="148"/>
      <c r="BB91" s="123"/>
      <c r="BC91" s="123"/>
      <c r="BD91" s="123"/>
      <c r="BE91" s="123"/>
      <c r="BF91" s="123"/>
      <c r="BG91" s="123"/>
      <c r="BH91" s="256"/>
      <c r="BI91" s="256"/>
      <c r="BJ91" s="256"/>
      <c r="BK91" s="256"/>
      <c r="BL91" s="256"/>
      <c r="BM91" s="256"/>
      <c r="BN91" s="256"/>
      <c r="BO91" s="256"/>
      <c r="BP91" s="256"/>
    </row>
    <row r="92" spans="1:68" s="5" customFormat="1" ht="45">
      <c r="A92" s="3">
        <f t="shared" si="30"/>
        <v>88</v>
      </c>
      <c r="B92" s="3">
        <v>20123</v>
      </c>
      <c r="C92" s="127" t="s">
        <v>685</v>
      </c>
      <c r="D92" s="112">
        <v>350000</v>
      </c>
      <c r="E92" s="112">
        <v>350000</v>
      </c>
      <c r="F92" s="112">
        <f t="shared" si="21"/>
        <v>0</v>
      </c>
      <c r="G92" s="112">
        <v>350000</v>
      </c>
      <c r="H92" s="112">
        <v>0</v>
      </c>
      <c r="I92" s="112">
        <v>0</v>
      </c>
      <c r="J92" s="112">
        <v>348975</v>
      </c>
      <c r="K92" s="112">
        <f t="shared" si="22"/>
        <v>348975</v>
      </c>
      <c r="L92" s="112">
        <f t="shared" si="23"/>
        <v>348975</v>
      </c>
      <c r="M92" s="4">
        <f t="shared" si="24"/>
        <v>1025</v>
      </c>
      <c r="N92" s="112"/>
      <c r="O92" s="112">
        <f t="shared" si="31"/>
        <v>0</v>
      </c>
      <c r="P92" s="112">
        <f t="shared" si="25"/>
        <v>1025</v>
      </c>
      <c r="Q92" s="112" t="s">
        <v>610</v>
      </c>
      <c r="R92" s="112"/>
      <c r="S92" s="112">
        <f t="shared" si="26"/>
        <v>0</v>
      </c>
      <c r="T92" s="112">
        <f t="shared" si="27"/>
        <v>0</v>
      </c>
      <c r="U92" s="4">
        <f t="shared" si="28"/>
        <v>0</v>
      </c>
      <c r="V92" s="4"/>
      <c r="W92" s="4">
        <f t="shared" si="29"/>
        <v>0</v>
      </c>
      <c r="X92" s="4"/>
      <c r="Y92" s="4"/>
      <c r="Z92" s="4"/>
      <c r="AA92" s="3"/>
      <c r="AB92" s="3" t="s">
        <v>752</v>
      </c>
      <c r="AC92" s="3">
        <v>930000</v>
      </c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48"/>
      <c r="AQ92" s="148"/>
      <c r="AR92" s="148"/>
      <c r="AS92" s="148"/>
      <c r="AT92" s="531"/>
      <c r="AU92" s="531"/>
      <c r="AV92" s="531"/>
      <c r="AW92" s="531"/>
      <c r="AX92" s="531"/>
      <c r="AY92" s="531"/>
      <c r="AZ92" s="531"/>
      <c r="BA92" s="148"/>
      <c r="BB92" s="123"/>
      <c r="BC92" s="123"/>
      <c r="BD92" s="123"/>
      <c r="BE92" s="123"/>
      <c r="BF92" s="123"/>
      <c r="BG92" s="123"/>
      <c r="BH92" s="256"/>
      <c r="BI92" s="256"/>
      <c r="BJ92" s="256"/>
      <c r="BK92" s="256"/>
      <c r="BL92" s="256"/>
      <c r="BM92" s="256"/>
      <c r="BN92" s="256"/>
      <c r="BO92" s="256"/>
      <c r="BP92" s="256"/>
    </row>
    <row r="93" spans="1:68" s="5" customFormat="1" ht="30" customHeight="1">
      <c r="A93" s="3">
        <f t="shared" si="30"/>
        <v>89</v>
      </c>
      <c r="B93" s="3">
        <v>20140</v>
      </c>
      <c r="C93" s="127" t="s">
        <v>802</v>
      </c>
      <c r="D93" s="112">
        <v>15000000</v>
      </c>
      <c r="E93" s="112">
        <v>6500000</v>
      </c>
      <c r="F93" s="112">
        <f t="shared" si="21"/>
        <v>8500000</v>
      </c>
      <c r="G93" s="112">
        <v>5510000</v>
      </c>
      <c r="H93" s="112">
        <v>0</v>
      </c>
      <c r="I93" s="112">
        <v>0</v>
      </c>
      <c r="J93" s="112">
        <v>5474044.2800000003</v>
      </c>
      <c r="K93" s="112">
        <f t="shared" si="22"/>
        <v>5474044.2800000003</v>
      </c>
      <c r="L93" s="112">
        <f t="shared" si="23"/>
        <v>5474044.2800000003</v>
      </c>
      <c r="M93" s="4">
        <f t="shared" si="24"/>
        <v>1025955.7199999997</v>
      </c>
      <c r="N93" s="4">
        <f>2500000</f>
        <v>2500000</v>
      </c>
      <c r="O93" s="112">
        <f t="shared" si="31"/>
        <v>6000000</v>
      </c>
      <c r="P93" s="112">
        <f t="shared" si="25"/>
        <v>35955.719999999739</v>
      </c>
      <c r="Q93" s="112"/>
      <c r="R93" s="112">
        <v>990000</v>
      </c>
      <c r="S93" s="112">
        <f t="shared" si="26"/>
        <v>990000</v>
      </c>
      <c r="T93" s="112">
        <f t="shared" si="27"/>
        <v>0</v>
      </c>
      <c r="U93" s="4">
        <f t="shared" si="28"/>
        <v>2500000</v>
      </c>
      <c r="V93" s="4"/>
      <c r="W93" s="4">
        <f t="shared" si="29"/>
        <v>2500000</v>
      </c>
      <c r="X93" s="4"/>
      <c r="Y93" s="4"/>
      <c r="Z93" s="4"/>
      <c r="AA93" s="3"/>
      <c r="AB93" s="3" t="s">
        <v>1498</v>
      </c>
      <c r="AC93" s="3">
        <v>742000</v>
      </c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48"/>
      <c r="AQ93" s="148"/>
      <c r="AR93" s="148"/>
      <c r="AS93" s="148"/>
      <c r="AT93" s="531"/>
      <c r="AU93" s="531"/>
      <c r="AV93" s="531"/>
      <c r="AW93" s="531"/>
      <c r="AX93" s="531"/>
      <c r="AY93" s="531"/>
      <c r="AZ93" s="531"/>
      <c r="BA93" s="148"/>
      <c r="BB93" s="123"/>
      <c r="BC93" s="123"/>
      <c r="BD93" s="123"/>
      <c r="BE93" s="123"/>
      <c r="BF93" s="123"/>
      <c r="BG93" s="123"/>
      <c r="BH93" s="256"/>
      <c r="BI93" s="256"/>
      <c r="BJ93" s="256"/>
      <c r="BK93" s="256"/>
      <c r="BL93" s="256"/>
      <c r="BM93" s="256"/>
      <c r="BN93" s="256"/>
      <c r="BO93" s="256"/>
      <c r="BP93" s="256"/>
    </row>
    <row r="94" spans="1:68" s="5" customFormat="1" ht="30" customHeight="1">
      <c r="A94" s="3">
        <f t="shared" si="30"/>
        <v>90</v>
      </c>
      <c r="B94" s="3">
        <v>20141</v>
      </c>
      <c r="C94" s="127" t="s">
        <v>803</v>
      </c>
      <c r="D94" s="112">
        <v>3200000</v>
      </c>
      <c r="E94" s="112">
        <v>3200000</v>
      </c>
      <c r="F94" s="112">
        <f t="shared" si="21"/>
        <v>0</v>
      </c>
      <c r="G94" s="112">
        <v>3200000</v>
      </c>
      <c r="H94" s="112">
        <v>447278</v>
      </c>
      <c r="I94" s="112">
        <v>0</v>
      </c>
      <c r="J94" s="112">
        <v>628926</v>
      </c>
      <c r="K94" s="112">
        <f t="shared" si="22"/>
        <v>628926</v>
      </c>
      <c r="L94" s="112">
        <f t="shared" si="23"/>
        <v>1076204</v>
      </c>
      <c r="M94" s="4">
        <f t="shared" si="24"/>
        <v>2123796</v>
      </c>
      <c r="N94" s="112"/>
      <c r="O94" s="112">
        <f t="shared" si="31"/>
        <v>0</v>
      </c>
      <c r="P94" s="112">
        <f t="shared" si="25"/>
        <v>2123796</v>
      </c>
      <c r="Q94" s="112"/>
      <c r="R94" s="112"/>
      <c r="S94" s="112">
        <f t="shared" si="26"/>
        <v>0</v>
      </c>
      <c r="T94" s="112">
        <f t="shared" si="27"/>
        <v>0</v>
      </c>
      <c r="U94" s="4">
        <f t="shared" si="28"/>
        <v>0</v>
      </c>
      <c r="V94" s="4"/>
      <c r="W94" s="4">
        <f t="shared" ref="W94:W101" si="32">U94-AA94-V94-Y94</f>
        <v>0</v>
      </c>
      <c r="X94" s="4"/>
      <c r="Y94" s="4"/>
      <c r="Z94" s="4"/>
      <c r="AA94" s="3"/>
      <c r="AB94" s="3" t="s">
        <v>1215</v>
      </c>
      <c r="AC94" s="3">
        <v>722000</v>
      </c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48"/>
      <c r="AQ94" s="148"/>
      <c r="AR94" s="148"/>
      <c r="AS94" s="148"/>
      <c r="AT94" s="531"/>
      <c r="AU94" s="531"/>
      <c r="AV94" s="531"/>
      <c r="AW94" s="531"/>
      <c r="AX94" s="531"/>
      <c r="AY94" s="531"/>
      <c r="AZ94" s="531"/>
      <c r="BA94" s="148"/>
      <c r="BB94" s="123"/>
      <c r="BC94" s="123"/>
      <c r="BD94" s="123"/>
      <c r="BE94" s="123"/>
      <c r="BF94" s="123"/>
      <c r="BG94" s="123"/>
      <c r="BH94" s="256"/>
      <c r="BI94" s="256"/>
      <c r="BJ94" s="256"/>
      <c r="BK94" s="256"/>
      <c r="BL94" s="256"/>
      <c r="BM94" s="256"/>
      <c r="BN94" s="256"/>
      <c r="BO94" s="256"/>
      <c r="BP94" s="256"/>
    </row>
    <row r="95" spans="1:68" s="5" customFormat="1" ht="30" customHeight="1">
      <c r="A95" s="3">
        <f t="shared" si="30"/>
        <v>91</v>
      </c>
      <c r="B95" s="3">
        <v>20143</v>
      </c>
      <c r="C95" s="127" t="s">
        <v>1223</v>
      </c>
      <c r="D95" s="112">
        <v>420000</v>
      </c>
      <c r="E95" s="112">
        <v>420000</v>
      </c>
      <c r="F95" s="112">
        <f t="shared" si="21"/>
        <v>0</v>
      </c>
      <c r="G95" s="112"/>
      <c r="H95" s="112">
        <v>0</v>
      </c>
      <c r="I95" s="112">
        <v>0</v>
      </c>
      <c r="J95" s="112">
        <v>0</v>
      </c>
      <c r="K95" s="112">
        <f t="shared" si="22"/>
        <v>0</v>
      </c>
      <c r="L95" s="112">
        <f t="shared" si="23"/>
        <v>0</v>
      </c>
      <c r="M95" s="4">
        <f t="shared" si="24"/>
        <v>420000</v>
      </c>
      <c r="N95" s="112"/>
      <c r="O95" s="112">
        <f t="shared" si="31"/>
        <v>0</v>
      </c>
      <c r="P95" s="112">
        <f t="shared" si="25"/>
        <v>0</v>
      </c>
      <c r="Q95" s="112"/>
      <c r="R95" s="112">
        <v>420000</v>
      </c>
      <c r="S95" s="112">
        <f t="shared" si="26"/>
        <v>420000</v>
      </c>
      <c r="T95" s="112">
        <f t="shared" si="27"/>
        <v>0</v>
      </c>
      <c r="U95" s="4">
        <f t="shared" si="28"/>
        <v>0</v>
      </c>
      <c r="V95" s="4"/>
      <c r="W95" s="4">
        <f t="shared" si="32"/>
        <v>0</v>
      </c>
      <c r="X95" s="4"/>
      <c r="Y95" s="4"/>
      <c r="Z95" s="4"/>
      <c r="AA95" s="3"/>
      <c r="AB95" s="3" t="s">
        <v>1324</v>
      </c>
      <c r="AC95" s="3">
        <v>826000</v>
      </c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48"/>
      <c r="AQ95" s="148"/>
      <c r="AR95" s="148"/>
      <c r="AS95" s="148"/>
      <c r="AT95" s="531"/>
      <c r="AU95" s="531"/>
      <c r="AV95" s="531"/>
      <c r="AW95" s="531"/>
      <c r="AX95" s="531"/>
      <c r="AY95" s="531"/>
      <c r="AZ95" s="531"/>
      <c r="BA95" s="148"/>
      <c r="BB95" s="123"/>
      <c r="BC95" s="123"/>
      <c r="BD95" s="123"/>
      <c r="BE95" s="123"/>
      <c r="BF95" s="123"/>
      <c r="BG95" s="123"/>
      <c r="BH95" s="256"/>
      <c r="BI95" s="256"/>
      <c r="BJ95" s="256"/>
      <c r="BK95" s="256"/>
      <c r="BL95" s="256"/>
      <c r="BM95" s="256"/>
      <c r="BN95" s="256"/>
      <c r="BO95" s="256"/>
      <c r="BP95" s="256"/>
    </row>
    <row r="96" spans="1:68" s="5" customFormat="1" ht="60">
      <c r="A96" s="3">
        <f t="shared" si="30"/>
        <v>92</v>
      </c>
      <c r="B96" s="19">
        <v>20161</v>
      </c>
      <c r="C96" s="127" t="s">
        <v>1216</v>
      </c>
      <c r="D96" s="112">
        <v>3000000</v>
      </c>
      <c r="E96" s="112"/>
      <c r="F96" s="112">
        <f t="shared" ref="F96:F101" si="33">D96-E96</f>
        <v>3000000</v>
      </c>
      <c r="G96" s="112">
        <v>0</v>
      </c>
      <c r="H96" s="112"/>
      <c r="I96" s="112"/>
      <c r="J96" s="112"/>
      <c r="K96" s="112">
        <f t="shared" ref="K96:K101" si="34">I96+J96</f>
        <v>0</v>
      </c>
      <c r="L96" s="112">
        <f t="shared" ref="L96:L101" si="35">H96+K96</f>
        <v>0</v>
      </c>
      <c r="M96" s="112">
        <f t="shared" ref="M96:M101" si="36">P96+S96</f>
        <v>0</v>
      </c>
      <c r="N96" s="112">
        <f>1000000-700000-100000</f>
        <v>200000</v>
      </c>
      <c r="O96" s="112">
        <f t="shared" ref="O96:O98" si="37">D96-L96-M96-N96</f>
        <v>2800000</v>
      </c>
      <c r="P96" s="112">
        <f t="shared" ref="P96:P101" si="38">G96-L96</f>
        <v>0</v>
      </c>
      <c r="Q96" s="112"/>
      <c r="R96" s="112"/>
      <c r="S96" s="112">
        <f t="shared" ref="S96:S101" si="39">SUM(Q96:R96)</f>
        <v>0</v>
      </c>
      <c r="T96" s="112">
        <f t="shared" ref="T96:T101" si="40">P96-M96+S96</f>
        <v>0</v>
      </c>
      <c r="U96" s="112">
        <f t="shared" ref="U96:U101" si="41">N96-T96</f>
        <v>200000</v>
      </c>
      <c r="V96" s="112"/>
      <c r="W96" s="4">
        <f t="shared" si="32"/>
        <v>200000</v>
      </c>
      <c r="X96" s="112"/>
      <c r="Y96" s="112"/>
      <c r="Z96" s="112"/>
      <c r="AA96" s="112"/>
      <c r="AB96" s="3" t="s">
        <v>1217</v>
      </c>
      <c r="AC96" s="3">
        <v>746000</v>
      </c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48"/>
      <c r="AQ96" s="148"/>
      <c r="AR96" s="148"/>
      <c r="AS96" s="148"/>
      <c r="AT96" s="531"/>
      <c r="AU96" s="123"/>
      <c r="AV96" s="123"/>
      <c r="AW96" s="123"/>
      <c r="AX96" s="123"/>
      <c r="AY96" s="123"/>
      <c r="AZ96" s="123"/>
      <c r="BA96" s="123"/>
      <c r="BB96" s="123"/>
      <c r="BC96" s="256"/>
      <c r="BD96" s="256"/>
      <c r="BE96" s="256"/>
      <c r="BF96" s="256"/>
      <c r="BG96" s="256"/>
      <c r="BH96" s="256"/>
      <c r="BI96" s="256"/>
      <c r="BJ96" s="256"/>
      <c r="BK96" s="256"/>
    </row>
    <row r="97" spans="1:68" s="5" customFormat="1" ht="30" customHeight="1">
      <c r="A97" s="3">
        <f t="shared" si="30"/>
        <v>93</v>
      </c>
      <c r="B97" s="19">
        <v>20162</v>
      </c>
      <c r="C97" s="127" t="s">
        <v>1218</v>
      </c>
      <c r="D97" s="112">
        <f>2100000+3900000</f>
        <v>6000000</v>
      </c>
      <c r="E97" s="112"/>
      <c r="F97" s="112">
        <f t="shared" si="33"/>
        <v>6000000</v>
      </c>
      <c r="G97" s="112">
        <v>0</v>
      </c>
      <c r="H97" s="112"/>
      <c r="I97" s="112"/>
      <c r="J97" s="112"/>
      <c r="K97" s="112">
        <f t="shared" si="34"/>
        <v>0</v>
      </c>
      <c r="L97" s="112">
        <f t="shared" si="35"/>
        <v>0</v>
      </c>
      <c r="M97" s="112">
        <f t="shared" si="36"/>
        <v>0</v>
      </c>
      <c r="N97" s="112">
        <f>2100000+3900000-5000000</f>
        <v>1000000</v>
      </c>
      <c r="O97" s="112">
        <f t="shared" si="37"/>
        <v>5000000</v>
      </c>
      <c r="P97" s="112">
        <f t="shared" si="38"/>
        <v>0</v>
      </c>
      <c r="Q97" s="112"/>
      <c r="R97" s="112"/>
      <c r="S97" s="112">
        <f t="shared" si="39"/>
        <v>0</v>
      </c>
      <c r="T97" s="112">
        <f t="shared" si="40"/>
        <v>0</v>
      </c>
      <c r="U97" s="112">
        <f t="shared" si="41"/>
        <v>1000000</v>
      </c>
      <c r="V97" s="112"/>
      <c r="W97" s="4">
        <f t="shared" si="32"/>
        <v>1000000</v>
      </c>
      <c r="X97" s="112"/>
      <c r="Y97" s="112"/>
      <c r="Z97" s="112"/>
      <c r="AA97" s="112"/>
      <c r="AB97" s="3" t="s">
        <v>1272</v>
      </c>
      <c r="AC97" s="3">
        <v>824000</v>
      </c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48"/>
      <c r="AQ97" s="148"/>
      <c r="AR97" s="148"/>
      <c r="AS97" s="148"/>
      <c r="AT97" s="531"/>
      <c r="AU97" s="123"/>
      <c r="AV97" s="123"/>
      <c r="AW97" s="123"/>
      <c r="AX97" s="123"/>
      <c r="AY97" s="123"/>
      <c r="AZ97" s="123"/>
      <c r="BA97" s="123"/>
      <c r="BB97" s="123"/>
      <c r="BC97" s="256"/>
      <c r="BD97" s="256"/>
      <c r="BE97" s="256"/>
      <c r="BF97" s="256"/>
      <c r="BG97" s="256"/>
      <c r="BH97" s="256"/>
      <c r="BI97" s="256"/>
      <c r="BJ97" s="256"/>
      <c r="BK97" s="256"/>
    </row>
    <row r="98" spans="1:68" s="5" customFormat="1" ht="30" customHeight="1">
      <c r="A98" s="3">
        <f t="shared" si="30"/>
        <v>94</v>
      </c>
      <c r="B98" s="19">
        <v>20163</v>
      </c>
      <c r="C98" s="127" t="s">
        <v>1219</v>
      </c>
      <c r="D98" s="112">
        <v>2600000</v>
      </c>
      <c r="E98" s="112"/>
      <c r="F98" s="112">
        <f t="shared" si="33"/>
        <v>2600000</v>
      </c>
      <c r="G98" s="112">
        <v>0</v>
      </c>
      <c r="H98" s="112"/>
      <c r="I98" s="112"/>
      <c r="J98" s="112"/>
      <c r="K98" s="112">
        <f t="shared" si="34"/>
        <v>0</v>
      </c>
      <c r="L98" s="112">
        <f t="shared" si="35"/>
        <v>0</v>
      </c>
      <c r="M98" s="112">
        <f t="shared" si="36"/>
        <v>0</v>
      </c>
      <c r="N98" s="112">
        <f>2600000-1800000</f>
        <v>800000</v>
      </c>
      <c r="O98" s="112">
        <f t="shared" si="37"/>
        <v>1800000</v>
      </c>
      <c r="P98" s="112">
        <f t="shared" si="38"/>
        <v>0</v>
      </c>
      <c r="Q98" s="112"/>
      <c r="R98" s="112"/>
      <c r="S98" s="112">
        <f t="shared" si="39"/>
        <v>0</v>
      </c>
      <c r="T98" s="112">
        <f t="shared" si="40"/>
        <v>0</v>
      </c>
      <c r="U98" s="112">
        <f t="shared" si="41"/>
        <v>800000</v>
      </c>
      <c r="V98" s="112"/>
      <c r="W98" s="4">
        <f t="shared" si="32"/>
        <v>800000</v>
      </c>
      <c r="X98" s="112"/>
      <c r="Y98" s="112"/>
      <c r="Z98" s="112"/>
      <c r="AA98" s="112"/>
      <c r="AB98" s="3" t="s">
        <v>1273</v>
      </c>
      <c r="AC98" s="3">
        <v>930000</v>
      </c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48"/>
      <c r="AQ98" s="148"/>
      <c r="AR98" s="148"/>
      <c r="AS98" s="148"/>
      <c r="AT98" s="531"/>
      <c r="AU98" s="123"/>
      <c r="AV98" s="123"/>
      <c r="AW98" s="123"/>
      <c r="AX98" s="123"/>
      <c r="AY98" s="123"/>
      <c r="AZ98" s="123"/>
      <c r="BA98" s="123"/>
      <c r="BB98" s="123"/>
      <c r="BC98" s="256"/>
      <c r="BD98" s="256"/>
      <c r="BE98" s="256"/>
      <c r="BF98" s="256"/>
      <c r="BG98" s="256"/>
      <c r="BH98" s="256"/>
      <c r="BI98" s="256"/>
      <c r="BJ98" s="256"/>
      <c r="BK98" s="256"/>
    </row>
    <row r="99" spans="1:68" s="5" customFormat="1" ht="30" customHeight="1">
      <c r="A99" s="3">
        <f t="shared" si="30"/>
        <v>95</v>
      </c>
      <c r="B99" s="19">
        <v>20164</v>
      </c>
      <c r="C99" s="127" t="s">
        <v>1238</v>
      </c>
      <c r="D99" s="112">
        <v>147362</v>
      </c>
      <c r="E99" s="112"/>
      <c r="F99" s="112">
        <f t="shared" ref="F99:F100" si="42">D99-E99</f>
        <v>147362</v>
      </c>
      <c r="G99" s="112">
        <v>0</v>
      </c>
      <c r="H99" s="112"/>
      <c r="I99" s="112"/>
      <c r="J99" s="112"/>
      <c r="K99" s="112">
        <f t="shared" ref="K99:K100" si="43">I99+J99</f>
        <v>0</v>
      </c>
      <c r="L99" s="112">
        <f t="shared" ref="L99:L100" si="44">H99+K99</f>
        <v>0</v>
      </c>
      <c r="M99" s="112">
        <f t="shared" ref="M99:M100" si="45">P99+S99</f>
        <v>0</v>
      </c>
      <c r="N99" s="112">
        <v>147362</v>
      </c>
      <c r="O99" s="112">
        <f t="shared" ref="O99:O101" si="46">D99-L99-M99-N99</f>
        <v>0</v>
      </c>
      <c r="P99" s="112">
        <f t="shared" ref="P99:P100" si="47">G99-L99</f>
        <v>0</v>
      </c>
      <c r="Q99" s="112"/>
      <c r="R99" s="112"/>
      <c r="S99" s="112">
        <f t="shared" ref="S99:S100" si="48">SUM(Q99:R99)</f>
        <v>0</v>
      </c>
      <c r="T99" s="112">
        <f t="shared" ref="T99:T100" si="49">P99-M99+S99</f>
        <v>0</v>
      </c>
      <c r="U99" s="112">
        <f t="shared" ref="U99:U100" si="50">N99-T99</f>
        <v>147362</v>
      </c>
      <c r="V99" s="112"/>
      <c r="W99" s="4">
        <f t="shared" si="32"/>
        <v>0</v>
      </c>
      <c r="X99" s="112"/>
      <c r="Y99" s="112"/>
      <c r="Z99" s="112"/>
      <c r="AA99" s="112">
        <v>147362</v>
      </c>
      <c r="AB99" s="3" t="s">
        <v>1239</v>
      </c>
      <c r="AC99" s="3">
        <v>747000</v>
      </c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48"/>
      <c r="AQ99" s="148"/>
      <c r="AR99" s="148"/>
      <c r="AS99" s="148"/>
      <c r="AT99" s="531"/>
      <c r="AU99" s="123"/>
      <c r="AV99" s="123"/>
      <c r="AW99" s="123"/>
      <c r="AX99" s="123"/>
      <c r="AY99" s="123"/>
      <c r="AZ99" s="123"/>
      <c r="BA99" s="123"/>
      <c r="BB99" s="123"/>
      <c r="BC99" s="256"/>
      <c r="BD99" s="256"/>
      <c r="BE99" s="256"/>
      <c r="BF99" s="256"/>
      <c r="BG99" s="256"/>
      <c r="BH99" s="256"/>
      <c r="BI99" s="256"/>
      <c r="BJ99" s="256"/>
      <c r="BK99" s="256"/>
    </row>
    <row r="100" spans="1:68" s="5" customFormat="1" ht="45">
      <c r="A100" s="3">
        <f t="shared" si="30"/>
        <v>96</v>
      </c>
      <c r="B100" s="19">
        <v>20165</v>
      </c>
      <c r="C100" s="127" t="s">
        <v>1221</v>
      </c>
      <c r="D100" s="112">
        <f>1000000+5000</f>
        <v>1005000</v>
      </c>
      <c r="E100" s="112"/>
      <c r="F100" s="112">
        <f t="shared" si="42"/>
        <v>1005000</v>
      </c>
      <c r="G100" s="112">
        <v>0</v>
      </c>
      <c r="H100" s="112"/>
      <c r="I100" s="112"/>
      <c r="J100" s="112"/>
      <c r="K100" s="112">
        <f t="shared" si="43"/>
        <v>0</v>
      </c>
      <c r="L100" s="112">
        <f t="shared" si="44"/>
        <v>0</v>
      </c>
      <c r="M100" s="112">
        <f t="shared" si="45"/>
        <v>0</v>
      </c>
      <c r="N100" s="112">
        <f>1000000+5000</f>
        <v>1005000</v>
      </c>
      <c r="O100" s="112">
        <f t="shared" ref="O100" si="51">D100-L100-M100-N100</f>
        <v>0</v>
      </c>
      <c r="P100" s="112">
        <f t="shared" si="47"/>
        <v>0</v>
      </c>
      <c r="Q100" s="112"/>
      <c r="R100" s="112"/>
      <c r="S100" s="112">
        <f t="shared" si="48"/>
        <v>0</v>
      </c>
      <c r="T100" s="112">
        <f t="shared" si="49"/>
        <v>0</v>
      </c>
      <c r="U100" s="112">
        <f t="shared" si="50"/>
        <v>1005000</v>
      </c>
      <c r="V100" s="112"/>
      <c r="W100" s="4">
        <f t="shared" si="32"/>
        <v>255000</v>
      </c>
      <c r="X100" s="112"/>
      <c r="Y100" s="112"/>
      <c r="Z100" s="112"/>
      <c r="AA100" s="112">
        <v>750000</v>
      </c>
      <c r="AB100" s="3" t="s">
        <v>1224</v>
      </c>
      <c r="AC100" s="3">
        <v>829000</v>
      </c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48"/>
      <c r="AQ100" s="148"/>
      <c r="AR100" s="148"/>
      <c r="AS100" s="148"/>
      <c r="AT100" s="531"/>
      <c r="AU100" s="123"/>
      <c r="AV100" s="123"/>
      <c r="AW100" s="123"/>
      <c r="AX100" s="123"/>
      <c r="AY100" s="123"/>
      <c r="AZ100" s="123"/>
      <c r="BA100" s="123"/>
      <c r="BB100" s="123"/>
      <c r="BC100" s="256"/>
      <c r="BD100" s="256"/>
      <c r="BE100" s="256"/>
      <c r="BF100" s="256"/>
      <c r="BG100" s="256"/>
      <c r="BH100" s="256"/>
      <c r="BI100" s="256"/>
      <c r="BJ100" s="256"/>
      <c r="BK100" s="256"/>
    </row>
    <row r="101" spans="1:68" s="5" customFormat="1" ht="30">
      <c r="A101" s="3">
        <f t="shared" si="30"/>
        <v>97</v>
      </c>
      <c r="B101" s="19">
        <v>20166</v>
      </c>
      <c r="C101" s="127" t="s">
        <v>1341</v>
      </c>
      <c r="D101" s="112">
        <v>720000</v>
      </c>
      <c r="E101" s="112"/>
      <c r="F101" s="112">
        <f t="shared" si="33"/>
        <v>720000</v>
      </c>
      <c r="G101" s="112">
        <v>0</v>
      </c>
      <c r="H101" s="112"/>
      <c r="I101" s="112"/>
      <c r="J101" s="112"/>
      <c r="K101" s="112">
        <f t="shared" si="34"/>
        <v>0</v>
      </c>
      <c r="L101" s="112">
        <f t="shared" si="35"/>
        <v>0</v>
      </c>
      <c r="M101" s="112">
        <f t="shared" si="36"/>
        <v>0</v>
      </c>
      <c r="N101" s="112">
        <v>720000</v>
      </c>
      <c r="O101" s="112">
        <f t="shared" si="46"/>
        <v>0</v>
      </c>
      <c r="P101" s="112">
        <f t="shared" si="38"/>
        <v>0</v>
      </c>
      <c r="Q101" s="112"/>
      <c r="R101" s="112"/>
      <c r="S101" s="112">
        <f t="shared" si="39"/>
        <v>0</v>
      </c>
      <c r="T101" s="112">
        <f t="shared" si="40"/>
        <v>0</v>
      </c>
      <c r="U101" s="112">
        <f t="shared" si="41"/>
        <v>720000</v>
      </c>
      <c r="V101" s="112"/>
      <c r="W101" s="4">
        <f t="shared" si="32"/>
        <v>720000</v>
      </c>
      <c r="X101" s="112"/>
      <c r="Y101" s="112"/>
      <c r="Z101" s="112"/>
      <c r="AA101" s="112"/>
      <c r="AB101" s="3" t="s">
        <v>1487</v>
      </c>
      <c r="AC101" s="3">
        <v>824000</v>
      </c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48"/>
      <c r="AQ101" s="148"/>
      <c r="AR101" s="148"/>
      <c r="AS101" s="148"/>
      <c r="AT101" s="531"/>
      <c r="AU101" s="123"/>
      <c r="AV101" s="123"/>
      <c r="AW101" s="123"/>
      <c r="AX101" s="123"/>
      <c r="AY101" s="123"/>
      <c r="AZ101" s="123"/>
      <c r="BA101" s="123"/>
      <c r="BB101" s="123"/>
      <c r="BC101" s="256"/>
      <c r="BD101" s="256"/>
      <c r="BE101" s="256"/>
      <c r="BF101" s="256"/>
      <c r="BG101" s="256"/>
      <c r="BH101" s="256"/>
      <c r="BI101" s="256"/>
      <c r="BJ101" s="256"/>
      <c r="BK101" s="256"/>
    </row>
    <row r="102" spans="1:68" s="40" customFormat="1" ht="30" customHeight="1">
      <c r="A102" s="236">
        <f>COUNT(A5:A101)</f>
        <v>97</v>
      </c>
      <c r="B102" s="20"/>
      <c r="C102" s="208" t="s">
        <v>141</v>
      </c>
      <c r="D102" s="236">
        <f>SUM(D5:D101)</f>
        <v>981592458</v>
      </c>
      <c r="E102" s="236">
        <f t="shared" ref="E102:AA102" si="52">SUM(E5:E101)</f>
        <v>888699701</v>
      </c>
      <c r="F102" s="236">
        <f t="shared" si="52"/>
        <v>92892757</v>
      </c>
      <c r="G102" s="236">
        <f t="shared" si="52"/>
        <v>698486460</v>
      </c>
      <c r="H102" s="236">
        <f t="shared" si="52"/>
        <v>603231464.38</v>
      </c>
      <c r="I102" s="236">
        <f t="shared" si="52"/>
        <v>309239</v>
      </c>
      <c r="J102" s="236">
        <f t="shared" si="52"/>
        <v>59217192.870000012</v>
      </c>
      <c r="K102" s="236">
        <f t="shared" si="52"/>
        <v>59526431.870000012</v>
      </c>
      <c r="L102" s="236">
        <f t="shared" si="52"/>
        <v>662757896.24999988</v>
      </c>
      <c r="M102" s="236">
        <f t="shared" si="52"/>
        <v>40863563.749999985</v>
      </c>
      <c r="N102" s="236">
        <f t="shared" si="52"/>
        <v>50606362</v>
      </c>
      <c r="O102" s="236">
        <f t="shared" si="52"/>
        <v>227364636</v>
      </c>
      <c r="P102" s="236">
        <f t="shared" si="52"/>
        <v>35728563.749999985</v>
      </c>
      <c r="Q102" s="236">
        <f t="shared" si="52"/>
        <v>2875000</v>
      </c>
      <c r="R102" s="236">
        <f t="shared" si="52"/>
        <v>2260000</v>
      </c>
      <c r="S102" s="236">
        <f t="shared" si="52"/>
        <v>5135000</v>
      </c>
      <c r="T102" s="236">
        <f t="shared" si="52"/>
        <v>0</v>
      </c>
      <c r="U102" s="236">
        <f t="shared" si="52"/>
        <v>50606362</v>
      </c>
      <c r="V102" s="236">
        <f t="shared" si="52"/>
        <v>0</v>
      </c>
      <c r="W102" s="236">
        <f t="shared" si="52"/>
        <v>34709000</v>
      </c>
      <c r="X102" s="236">
        <f t="shared" si="52"/>
        <v>0</v>
      </c>
      <c r="Y102" s="236">
        <f t="shared" si="52"/>
        <v>0</v>
      </c>
      <c r="Z102" s="236">
        <f t="shared" si="52"/>
        <v>0</v>
      </c>
      <c r="AA102" s="236">
        <f t="shared" si="52"/>
        <v>15897362</v>
      </c>
      <c r="AB102" s="20"/>
      <c r="AC102" s="20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48"/>
      <c r="AQ102" s="148"/>
      <c r="AR102" s="148"/>
      <c r="AS102" s="148"/>
      <c r="AT102" s="531"/>
      <c r="AU102" s="232"/>
      <c r="AV102" s="232"/>
      <c r="AW102" s="232"/>
      <c r="AX102" s="232"/>
      <c r="AY102" s="232"/>
      <c r="AZ102" s="232"/>
      <c r="BA102" s="232"/>
      <c r="BB102" s="232"/>
      <c r="BC102" s="312"/>
      <c r="BD102" s="312"/>
      <c r="BE102" s="312"/>
      <c r="BF102" s="312"/>
      <c r="BG102" s="312"/>
      <c r="BH102" s="312"/>
      <c r="BI102" s="312"/>
      <c r="BJ102" s="312"/>
      <c r="BK102" s="312"/>
    </row>
    <row r="103" spans="1:68" s="40" customFormat="1" ht="25.15" hidden="1" customHeight="1">
      <c r="A103" s="500"/>
      <c r="C103" s="225"/>
      <c r="D103" s="306">
        <f>SUM(L102:O102)</f>
        <v>981592457.99999988</v>
      </c>
      <c r="E103" s="124"/>
      <c r="F103" s="124">
        <f>D102-E102</f>
        <v>92892757</v>
      </c>
      <c r="G103" s="124"/>
      <c r="H103" s="124"/>
      <c r="I103" s="124"/>
      <c r="J103" s="124"/>
      <c r="K103" s="124"/>
      <c r="L103" s="306">
        <f>H102+K102</f>
        <v>662757896.25</v>
      </c>
      <c r="M103" s="124"/>
      <c r="N103" s="124"/>
      <c r="O103" s="124"/>
      <c r="P103" s="306">
        <f>G102-L103</f>
        <v>35728563.75</v>
      </c>
      <c r="Q103" s="306">
        <f>'ריכוז אגפים 2024'!AV9</f>
        <v>2875000</v>
      </c>
      <c r="R103" s="306">
        <f>'עדכוני תקציב 2024'!AE116</f>
        <v>2260000</v>
      </c>
      <c r="S103" s="124"/>
      <c r="T103" s="306">
        <f>P103+S102-M102</f>
        <v>0</v>
      </c>
      <c r="U103" s="306">
        <f>N102-T103</f>
        <v>50606362</v>
      </c>
      <c r="V103" s="500"/>
      <c r="W103" s="500"/>
      <c r="X103" s="500"/>
      <c r="Y103" s="500"/>
      <c r="Z103" s="500"/>
      <c r="AA103" s="500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48"/>
      <c r="AQ103" s="148"/>
      <c r="AR103" s="148"/>
      <c r="AS103" s="148"/>
      <c r="AT103" s="531"/>
      <c r="AU103" s="531"/>
      <c r="AV103" s="531"/>
      <c r="AW103" s="531"/>
      <c r="AX103" s="531"/>
      <c r="AY103" s="531"/>
      <c r="AZ103" s="531"/>
      <c r="BA103" s="148"/>
      <c r="BB103" s="232"/>
      <c r="BC103" s="232"/>
      <c r="BD103" s="232"/>
      <c r="BE103" s="232"/>
      <c r="BF103" s="232"/>
      <c r="BG103" s="232"/>
      <c r="BH103" s="312"/>
      <c r="BI103" s="312"/>
      <c r="BJ103" s="312"/>
      <c r="BK103" s="312"/>
      <c r="BL103" s="312"/>
      <c r="BM103" s="312"/>
      <c r="BN103" s="312"/>
      <c r="BO103" s="312"/>
      <c r="BP103" s="312"/>
    </row>
    <row r="106" spans="1:68" s="596" customFormat="1">
      <c r="AD106" s="678"/>
      <c r="AE106" s="678"/>
      <c r="AF106" s="678"/>
      <c r="AG106" s="678"/>
      <c r="AH106" s="678"/>
      <c r="AI106" s="678"/>
      <c r="AJ106" s="678"/>
      <c r="AK106" s="678"/>
      <c r="AL106" s="678"/>
      <c r="AM106" s="678"/>
      <c r="AN106" s="678"/>
      <c r="AO106" s="678"/>
      <c r="AT106" s="523"/>
      <c r="AU106" s="523"/>
      <c r="AV106" s="523"/>
      <c r="AW106" s="523"/>
      <c r="AX106" s="523"/>
      <c r="AY106" s="523"/>
      <c r="AZ106" s="523"/>
    </row>
  </sheetData>
  <sortState xmlns:xlrd2="http://schemas.microsoft.com/office/spreadsheetml/2017/richdata2" ref="A5:BP95">
    <sortCondition ref="B5:B95"/>
  </sortState>
  <conditionalFormatting sqref="AB4 AS4 AZ104:AZ1048576 AZ1:AZ19 AM4 AE5:AE6 AH5:AO6 AZ21:AZ93">
    <cfRule type="cellIs" dxfId="412" priority="36" operator="equal">
      <formula>0</formula>
    </cfRule>
  </conditionalFormatting>
  <conditionalFormatting sqref="AY4">
    <cfRule type="cellIs" dxfId="411" priority="34" operator="equal">
      <formula>0</formula>
    </cfRule>
  </conditionalFormatting>
  <conditionalFormatting sqref="AZ94">
    <cfRule type="cellIs" dxfId="410" priority="33" operator="equal">
      <formula>0</formula>
    </cfRule>
  </conditionalFormatting>
  <conditionalFormatting sqref="AZ95">
    <cfRule type="cellIs" dxfId="409" priority="32" operator="equal">
      <formula>0</formula>
    </cfRule>
  </conditionalFormatting>
  <conditionalFormatting sqref="AQ4">
    <cfRule type="cellIs" dxfId="408" priority="31" operator="equal">
      <formula>0</formula>
    </cfRule>
  </conditionalFormatting>
  <conditionalFormatting sqref="AR4">
    <cfRule type="cellIs" dxfId="407" priority="30" operator="equal">
      <formula>0</formula>
    </cfRule>
  </conditionalFormatting>
  <conditionalFormatting sqref="AP4">
    <cfRule type="cellIs" dxfId="406" priority="29" operator="equal">
      <formula>0</formula>
    </cfRule>
  </conditionalFormatting>
  <conditionalFormatting sqref="AJ4">
    <cfRule type="cellIs" dxfId="405" priority="25" operator="equal">
      <formula>0</formula>
    </cfRule>
  </conditionalFormatting>
  <conditionalFormatting sqref="AZ20">
    <cfRule type="cellIs" dxfId="404" priority="22" operator="equal">
      <formula>0</formula>
    </cfRule>
  </conditionalFormatting>
  <conditionalFormatting sqref="AO9">
    <cfRule type="cellIs" dxfId="403" priority="12" operator="equal">
      <formula>0</formula>
    </cfRule>
  </conditionalFormatting>
  <conditionalFormatting sqref="AN4">
    <cfRule type="cellIs" dxfId="402" priority="11" operator="equal">
      <formula>0</formula>
    </cfRule>
  </conditionalFormatting>
  <conditionalFormatting sqref="AE9">
    <cfRule type="cellIs" dxfId="401" priority="9" operator="equal">
      <formula>0</formula>
    </cfRule>
  </conditionalFormatting>
  <conditionalFormatting sqref="AF4">
    <cfRule type="cellIs" dxfId="400" priority="8" operator="equal">
      <formula>0</formula>
    </cfRule>
  </conditionalFormatting>
  <conditionalFormatting sqref="AH9:AO9">
    <cfRule type="cellIs" dxfId="399" priority="5" operator="equal">
      <formula>0</formula>
    </cfRule>
  </conditionalFormatting>
  <conditionalFormatting sqref="AH4:AO4">
    <cfRule type="cellIs" dxfId="398" priority="4" operator="equal">
      <formula>0</formula>
    </cfRule>
  </conditionalFormatting>
  <conditionalFormatting sqref="AG4">
    <cfRule type="cellIs" dxfId="397" priority="2" operator="equal">
      <formula>0</formula>
    </cfRule>
  </conditionalFormatting>
  <conditionalFormatting sqref="AZ103">
    <cfRule type="cellIs" dxfId="396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45"/>
  <sheetViews>
    <sheetView showZeros="0" rightToLeft="1" zoomScaleNormal="100" workbookViewId="0">
      <selection activeCell="U4" sqref="U4"/>
    </sheetView>
  </sheetViews>
  <sheetFormatPr defaultColWidth="9.140625" defaultRowHeight="14.25"/>
  <cols>
    <col min="1" max="2" width="4.140625" style="63" customWidth="1"/>
    <col min="3" max="3" width="56.85546875" style="63" customWidth="1"/>
    <col min="4" max="4" width="9.140625" style="63"/>
    <col min="5" max="5" width="15.7109375" style="63" customWidth="1"/>
    <col min="6" max="8" width="9.140625" style="63"/>
    <col min="9" max="9" width="7.85546875" style="63" customWidth="1"/>
    <col min="10" max="16384" width="9.140625" style="63"/>
  </cols>
  <sheetData>
    <row r="3" spans="1:16" ht="20.25">
      <c r="C3" s="64"/>
    </row>
    <row r="4" spans="1:16" ht="15.75">
      <c r="A4" s="65" t="s">
        <v>119</v>
      </c>
      <c r="B4" s="65" t="s">
        <v>119</v>
      </c>
      <c r="C4" s="66" t="s">
        <v>120</v>
      </c>
    </row>
    <row r="5" spans="1:16" ht="15.75">
      <c r="A5" s="65"/>
      <c r="B5" s="65"/>
      <c r="C5" s="66"/>
    </row>
    <row r="6" spans="1:16" ht="15.75">
      <c r="A6" s="65">
        <v>1.1000000000000001</v>
      </c>
      <c r="B6" s="65"/>
      <c r="C6" s="67" t="s">
        <v>121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15.75">
      <c r="A7" s="65"/>
      <c r="B7" s="65"/>
      <c r="C7" s="65" t="s">
        <v>122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15.75">
      <c r="A8" s="65"/>
      <c r="B8" s="65"/>
      <c r="C8" s="65" t="s">
        <v>336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5.75">
      <c r="A9" s="65"/>
      <c r="B9" s="65"/>
      <c r="C9" s="65" t="s">
        <v>335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ht="15.7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6" ht="15.75">
      <c r="A11" s="65"/>
      <c r="B11" s="65"/>
      <c r="C11" s="65" t="s">
        <v>123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>
      <c r="A12" s="68"/>
      <c r="B12" s="68" t="s">
        <v>105</v>
      </c>
      <c r="C12" s="65" t="s">
        <v>124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15.75">
      <c r="A13" s="65"/>
      <c r="B13" s="68" t="s">
        <v>105</v>
      </c>
      <c r="C13" s="65" t="s">
        <v>400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  <row r="14" spans="1:16" ht="15.75">
      <c r="A14" s="65"/>
      <c r="B14" s="68" t="s">
        <v>105</v>
      </c>
      <c r="C14" s="65" t="s">
        <v>125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</row>
    <row r="15" spans="1:16" ht="15.75">
      <c r="A15" s="65"/>
      <c r="B15" s="65"/>
      <c r="C15" s="65" t="s">
        <v>126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</row>
    <row r="16" spans="1:16" ht="15.75">
      <c r="A16" s="65"/>
      <c r="B16" s="68" t="s">
        <v>105</v>
      </c>
      <c r="C16" s="65" t="s">
        <v>127</v>
      </c>
      <c r="D16" s="65"/>
      <c r="E16" s="65"/>
      <c r="F16" s="65"/>
      <c r="G16" s="65"/>
      <c r="H16" s="65"/>
      <c r="I16" s="65"/>
      <c r="J16" s="67"/>
      <c r="K16" s="65"/>
      <c r="L16" s="65"/>
      <c r="M16" s="65"/>
      <c r="N16" s="65"/>
      <c r="O16" s="65"/>
      <c r="P16" s="65"/>
    </row>
    <row r="17" spans="1:16" ht="15.7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1:16" ht="15.75">
      <c r="A18" s="65">
        <v>1.2</v>
      </c>
      <c r="B18" s="65"/>
      <c r="C18" s="67" t="s">
        <v>128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ht="15.75">
      <c r="A19" s="65"/>
      <c r="B19" s="65"/>
      <c r="C19" s="65" t="s">
        <v>129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0" spans="1:16" ht="15.75">
      <c r="A20" s="65"/>
      <c r="B20" s="65"/>
      <c r="C20" s="65" t="s">
        <v>333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ht="15.75">
      <c r="A21" s="65"/>
      <c r="B21" s="65"/>
      <c r="C21" s="65" t="s">
        <v>334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 ht="15.75">
      <c r="A22" s="65"/>
      <c r="B22" s="65"/>
      <c r="C22" s="65" t="s">
        <v>130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</row>
    <row r="23" spans="1:16" ht="15.7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ht="15.75">
      <c r="A24" s="65">
        <v>1.3</v>
      </c>
      <c r="B24" s="65"/>
      <c r="C24" s="67" t="s">
        <v>131</v>
      </c>
      <c r="D24" s="65"/>
      <c r="E24" s="66" t="s">
        <v>132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6" ht="15.75">
      <c r="A25" s="65"/>
      <c r="B25" s="65"/>
      <c r="C25" s="67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  <row r="26" spans="1:16" ht="16.5" thickBo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1:16" ht="16.5" thickBot="1">
      <c r="A27" s="65"/>
      <c r="B27" s="68" t="s">
        <v>105</v>
      </c>
      <c r="C27" s="65" t="s">
        <v>867</v>
      </c>
      <c r="E27" s="302">
        <f>'ריכוז אגפים'!S17/1000</f>
        <v>397670.12300000002</v>
      </c>
      <c r="K27" s="65"/>
      <c r="L27" s="65"/>
      <c r="M27" s="65"/>
      <c r="N27" s="65"/>
      <c r="O27" s="65"/>
      <c r="P27" s="65"/>
    </row>
    <row r="28" spans="1:16" ht="16.5" hidden="1" thickBot="1">
      <c r="A28" s="65"/>
      <c r="B28" s="65"/>
      <c r="C28" s="65"/>
      <c r="D28" s="65"/>
      <c r="E28" s="303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</row>
    <row r="29" spans="1:16" ht="16.5" thickBot="1">
      <c r="A29" s="65"/>
      <c r="B29" s="68" t="s">
        <v>105</v>
      </c>
      <c r="C29" s="65" t="s">
        <v>868</v>
      </c>
      <c r="E29" s="302">
        <f>'ריכוז אגפים'!L17/1000</f>
        <v>400699.12300000002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</row>
    <row r="30" spans="1:16" ht="16.5" thickBot="1">
      <c r="A30" s="65"/>
      <c r="B30" s="68" t="s">
        <v>105</v>
      </c>
      <c r="C30" s="65" t="s">
        <v>869</v>
      </c>
      <c r="D30" s="296"/>
      <c r="E30" s="302">
        <f>'ריכוז אגפים'!M17/1000</f>
        <v>2656604.557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</row>
    <row r="31" spans="1:16" ht="16.5" thickBot="1">
      <c r="A31" s="65"/>
      <c r="B31" s="68" t="s">
        <v>105</v>
      </c>
      <c r="C31" s="65" t="s">
        <v>133</v>
      </c>
      <c r="E31" s="302">
        <f>'ריכוז אגפים'!B17/1000</f>
        <v>6308173.3550000004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16" ht="15.7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ht="15.75">
      <c r="A33" s="65"/>
      <c r="B33" s="69"/>
      <c r="C33" s="69"/>
      <c r="D33" s="69"/>
      <c r="E33" s="69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1:16" ht="15.75">
      <c r="A34" s="65"/>
      <c r="B34" s="68" t="s">
        <v>105</v>
      </c>
      <c r="C34" s="65" t="s">
        <v>1294</v>
      </c>
      <c r="D34" s="65"/>
      <c r="E34" s="146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 ht="15.75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 s="65" customFormat="1" ht="15.75">
      <c r="D36" s="252"/>
      <c r="E36" s="252"/>
    </row>
    <row r="37" spans="1:16" s="65" customFormat="1" ht="15.75">
      <c r="C37" s="252"/>
      <c r="D37" s="252"/>
      <c r="E37" s="252"/>
    </row>
    <row r="38" spans="1:16" ht="15.75">
      <c r="A38" s="70"/>
      <c r="B38" s="70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1:16" ht="15.75">
      <c r="A39" s="70"/>
      <c r="B39" s="70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6" ht="15.75">
      <c r="A40" s="70"/>
      <c r="B40" s="70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6" ht="15.75">
      <c r="A41" s="70"/>
      <c r="B41" s="70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1:16" ht="15.75">
      <c r="A42" s="70"/>
      <c r="B42" s="70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1:16" ht="15.75">
      <c r="A43" s="70"/>
      <c r="B43" s="70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1:16" ht="15.75"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 ht="15.75"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1A38-4260-46E6-9985-1547363FC279}">
  <dimension ref="A1:BP135"/>
  <sheetViews>
    <sheetView showZeros="0" rightToLeft="1" zoomScaleNormal="100" workbookViewId="0">
      <pane xSplit="4" ySplit="4" topLeftCell="E123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8.85546875" defaultRowHeight="15"/>
  <cols>
    <col min="1" max="1" width="3.7109375" style="148" customWidth="1"/>
    <col min="2" max="2" width="5.7109375" style="148" customWidth="1"/>
    <col min="3" max="3" width="18.7109375" style="674" customWidth="1"/>
    <col min="4" max="4" width="12.7109375" style="148" customWidth="1"/>
    <col min="5" max="5" width="10.85546875" style="148" hidden="1" customWidth="1"/>
    <col min="6" max="6" width="11" style="148" hidden="1" customWidth="1"/>
    <col min="7" max="8" width="11.140625" style="148" hidden="1" customWidth="1"/>
    <col min="9" max="10" width="10.140625" style="148" hidden="1" customWidth="1"/>
    <col min="11" max="11" width="10.42578125" style="148" hidden="1" customWidth="1"/>
    <col min="12" max="12" width="11.140625" style="148" customWidth="1"/>
    <col min="13" max="13" width="10.7109375" style="148" customWidth="1"/>
    <col min="14" max="15" width="11.140625" style="148" customWidth="1"/>
    <col min="16" max="16" width="10.140625" style="148" hidden="1" customWidth="1"/>
    <col min="17" max="17" width="9.85546875" style="148" hidden="1" customWidth="1"/>
    <col min="18" max="18" width="8.85546875" style="148" hidden="1" customWidth="1"/>
    <col min="19" max="19" width="10.7109375" style="148" hidden="1" customWidth="1"/>
    <col min="20" max="20" width="10.5703125" style="148" hidden="1" customWidth="1"/>
    <col min="21" max="21" width="10.85546875" style="148" customWidth="1"/>
    <col min="22" max="22" width="10.140625" style="148" hidden="1" customWidth="1"/>
    <col min="23" max="23" width="10.42578125" style="148" customWidth="1"/>
    <col min="24" max="24" width="6.28515625" style="148" hidden="1" customWidth="1"/>
    <col min="25" max="25" width="9.140625" style="148" hidden="1" customWidth="1"/>
    <col min="26" max="26" width="9.5703125" style="148" hidden="1" customWidth="1"/>
    <col min="27" max="27" width="10.140625" style="148" customWidth="1"/>
    <col min="28" max="28" width="35.140625" style="674" customWidth="1"/>
    <col min="29" max="29" width="12.42578125" style="148" customWidth="1"/>
    <col min="30" max="30" width="10.140625" style="11" customWidth="1"/>
    <col min="31" max="31" width="19.85546875" style="11" customWidth="1"/>
    <col min="32" max="33" width="16.28515625" style="11" customWidth="1"/>
    <col min="34" max="34" width="19.85546875" style="11" customWidth="1"/>
    <col min="35" max="35" width="16.28515625" style="11" customWidth="1"/>
    <col min="36" max="37" width="35.140625" style="11" customWidth="1"/>
    <col min="38" max="38" width="23.5703125" style="11" customWidth="1"/>
    <col min="39" max="39" width="30.7109375" style="11" customWidth="1"/>
    <col min="40" max="40" width="15.28515625" style="11" customWidth="1"/>
    <col min="41" max="41" width="24.5703125" style="11" customWidth="1"/>
    <col min="42" max="43" width="35.140625" style="148" customWidth="1"/>
    <col min="44" max="44" width="52.7109375" style="148" customWidth="1"/>
    <col min="45" max="45" width="26.85546875" style="148" customWidth="1"/>
    <col min="46" max="46" width="12.42578125" style="531" customWidth="1"/>
    <col min="47" max="47" width="26.28515625" style="531" customWidth="1"/>
    <col min="48" max="49" width="9.42578125" style="531" customWidth="1"/>
    <col min="50" max="50" width="13" style="531" customWidth="1"/>
    <col min="51" max="51" width="26.42578125" style="531" customWidth="1"/>
    <col min="52" max="52" width="10.28515625" style="531" customWidth="1"/>
    <col min="53" max="53" width="32.85546875" style="148" customWidth="1"/>
    <col min="54" max="59" width="10.7109375" style="148" customWidth="1"/>
    <col min="60" max="60" width="11.28515625" style="148" customWidth="1"/>
    <col min="61" max="61" width="22.42578125" style="148" customWidth="1"/>
    <col min="62" max="62" width="12.42578125" style="148" customWidth="1"/>
    <col min="63" max="63" width="14.85546875" style="148" customWidth="1"/>
    <col min="64" max="16384" width="8.85546875" style="148"/>
  </cols>
  <sheetData>
    <row r="1" spans="1:68">
      <c r="A1" s="10"/>
      <c r="B1" s="593"/>
      <c r="C1" s="672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0"/>
    </row>
    <row r="2" spans="1:68" ht="18.75">
      <c r="A2" s="41" t="s">
        <v>644</v>
      </c>
      <c r="B2" s="41"/>
      <c r="C2" s="6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68" ht="20.25">
      <c r="B3" s="594"/>
      <c r="C3" s="673"/>
      <c r="D3" s="11"/>
      <c r="E3" s="11"/>
      <c r="F3" s="11"/>
      <c r="G3" s="11"/>
      <c r="H3" s="11"/>
      <c r="I3" s="11"/>
      <c r="J3" s="11"/>
      <c r="K3" s="11"/>
      <c r="L3" s="11"/>
      <c r="M3" s="532"/>
      <c r="N3" s="11"/>
      <c r="O3" s="11"/>
      <c r="P3" s="11"/>
      <c r="Q3" s="11"/>
      <c r="R3" s="11"/>
      <c r="S3" s="11"/>
      <c r="T3" s="11"/>
      <c r="U3" s="10"/>
      <c r="AB3" s="655"/>
      <c r="AC3" s="10"/>
    </row>
    <row r="4" spans="1:68" ht="105">
      <c r="A4" s="533" t="s">
        <v>0</v>
      </c>
      <c r="B4" s="533" t="s">
        <v>1</v>
      </c>
      <c r="C4" s="13" t="s">
        <v>2</v>
      </c>
      <c r="D4" s="533" t="s">
        <v>3</v>
      </c>
      <c r="E4" s="533" t="s">
        <v>4</v>
      </c>
      <c r="F4" s="533" t="s">
        <v>5</v>
      </c>
      <c r="G4" s="533" t="s">
        <v>6</v>
      </c>
      <c r="H4" s="533" t="s">
        <v>7</v>
      </c>
      <c r="I4" s="533" t="s">
        <v>9</v>
      </c>
      <c r="J4" s="533" t="s">
        <v>101</v>
      </c>
      <c r="K4" s="533" t="s">
        <v>10</v>
      </c>
      <c r="L4" s="533" t="s">
        <v>11</v>
      </c>
      <c r="M4" s="533" t="s">
        <v>793</v>
      </c>
      <c r="N4" s="533" t="s">
        <v>794</v>
      </c>
      <c r="O4" s="2" t="s">
        <v>795</v>
      </c>
      <c r="P4" s="534" t="s">
        <v>12</v>
      </c>
      <c r="Q4" s="533" t="s">
        <v>796</v>
      </c>
      <c r="R4" s="533" t="s">
        <v>797</v>
      </c>
      <c r="S4" s="2" t="s">
        <v>798</v>
      </c>
      <c r="T4" s="2" t="s">
        <v>799</v>
      </c>
      <c r="U4" s="2" t="s">
        <v>800</v>
      </c>
      <c r="V4" s="533" t="s">
        <v>13</v>
      </c>
      <c r="W4" s="533" t="s">
        <v>14</v>
      </c>
      <c r="X4" s="533" t="s">
        <v>15</v>
      </c>
      <c r="Y4" s="533" t="s">
        <v>185</v>
      </c>
      <c r="Z4" s="533" t="s">
        <v>385</v>
      </c>
      <c r="AA4" s="533" t="s">
        <v>67</v>
      </c>
      <c r="AB4" s="675" t="s">
        <v>207</v>
      </c>
      <c r="AC4" s="125" t="s">
        <v>16</v>
      </c>
    </row>
    <row r="5" spans="1:68">
      <c r="A5" s="533"/>
      <c r="B5" s="533"/>
      <c r="C5" s="7">
        <v>61</v>
      </c>
      <c r="D5" s="533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2"/>
      <c r="P5" s="534"/>
      <c r="Q5" s="533"/>
      <c r="R5" s="533"/>
      <c r="S5" s="2"/>
      <c r="T5" s="2"/>
      <c r="U5" s="2"/>
      <c r="V5" s="533"/>
      <c r="W5" s="533"/>
      <c r="X5" s="533"/>
      <c r="Y5" s="533"/>
      <c r="Z5" s="533"/>
      <c r="AA5" s="533"/>
      <c r="AB5" s="675"/>
      <c r="AC5" s="125"/>
    </row>
    <row r="6" spans="1:68" ht="30">
      <c r="A6" s="3">
        <f>A5+1</f>
        <v>1</v>
      </c>
      <c r="B6" s="3">
        <f>'  תקציב מינהל תפעול 2025 '!B37</f>
        <v>2095</v>
      </c>
      <c r="C6" s="202" t="str">
        <f>'  תקציב מינהל תפעול 2025 '!C37</f>
        <v>ספירת מלאי וסימון הרכוש העירוני</v>
      </c>
      <c r="D6" s="4">
        <f>'  תקציב מינהל תפעול 2025 '!D37</f>
        <v>210000</v>
      </c>
      <c r="E6" s="4">
        <f>'  תקציב מינהל תפעול 2025 '!E37</f>
        <v>210000</v>
      </c>
      <c r="F6" s="4">
        <f>'  תקציב מינהל תפעול 2025 '!F37</f>
        <v>0</v>
      </c>
      <c r="G6" s="4">
        <f>'  תקציב מינהל תפעול 2025 '!G37</f>
        <v>210000</v>
      </c>
      <c r="H6" s="4">
        <f>'  תקציב מינהל תפעול 2025 '!H37</f>
        <v>144788</v>
      </c>
      <c r="I6" s="4">
        <f>'  תקציב מינהל תפעול 2025 '!I37</f>
        <v>0</v>
      </c>
      <c r="J6" s="4">
        <f>'  תקציב מינהל תפעול 2025 '!J37</f>
        <v>0</v>
      </c>
      <c r="K6" s="4">
        <f>'  תקציב מינהל תפעול 2025 '!K37</f>
        <v>0</v>
      </c>
      <c r="L6" s="4">
        <f>'  תקציב מינהל תפעול 2025 '!L37</f>
        <v>144788</v>
      </c>
      <c r="M6" s="4">
        <f>'  תקציב מינהל תפעול 2025 '!M37</f>
        <v>65212</v>
      </c>
      <c r="N6" s="4">
        <f>'  תקציב מינהל תפעול 2025 '!N37</f>
        <v>0</v>
      </c>
      <c r="O6" s="4">
        <f>'  תקציב מינהל תפעול 2025 '!O37</f>
        <v>0</v>
      </c>
      <c r="P6" s="4">
        <f>'  תקציב מינהל תפעול 2025 '!P37</f>
        <v>65212</v>
      </c>
      <c r="Q6" s="4">
        <f>'  תקציב מינהל תפעול 2025 '!Q37</f>
        <v>0</v>
      </c>
      <c r="R6" s="4">
        <f>'  תקציב מינהל תפעול 2025 '!R37</f>
        <v>0</v>
      </c>
      <c r="S6" s="4">
        <f>'  תקציב מינהל תפעול 2025 '!S37</f>
        <v>0</v>
      </c>
      <c r="T6" s="4">
        <f>'  תקציב מינהל תפעול 2025 '!T37</f>
        <v>0</v>
      </c>
      <c r="U6" s="4">
        <f>'  תקציב מינהל תפעול 2025 '!U37</f>
        <v>0</v>
      </c>
      <c r="V6" s="4">
        <f>'  תקציב מינהל תפעול 2025 '!V37</f>
        <v>0</v>
      </c>
      <c r="W6" s="4">
        <f>'  תקציב מינהל תפעול 2025 '!W37</f>
        <v>0</v>
      </c>
      <c r="X6" s="4">
        <f>'  תקציב מינהל תפעול 2025 '!X37</f>
        <v>0</v>
      </c>
      <c r="Y6" s="4">
        <f>'  תקציב מינהל תפעול 2025 '!Y37</f>
        <v>0</v>
      </c>
      <c r="Z6" s="4">
        <f>'  תקציב מינהל תפעול 2025 '!Z37</f>
        <v>0</v>
      </c>
      <c r="AA6" s="3">
        <f>'  תקציב מינהל תפעול 2025 '!AA37</f>
        <v>0</v>
      </c>
      <c r="AB6" s="202" t="str">
        <f>'  תקציב מינהל תפעול 2025 '!AB37</f>
        <v xml:space="preserve">ספירת רכוש במוסדות חינוך ויחידות עירוניות וסימון הרכוש העירוני. </v>
      </c>
      <c r="AC6" s="3">
        <f>'  תקציב מינהל תפעול 2025 '!AC37</f>
        <v>610000</v>
      </c>
    </row>
    <row r="7" spans="1:68" s="596" customFormat="1">
      <c r="A7" s="7"/>
      <c r="B7" s="7"/>
      <c r="C7" s="13" t="s">
        <v>1342</v>
      </c>
      <c r="D7" s="8">
        <f>SUM(D6)</f>
        <v>210000</v>
      </c>
      <c r="E7" s="8">
        <f t="shared" ref="E7:AA7" si="0">SUM(E6)</f>
        <v>210000</v>
      </c>
      <c r="F7" s="8">
        <f t="shared" si="0"/>
        <v>0</v>
      </c>
      <c r="G7" s="8">
        <f t="shared" si="0"/>
        <v>210000</v>
      </c>
      <c r="H7" s="8">
        <f t="shared" si="0"/>
        <v>144788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144788</v>
      </c>
      <c r="M7" s="8">
        <f t="shared" si="0"/>
        <v>65212</v>
      </c>
      <c r="N7" s="8">
        <f t="shared" si="0"/>
        <v>0</v>
      </c>
      <c r="O7" s="8">
        <f t="shared" si="0"/>
        <v>0</v>
      </c>
      <c r="P7" s="8">
        <f t="shared" si="0"/>
        <v>65212</v>
      </c>
      <c r="Q7" s="8">
        <f t="shared" si="0"/>
        <v>0</v>
      </c>
      <c r="R7" s="8">
        <f t="shared" si="0"/>
        <v>0</v>
      </c>
      <c r="S7" s="8">
        <f t="shared" si="0"/>
        <v>0</v>
      </c>
      <c r="T7" s="8">
        <f t="shared" si="0"/>
        <v>0</v>
      </c>
      <c r="U7" s="8">
        <f t="shared" si="0"/>
        <v>0</v>
      </c>
      <c r="V7" s="8">
        <f t="shared" si="0"/>
        <v>0</v>
      </c>
      <c r="W7" s="8">
        <f t="shared" si="0"/>
        <v>0</v>
      </c>
      <c r="X7" s="8">
        <f t="shared" si="0"/>
        <v>0</v>
      </c>
      <c r="Y7" s="8">
        <f t="shared" si="0"/>
        <v>0</v>
      </c>
      <c r="Z7" s="8">
        <f t="shared" si="0"/>
        <v>0</v>
      </c>
      <c r="AA7" s="8">
        <f t="shared" si="0"/>
        <v>0</v>
      </c>
      <c r="AB7" s="13"/>
      <c r="AC7" s="7"/>
      <c r="AD7" s="678"/>
      <c r="AE7" s="678"/>
      <c r="AF7" s="678"/>
      <c r="AG7" s="678"/>
      <c r="AH7" s="678"/>
      <c r="AI7" s="678"/>
      <c r="AJ7" s="678"/>
      <c r="AK7" s="678"/>
      <c r="AL7" s="678"/>
      <c r="AM7" s="678"/>
      <c r="AN7" s="678"/>
      <c r="AO7" s="678"/>
      <c r="AT7" s="523"/>
      <c r="AU7" s="523"/>
      <c r="AV7" s="523"/>
      <c r="AW7" s="523"/>
      <c r="AX7" s="523"/>
      <c r="AY7" s="523"/>
      <c r="AZ7" s="523"/>
    </row>
    <row r="8" spans="1:68" s="596" customFormat="1">
      <c r="A8" s="7"/>
      <c r="B8" s="7"/>
      <c r="C8" s="7">
        <v>72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7"/>
      <c r="AB8" s="13"/>
      <c r="AC8" s="7"/>
      <c r="AD8" s="678"/>
      <c r="AE8" s="678"/>
      <c r="AF8" s="678"/>
      <c r="AG8" s="678"/>
      <c r="AH8" s="678"/>
      <c r="AI8" s="678"/>
      <c r="AJ8" s="678"/>
      <c r="AK8" s="678"/>
      <c r="AL8" s="678"/>
      <c r="AM8" s="678"/>
      <c r="AN8" s="678"/>
      <c r="AO8" s="678"/>
      <c r="AT8" s="523"/>
      <c r="AU8" s="523"/>
      <c r="AV8" s="523"/>
      <c r="AW8" s="523"/>
      <c r="AX8" s="523"/>
      <c r="AY8" s="523"/>
      <c r="AZ8" s="523"/>
    </row>
    <row r="9" spans="1:68" ht="69" customHeight="1">
      <c r="A9" s="3">
        <f>A6+1</f>
        <v>2</v>
      </c>
      <c r="B9" s="3">
        <f>'  תקציב מינהל תפעול 2025 '!B40</f>
        <v>2156</v>
      </c>
      <c r="C9" s="202" t="str">
        <f>'  תקציב מינהל תפעול 2025 '!C40</f>
        <v>הקמת יחידת חילוץ - הצטיידות</v>
      </c>
      <c r="D9" s="4">
        <f>'  תקציב מינהל תפעול 2025 '!D40</f>
        <v>2700000</v>
      </c>
      <c r="E9" s="4">
        <f>'  תקציב מינהל תפעול 2025 '!E40</f>
        <v>2700000</v>
      </c>
      <c r="F9" s="4">
        <f>'  תקציב מינהל תפעול 2025 '!F40</f>
        <v>0</v>
      </c>
      <c r="G9" s="4">
        <f>'  תקציב מינהל תפעול 2025 '!G40</f>
        <v>1100000</v>
      </c>
      <c r="H9" s="4">
        <f>'  תקציב מינהל תפעול 2025 '!H40</f>
        <v>729728</v>
      </c>
      <c r="I9" s="4">
        <f>'  תקציב מינהל תפעול 2025 '!I40</f>
        <v>0</v>
      </c>
      <c r="J9" s="4">
        <f>'  תקציב מינהל תפעול 2025 '!J40</f>
        <v>351838</v>
      </c>
      <c r="K9" s="4">
        <f>'  תקציב מינהל תפעול 2025 '!K40</f>
        <v>351838</v>
      </c>
      <c r="L9" s="4">
        <f>'  תקציב מינהל תפעול 2025 '!L40</f>
        <v>1081566</v>
      </c>
      <c r="M9" s="4">
        <f>'  תקציב מינהל תפעול 2025 '!M40</f>
        <v>18434</v>
      </c>
      <c r="N9" s="4">
        <f>'  תקציב מינהל תפעול 2025 '!N40</f>
        <v>500000</v>
      </c>
      <c r="O9" s="4">
        <f>'  תקציב מינהל תפעול 2025 '!O40</f>
        <v>1100000</v>
      </c>
      <c r="P9" s="4">
        <f>'  תקציב מינהל תפעול 2025 '!P40</f>
        <v>18434</v>
      </c>
      <c r="Q9" s="4">
        <f>'  תקציב מינהל תפעול 2025 '!Q40</f>
        <v>0</v>
      </c>
      <c r="R9" s="4">
        <f>'  תקציב מינהל תפעול 2025 '!R40</f>
        <v>0</v>
      </c>
      <c r="S9" s="4">
        <f>'  תקציב מינהל תפעול 2025 '!S40</f>
        <v>0</v>
      </c>
      <c r="T9" s="4">
        <f>'  תקציב מינהל תפעול 2025 '!T40</f>
        <v>0</v>
      </c>
      <c r="U9" s="4">
        <f>'  תקציב מינהל תפעול 2025 '!U40</f>
        <v>500000</v>
      </c>
      <c r="V9" s="4">
        <f>'  תקציב מינהל תפעול 2025 '!V40</f>
        <v>0</v>
      </c>
      <c r="W9" s="4">
        <f>'  תקציב מינהל תפעול 2025 '!W40</f>
        <v>500000</v>
      </c>
      <c r="X9" s="4">
        <f>'  תקציב מינהל תפעול 2025 '!X40</f>
        <v>0</v>
      </c>
      <c r="Y9" s="4">
        <f>'  תקציב מינהל תפעול 2025 '!Y40</f>
        <v>0</v>
      </c>
      <c r="Z9" s="4">
        <f>'  תקציב מינהל תפעול 2025 '!Z40</f>
        <v>0</v>
      </c>
      <c r="AA9" s="3">
        <f>'  תקציב מינהל תפעול 2025 '!AA40</f>
        <v>0</v>
      </c>
      <c r="AB9" s="202" t="str">
        <f>'  תקציב מינהל תפעול 2025 '!AB40</f>
        <v>הצטיידות חד פעמית ליחידת חילוץ מתנדבים שעברו הכשרה בפיקוד העורף לתפקוד במצבי חרום ולמשמרות השכונה. התוכ. תאושר ע"י הנהלת העיר.</v>
      </c>
      <c r="AC9" s="3">
        <f>'  תקציב מינהל תפעול 2025 '!AC40</f>
        <v>720000</v>
      </c>
    </row>
    <row r="10" spans="1:68" ht="42" customHeight="1">
      <c r="A10" s="3">
        <f>A9+1</f>
        <v>3</v>
      </c>
      <c r="B10" s="3">
        <f>'  תקציב מינהל תפעול 2025 '!B59</f>
        <v>2240</v>
      </c>
      <c r="C10" s="202" t="str">
        <f>'  תקציב מינהל תפעול 2025 '!C59</f>
        <v>מערכת מבוססת מצלמות לאכיפת חניה ונתצים</v>
      </c>
      <c r="D10" s="4">
        <f>'  תקציב מינהל תפעול 2025 '!D59</f>
        <v>13200000</v>
      </c>
      <c r="E10" s="4">
        <f>'  תקציב מינהל תפעול 2025 '!E59</f>
        <v>13200000</v>
      </c>
      <c r="F10" s="4">
        <f>'  תקציב מינהל תפעול 2025 '!F59</f>
        <v>0</v>
      </c>
      <c r="G10" s="4">
        <f>'  תקציב מינהל תפעול 2025 '!G59</f>
        <v>4890000</v>
      </c>
      <c r="H10" s="4">
        <f>'  תקציב מינהל תפעול 2025 '!H59</f>
        <v>4123822</v>
      </c>
      <c r="I10" s="4">
        <f>'  תקציב מינהל תפעול 2025 '!I59</f>
        <v>0</v>
      </c>
      <c r="J10" s="4">
        <f>'  תקציב מינהל תפעול 2025 '!J59</f>
        <v>427250</v>
      </c>
      <c r="K10" s="4">
        <f>'  תקציב מינהל תפעול 2025 '!K59</f>
        <v>427250</v>
      </c>
      <c r="L10" s="4">
        <f>'  תקציב מינהל תפעול 2025 '!L59</f>
        <v>4551072</v>
      </c>
      <c r="M10" s="4">
        <f>'  תקציב מינהל תפעול 2025 '!M59</f>
        <v>338928</v>
      </c>
      <c r="N10" s="4">
        <f>'  תקציב מינהל תפעול 2025 '!N59</f>
        <v>1000000</v>
      </c>
      <c r="O10" s="4">
        <f>'  תקציב מינהל תפעול 2025 '!O59</f>
        <v>7310000</v>
      </c>
      <c r="P10" s="4">
        <f>'  תקציב מינהל תפעול 2025 '!P59</f>
        <v>338928</v>
      </c>
      <c r="Q10" s="311">
        <f>'  תקציב מינהל תפעול 2025 '!Q59</f>
        <v>0</v>
      </c>
      <c r="R10" s="4">
        <f>'  תקציב מינהל תפעול 2025 '!R59</f>
        <v>0</v>
      </c>
      <c r="S10" s="4">
        <f>'  תקציב מינהל תפעול 2025 '!S59</f>
        <v>0</v>
      </c>
      <c r="T10" s="4">
        <f>'  תקציב מינהל תפעול 2025 '!T59</f>
        <v>0</v>
      </c>
      <c r="U10" s="4">
        <f>'  תקציב מינהל תפעול 2025 '!U59</f>
        <v>1000000</v>
      </c>
      <c r="V10" s="4">
        <f>'  תקציב מינהל תפעול 2025 '!V59</f>
        <v>0</v>
      </c>
      <c r="W10" s="4">
        <f>'  תקציב מינהל תפעול 2025 '!W59</f>
        <v>1000000</v>
      </c>
      <c r="X10" s="4">
        <f>'  תקציב מינהל תפעול 2025 '!X59</f>
        <v>0</v>
      </c>
      <c r="Y10" s="4">
        <f>'  תקציב מינהל תפעול 2025 '!Y59</f>
        <v>0</v>
      </c>
      <c r="Z10" s="4">
        <f>'  תקציב מינהל תפעול 2025 '!Z59</f>
        <v>0</v>
      </c>
      <c r="AA10" s="3">
        <f>'  תקציב מינהל תפעול 2025 '!AA59</f>
        <v>0</v>
      </c>
      <c r="AB10" s="202" t="str">
        <f>'  תקציב מינהל תפעול 2025 '!AB59</f>
        <v>מערכת מבוססת מצלמות לאכיפת החנייה והנת"צים ברחבי העיר.</v>
      </c>
      <c r="AC10" s="3">
        <f>'  תקציב מינהל תפעול 2025 '!AC59</f>
        <v>720000</v>
      </c>
    </row>
    <row r="11" spans="1:68" ht="35.25" customHeight="1">
      <c r="A11" s="3">
        <f>A10+1</f>
        <v>4</v>
      </c>
      <c r="B11" s="3">
        <f>'  תקציב מינהל תפעול 2025 '!B61</f>
        <v>20020</v>
      </c>
      <c r="C11" s="202" t="str">
        <f>'  תקציב מינהל תפעול 2025 '!C61</f>
        <v>סל למערכות וצרכי בטחון</v>
      </c>
      <c r="D11" s="4">
        <f>'  תקציב מינהל תפעול 2025 '!D61</f>
        <v>2460000</v>
      </c>
      <c r="E11" s="4">
        <f>'  תקציב מינהל תפעול 2025 '!E61</f>
        <v>2290000</v>
      </c>
      <c r="F11" s="4">
        <f>'  תקציב מינהל תפעול 2025 '!F61</f>
        <v>170000</v>
      </c>
      <c r="G11" s="4">
        <f>'  תקציב מינהל תפעול 2025 '!G61</f>
        <v>1460000</v>
      </c>
      <c r="H11" s="4">
        <f>'  תקציב מינהל תפעול 2025 '!H61</f>
        <v>915778</v>
      </c>
      <c r="I11" s="4">
        <f>'  תקציב מינהל תפעול 2025 '!I61</f>
        <v>0</v>
      </c>
      <c r="J11" s="4">
        <f>'  תקציב מינהל תפעול 2025 '!J61</f>
        <v>349015</v>
      </c>
      <c r="K11" s="4">
        <f>'  תקציב מינהל תפעול 2025 '!K61</f>
        <v>349015</v>
      </c>
      <c r="L11" s="4">
        <f>'  תקציב מינהל תפעול 2025 '!L61</f>
        <v>1264793</v>
      </c>
      <c r="M11" s="4">
        <f>'  תקציב מינהל תפעול 2025 '!M61</f>
        <v>195207</v>
      </c>
      <c r="N11" s="4">
        <f>'  תקציב מינהל תפעול 2025 '!N61</f>
        <v>500000</v>
      </c>
      <c r="O11" s="4">
        <f>'  תקציב מינהל תפעול 2025 '!O61</f>
        <v>500000</v>
      </c>
      <c r="P11" s="4">
        <f>'  תקציב מינהל תפעול 2025 '!P61</f>
        <v>195207</v>
      </c>
      <c r="Q11" s="311">
        <f>'  תקציב מינהל תפעול 2025 '!Q61</f>
        <v>0</v>
      </c>
      <c r="R11" s="4">
        <f>'  תקציב מינהל תפעול 2025 '!R61</f>
        <v>0</v>
      </c>
      <c r="S11" s="4">
        <f>'  תקציב מינהל תפעול 2025 '!S61</f>
        <v>0</v>
      </c>
      <c r="T11" s="4">
        <f>'  תקציב מינהל תפעול 2025 '!T61</f>
        <v>0</v>
      </c>
      <c r="U11" s="4">
        <f>'  תקציב מינהל תפעול 2025 '!U61</f>
        <v>500000</v>
      </c>
      <c r="V11" s="4">
        <f>'  תקציב מינהל תפעול 2025 '!V61</f>
        <v>0</v>
      </c>
      <c r="W11" s="4">
        <f>'  תקציב מינהל תפעול 2025 '!W61</f>
        <v>500000</v>
      </c>
      <c r="X11" s="4">
        <f>'  תקציב מינהל תפעול 2025 '!X61</f>
        <v>0</v>
      </c>
      <c r="Y11" s="4">
        <f>'  תקציב מינהל תפעול 2025 '!Y61</f>
        <v>0</v>
      </c>
      <c r="Z11" s="4">
        <f>'  תקציב מינהל תפעול 2025 '!Z61</f>
        <v>0</v>
      </c>
      <c r="AA11" s="3">
        <f>'  תקציב מינהל תפעול 2025 '!AA61</f>
        <v>0</v>
      </c>
      <c r="AB11" s="676" t="str">
        <f>'  תקציב מינהל תפעול 2025 '!AB61</f>
        <v>סל למערכות שונות ורכש לצרכי בטחון.</v>
      </c>
      <c r="AC11" s="3">
        <f>'  תקציב מינהל תפעול 2025 '!AC61</f>
        <v>720000</v>
      </c>
    </row>
    <row r="12" spans="1:68" ht="46.5" customHeight="1">
      <c r="A12" s="3">
        <f>A11+1</f>
        <v>5</v>
      </c>
      <c r="B12" s="3">
        <f>'  תקציב מינהל תפעול 2025 '!B83</f>
        <v>20104</v>
      </c>
      <c r="C12" s="202" t="str">
        <f>'  תקציב מינהל תפעול 2025 '!C83</f>
        <v>הקמת מרחבים מוגנים</v>
      </c>
      <c r="D12" s="4">
        <f>'  תקציב מינהל תפעול 2025 '!D83</f>
        <v>23200000</v>
      </c>
      <c r="E12" s="4">
        <f>'  תקציב מינהל תפעול 2025 '!E83</f>
        <v>23200000</v>
      </c>
      <c r="F12" s="4">
        <f>'  תקציב מינהל תפעול 2025 '!F83</f>
        <v>0</v>
      </c>
      <c r="G12" s="4">
        <f>'  תקציב מינהל תפעול 2025 '!G83</f>
        <v>23200000</v>
      </c>
      <c r="H12" s="4">
        <f>'  תקציב מינהל תפעול 2025 '!H83</f>
        <v>4697872</v>
      </c>
      <c r="I12" s="4">
        <f>'  תקציב מינהל תפעול 2025 '!I83</f>
        <v>0</v>
      </c>
      <c r="J12" s="4">
        <f>'  תקציב מינהל תפעול 2025 '!J83</f>
        <v>9279691</v>
      </c>
      <c r="K12" s="4">
        <f>'  תקציב מינהל תפעול 2025 '!K83</f>
        <v>9279691</v>
      </c>
      <c r="L12" s="4">
        <f>'  תקציב מינהל תפעול 2025 '!L83</f>
        <v>13977563</v>
      </c>
      <c r="M12" s="4">
        <f>'  תקציב מינהל תפעול 2025 '!M83</f>
        <v>9222437</v>
      </c>
      <c r="N12" s="4">
        <f>'  תקציב מינהל תפעול 2025 '!N83</f>
        <v>0</v>
      </c>
      <c r="O12" s="4">
        <f>'  תקציב מינהל תפעול 2025 '!O83</f>
        <v>0</v>
      </c>
      <c r="P12" s="4">
        <f>'  תקציב מינהל תפעול 2025 '!P83</f>
        <v>9222437</v>
      </c>
      <c r="Q12" s="311">
        <f>'  תקציב מינהל תפעול 2025 '!Q83</f>
        <v>0</v>
      </c>
      <c r="R12" s="4">
        <f>'  תקציב מינהל תפעול 2025 '!R83</f>
        <v>0</v>
      </c>
      <c r="S12" s="4">
        <f>'  תקציב מינהל תפעול 2025 '!S83</f>
        <v>0</v>
      </c>
      <c r="T12" s="4">
        <f>'  תקציב מינהל תפעול 2025 '!T83</f>
        <v>0</v>
      </c>
      <c r="U12" s="4">
        <f>'  תקציב מינהל תפעול 2025 '!U83</f>
        <v>0</v>
      </c>
      <c r="V12" s="4">
        <f>'  תקציב מינהל תפעול 2025 '!V83</f>
        <v>0</v>
      </c>
      <c r="W12" s="4">
        <f>'  תקציב מינהל תפעול 2025 '!W83</f>
        <v>0</v>
      </c>
      <c r="X12" s="4">
        <f>'  תקציב מינהל תפעול 2025 '!X83</f>
        <v>0</v>
      </c>
      <c r="Y12" s="4">
        <f>'  תקציב מינהל תפעול 2025 '!Y83</f>
        <v>0</v>
      </c>
      <c r="Z12" s="4">
        <f>'  תקציב מינהל תפעול 2025 '!Z83</f>
        <v>0</v>
      </c>
      <c r="AA12" s="3">
        <f>'  תקציב מינהל תפעול 2025 '!AA83</f>
        <v>0</v>
      </c>
      <c r="AB12" s="202" t="str">
        <f>'  תקציב מינהל תפעול 2025 '!AB83</f>
        <v xml:space="preserve">תקציב מסגרת להקמת ממ"דים במוס"ח, מבני ציבור וברחבי העיר. קרן ייעודית. </v>
      </c>
      <c r="AC12" s="3">
        <f>'  תקציב מינהל תפעול 2025 '!AC83</f>
        <v>720000</v>
      </c>
    </row>
    <row r="13" spans="1:68" ht="35.25" customHeight="1">
      <c r="A13" s="3">
        <f>A12+1</f>
        <v>6</v>
      </c>
      <c r="B13" s="3">
        <f>'  תקציב מינהל תפעול 2025 '!B94</f>
        <v>20141</v>
      </c>
      <c r="C13" s="222" t="str">
        <f>'  תקציב מינהל תפעול 2025 '!C94</f>
        <v>פרויקט מוכנות לשעת חרום</v>
      </c>
      <c r="D13" s="112">
        <f>'  תקציב מינהל תפעול 2025 '!D94</f>
        <v>3200000</v>
      </c>
      <c r="E13" s="112">
        <f>'  תקציב מינהל תפעול 2025 '!E94</f>
        <v>3200000</v>
      </c>
      <c r="F13" s="112">
        <f>'  תקציב מינהל תפעול 2025 '!F94</f>
        <v>0</v>
      </c>
      <c r="G13" s="112">
        <f>'  תקציב מינהל תפעול 2025 '!G94</f>
        <v>3200000</v>
      </c>
      <c r="H13" s="112">
        <f>'  תקציב מינהל תפעול 2025 '!H94</f>
        <v>447278</v>
      </c>
      <c r="I13" s="112">
        <f>'  תקציב מינהל תפעול 2025 '!I94</f>
        <v>0</v>
      </c>
      <c r="J13" s="112">
        <f>'  תקציב מינהל תפעול 2025 '!J94</f>
        <v>628926</v>
      </c>
      <c r="K13" s="112">
        <f>'  תקציב מינהל תפעול 2025 '!K94</f>
        <v>628926</v>
      </c>
      <c r="L13" s="112">
        <f>'  תקציב מינהל תפעול 2025 '!L94</f>
        <v>1076204</v>
      </c>
      <c r="M13" s="4">
        <f>'  תקציב מינהל תפעול 2025 '!M94</f>
        <v>2123796</v>
      </c>
      <c r="N13" s="112">
        <f>'  תקציב מינהל תפעול 2025 '!N94</f>
        <v>0</v>
      </c>
      <c r="O13" s="112">
        <f>'  תקציב מינהל תפעול 2025 '!O94</f>
        <v>0</v>
      </c>
      <c r="P13" s="112">
        <f>'  תקציב מינהל תפעול 2025 '!P94</f>
        <v>2123796</v>
      </c>
      <c r="Q13" s="112">
        <f>'  תקציב מינהל תפעול 2025 '!Q94</f>
        <v>0</v>
      </c>
      <c r="R13" s="112">
        <f>'  תקציב מינהל תפעול 2025 '!R94</f>
        <v>0</v>
      </c>
      <c r="S13" s="112">
        <f>'  תקציב מינהל תפעול 2025 '!S94</f>
        <v>0</v>
      </c>
      <c r="T13" s="112">
        <f>'  תקציב מינהל תפעול 2025 '!T94</f>
        <v>0</v>
      </c>
      <c r="U13" s="4">
        <f>'  תקציב מינהל תפעול 2025 '!U94</f>
        <v>0</v>
      </c>
      <c r="V13" s="4">
        <f>'  תקציב מינהל תפעול 2025 '!V94</f>
        <v>0</v>
      </c>
      <c r="W13" s="4">
        <f>'  תקציב מינהל תפעול 2025 '!W94</f>
        <v>0</v>
      </c>
      <c r="X13" s="4">
        <f>'  תקציב מינהל תפעול 2025 '!X94</f>
        <v>0</v>
      </c>
      <c r="Y13" s="4">
        <f>'  תקציב מינהל תפעול 2025 '!Y94</f>
        <v>0</v>
      </c>
      <c r="Z13" s="4">
        <f>'  תקציב מינהל תפעול 2025 '!Z94</f>
        <v>0</v>
      </c>
      <c r="AA13" s="3">
        <f>'  תקציב מינהל תפעול 2025 '!AA94</f>
        <v>0</v>
      </c>
      <c r="AB13" s="202" t="str">
        <f>'  תקציב מינהל תפעול 2025 '!AB94</f>
        <v>הצטיידות ומוכנות לשעת חרום.</v>
      </c>
      <c r="AC13" s="3">
        <f>'  תקציב מינהל תפעול 2025 '!AC94</f>
        <v>722000</v>
      </c>
      <c r="BB13" s="123"/>
      <c r="BC13" s="123"/>
      <c r="BD13" s="123"/>
      <c r="BE13" s="123"/>
      <c r="BF13" s="123"/>
      <c r="BG13" s="123"/>
      <c r="BH13" s="256"/>
      <c r="BI13" s="256"/>
      <c r="BJ13" s="256"/>
      <c r="BK13" s="256"/>
      <c r="BL13" s="256"/>
      <c r="BM13" s="256"/>
      <c r="BN13" s="256"/>
      <c r="BO13" s="256"/>
      <c r="BP13" s="256"/>
    </row>
    <row r="14" spans="1:68" ht="31.5" customHeight="1">
      <c r="A14" s="3">
        <f>A13+1</f>
        <v>7</v>
      </c>
      <c r="B14" s="3">
        <f>'  תקציב מינהל תפעול 2025 '!B17</f>
        <v>1621</v>
      </c>
      <c r="C14" s="222" t="str">
        <f>'  תקציב מינהל תפעול 2025 '!C17</f>
        <v>שדרוג מקלטים ציבוריים</v>
      </c>
      <c r="D14" s="4">
        <f>'  תקציב מינהל תפעול 2025 '!D17</f>
        <v>7470000</v>
      </c>
      <c r="E14" s="4">
        <f>'  תקציב מינהל תפעול 2025 '!E17</f>
        <v>6070000</v>
      </c>
      <c r="F14" s="4">
        <f>'  תקציב מינהל תפעול 2025 '!F17</f>
        <v>1400000</v>
      </c>
      <c r="G14" s="4">
        <f>'  תקציב מינהל תפעול 2025 '!G17</f>
        <v>5970000</v>
      </c>
      <c r="H14" s="4">
        <f>'  תקציב מינהל תפעול 2025 '!H17</f>
        <v>3721485</v>
      </c>
      <c r="I14" s="4">
        <f>'  תקציב מינהל תפעול 2025 '!I17</f>
        <v>0</v>
      </c>
      <c r="J14" s="4">
        <f>'  תקציב מינהל תפעול 2025 '!J17</f>
        <v>815020</v>
      </c>
      <c r="K14" s="4">
        <f>'  תקציב מינהל תפעול 2025 '!K17</f>
        <v>815020</v>
      </c>
      <c r="L14" s="4">
        <f>'  תקציב מינהל תפעול 2025 '!L17</f>
        <v>4536505</v>
      </c>
      <c r="M14" s="4">
        <f>'  תקציב מינהל תפעול 2025 '!M17</f>
        <v>1433495</v>
      </c>
      <c r="N14" s="4">
        <f>'  תקציב מינהל תפעול 2025 '!N17</f>
        <v>1000000</v>
      </c>
      <c r="O14" s="4">
        <f>'  תקציב מינהל תפעול 2025 '!O17</f>
        <v>500000</v>
      </c>
      <c r="P14" s="4">
        <f>'  תקציב מינהל תפעול 2025 '!P17</f>
        <v>1433495</v>
      </c>
      <c r="Q14" s="311">
        <f>'  תקציב מינהל תפעול 2025 '!Q17</f>
        <v>0</v>
      </c>
      <c r="R14" s="4">
        <f>'  תקציב מינהל תפעול 2025 '!R17</f>
        <v>0</v>
      </c>
      <c r="S14" s="4">
        <f>'  תקציב מינהל תפעול 2025 '!S17</f>
        <v>0</v>
      </c>
      <c r="T14" s="4">
        <f>'  תקציב מינהל תפעול 2025 '!T17</f>
        <v>0</v>
      </c>
      <c r="U14" s="4">
        <f>'  תקציב מינהל תפעול 2025 '!U17</f>
        <v>1000000</v>
      </c>
      <c r="V14" s="4">
        <f>'  תקציב מינהל תפעול 2025 '!V17</f>
        <v>0</v>
      </c>
      <c r="W14" s="4">
        <f>'  תקציב מינהל תפעול 2025 '!W17</f>
        <v>1000000</v>
      </c>
      <c r="X14" s="4">
        <f>'  תקציב מינהל תפעול 2025 '!X17</f>
        <v>0</v>
      </c>
      <c r="Y14" s="4">
        <f>'  תקציב מינהל תפעול 2025 '!Y17</f>
        <v>0</v>
      </c>
      <c r="Z14" s="4">
        <f>'  תקציב מינהל תפעול 2025 '!Z17</f>
        <v>0</v>
      </c>
      <c r="AA14" s="3">
        <f>'  תקציב מינהל תפעול 2025 '!AA17</f>
        <v>0</v>
      </c>
      <c r="AB14" s="210" t="str">
        <f>'  תקציב מינהל תפעול 2025 '!AB17</f>
        <v>סל עבודות איטום מקלטים  עפ"י תוכנית ומערכת שליטה והגנה על מיקלטים בעיר.</v>
      </c>
      <c r="AC14" s="127">
        <f>'  תקציב מינהל תפעול 2025 '!AC17</f>
        <v>723000</v>
      </c>
    </row>
    <row r="15" spans="1:68" s="596" customFormat="1" ht="20.100000000000001" customHeight="1">
      <c r="A15" s="7"/>
      <c r="B15" s="7"/>
      <c r="C15" s="122" t="s">
        <v>1343</v>
      </c>
      <c r="D15" s="8">
        <f>SUM(D9:D14)</f>
        <v>52230000</v>
      </c>
      <c r="E15" s="8">
        <f t="shared" ref="E15:AA15" si="1">SUM(E9:E14)</f>
        <v>50660000</v>
      </c>
      <c r="F15" s="8">
        <f t="shared" si="1"/>
        <v>1570000</v>
      </c>
      <c r="G15" s="8">
        <f t="shared" si="1"/>
        <v>39820000</v>
      </c>
      <c r="H15" s="8">
        <f t="shared" si="1"/>
        <v>14635963</v>
      </c>
      <c r="I15" s="8">
        <f t="shared" si="1"/>
        <v>0</v>
      </c>
      <c r="J15" s="8">
        <f t="shared" si="1"/>
        <v>11851740</v>
      </c>
      <c r="K15" s="8">
        <f t="shared" si="1"/>
        <v>11851740</v>
      </c>
      <c r="L15" s="8">
        <f t="shared" si="1"/>
        <v>26487703</v>
      </c>
      <c r="M15" s="8">
        <f t="shared" si="1"/>
        <v>13332297</v>
      </c>
      <c r="N15" s="8">
        <f t="shared" si="1"/>
        <v>3000000</v>
      </c>
      <c r="O15" s="8">
        <f t="shared" si="1"/>
        <v>9410000</v>
      </c>
      <c r="P15" s="8">
        <f t="shared" si="1"/>
        <v>13332297</v>
      </c>
      <c r="Q15" s="8">
        <f t="shared" si="1"/>
        <v>0</v>
      </c>
      <c r="R15" s="8">
        <f t="shared" si="1"/>
        <v>0</v>
      </c>
      <c r="S15" s="8">
        <f t="shared" si="1"/>
        <v>0</v>
      </c>
      <c r="T15" s="8">
        <f t="shared" si="1"/>
        <v>0</v>
      </c>
      <c r="U15" s="8">
        <f t="shared" si="1"/>
        <v>3000000</v>
      </c>
      <c r="V15" s="8">
        <f t="shared" si="1"/>
        <v>0</v>
      </c>
      <c r="W15" s="8">
        <f t="shared" si="1"/>
        <v>3000000</v>
      </c>
      <c r="X15" s="8">
        <f t="shared" si="1"/>
        <v>0</v>
      </c>
      <c r="Y15" s="8">
        <f t="shared" si="1"/>
        <v>0</v>
      </c>
      <c r="Z15" s="8">
        <f t="shared" si="1"/>
        <v>0</v>
      </c>
      <c r="AA15" s="8">
        <f t="shared" si="1"/>
        <v>0</v>
      </c>
      <c r="AB15" s="125"/>
      <c r="AC15" s="129"/>
      <c r="AD15" s="678"/>
      <c r="AE15" s="678"/>
      <c r="AF15" s="678"/>
      <c r="AG15" s="678"/>
      <c r="AH15" s="678"/>
      <c r="AI15" s="678"/>
      <c r="AJ15" s="678"/>
      <c r="AK15" s="678"/>
      <c r="AL15" s="678"/>
      <c r="AM15" s="678"/>
      <c r="AN15" s="678"/>
      <c r="AO15" s="678"/>
      <c r="AT15" s="523"/>
      <c r="AU15" s="523"/>
      <c r="AV15" s="523"/>
      <c r="AW15" s="523"/>
      <c r="AX15" s="523"/>
      <c r="AY15" s="523"/>
      <c r="AZ15" s="523"/>
    </row>
    <row r="16" spans="1:68" s="596" customFormat="1" ht="20.100000000000001" customHeight="1">
      <c r="A16" s="7"/>
      <c r="B16" s="7"/>
      <c r="C16" s="129">
        <v>73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679"/>
      <c r="R16" s="8"/>
      <c r="S16" s="8"/>
      <c r="T16" s="8"/>
      <c r="U16" s="8"/>
      <c r="V16" s="8"/>
      <c r="W16" s="8"/>
      <c r="X16" s="8"/>
      <c r="Y16" s="8"/>
      <c r="Z16" s="8"/>
      <c r="AA16" s="7"/>
      <c r="AB16" s="125"/>
      <c r="AC16" s="129"/>
      <c r="AD16" s="678"/>
      <c r="AE16" s="678"/>
      <c r="AF16" s="678"/>
      <c r="AG16" s="678"/>
      <c r="AH16" s="678"/>
      <c r="AI16" s="678"/>
      <c r="AJ16" s="678"/>
      <c r="AK16" s="678"/>
      <c r="AL16" s="678"/>
      <c r="AM16" s="678"/>
      <c r="AN16" s="678"/>
      <c r="AO16" s="678"/>
      <c r="AT16" s="523"/>
      <c r="AU16" s="523"/>
      <c r="AV16" s="523"/>
      <c r="AW16" s="523"/>
      <c r="AX16" s="523"/>
      <c r="AY16" s="523"/>
      <c r="AZ16" s="523"/>
    </row>
    <row r="17" spans="1:68" ht="50.25" customHeight="1">
      <c r="A17" s="3">
        <f>A14+1</f>
        <v>8</v>
      </c>
      <c r="B17" s="3">
        <f>'  תקציב מינהל תפעול 2025 '!B6</f>
        <v>1247</v>
      </c>
      <c r="C17" s="202" t="str">
        <f>'  תקציב מינהל תפעול 2025 '!C6</f>
        <v>תכנון ייעוץ הנדסי "סל"</v>
      </c>
      <c r="D17" s="4">
        <f>'  תקציב מינהל תפעול 2025 '!D6</f>
        <v>10250000</v>
      </c>
      <c r="E17" s="4">
        <f>'  תקציב מינהל תפעול 2025 '!E6</f>
        <v>10050000</v>
      </c>
      <c r="F17" s="4">
        <f>'  תקציב מינהל תפעול 2025 '!F6</f>
        <v>200000</v>
      </c>
      <c r="G17" s="4">
        <f>'  תקציב מינהל תפעול 2025 '!G6</f>
        <v>9850000</v>
      </c>
      <c r="H17" s="4">
        <f>'  תקציב מינהל תפעול 2025 '!H6</f>
        <v>9617553</v>
      </c>
      <c r="I17" s="4">
        <f>'  תקציב מינהל תפעול 2025 '!I6</f>
        <v>0</v>
      </c>
      <c r="J17" s="4">
        <f>'  תקציב מינהל תפעול 2025 '!J6</f>
        <v>159361</v>
      </c>
      <c r="K17" s="4">
        <f>'  תקציב מינהל תפעול 2025 '!K6</f>
        <v>159361</v>
      </c>
      <c r="L17" s="4">
        <f>'  תקציב מינהל תפעול 2025 '!L6</f>
        <v>9776914</v>
      </c>
      <c r="M17" s="4">
        <f>'  תקציב מינהל תפעול 2025 '!M6</f>
        <v>273086</v>
      </c>
      <c r="N17" s="4">
        <f>'  תקציב מינהל תפעול 2025 '!N6</f>
        <v>200000</v>
      </c>
      <c r="O17" s="4">
        <f>'  תקציב מינהל תפעול 2025 '!O6</f>
        <v>0</v>
      </c>
      <c r="P17" s="4">
        <f>'  תקציב מינהל תפעול 2025 '!P6</f>
        <v>73086</v>
      </c>
      <c r="Q17" s="4">
        <f>'  תקציב מינהל תפעול 2025 '!Q6</f>
        <v>200000</v>
      </c>
      <c r="R17" s="4">
        <f>'  תקציב מינהל תפעול 2025 '!R6</f>
        <v>0</v>
      </c>
      <c r="S17" s="4">
        <f>'  תקציב מינהל תפעול 2025 '!S6</f>
        <v>200000</v>
      </c>
      <c r="T17" s="4">
        <f>'  תקציב מינהל תפעול 2025 '!T6</f>
        <v>0</v>
      </c>
      <c r="U17" s="4">
        <f>'  תקציב מינהל תפעול 2025 '!U6</f>
        <v>200000</v>
      </c>
      <c r="V17" s="4">
        <f>'  תקציב מינהל תפעול 2025 '!V6</f>
        <v>0</v>
      </c>
      <c r="W17" s="4">
        <f>'  תקציב מינהל תפעול 2025 '!W6</f>
        <v>200000</v>
      </c>
      <c r="X17" s="4">
        <f>'  תקציב מינהל תפעול 2025 '!X6</f>
        <v>0</v>
      </c>
      <c r="Y17" s="4">
        <f>'  תקציב מינהל תפעול 2025 '!Y6</f>
        <v>0</v>
      </c>
      <c r="Z17" s="4">
        <f>'  תקציב מינהל תפעול 2025 '!Z6</f>
        <v>0</v>
      </c>
      <c r="AA17" s="3">
        <f>'  תקציב מינהל תפעול 2025 '!AA6</f>
        <v>0</v>
      </c>
      <c r="AB17" s="202" t="str">
        <f>'  תקציב מינהל תפעול 2025 '!AB6</f>
        <v xml:space="preserve">סל לייעוץ וקידום תכנון הנדסי. </v>
      </c>
      <c r="AC17" s="3">
        <f>'  תקציב מינהל תפעול 2025 '!AC6</f>
        <v>732000</v>
      </c>
    </row>
    <row r="18" spans="1:68" s="596" customFormat="1" ht="20.100000000000001" customHeight="1">
      <c r="A18" s="7"/>
      <c r="B18" s="7"/>
      <c r="C18" s="13" t="s">
        <v>1330</v>
      </c>
      <c r="D18" s="8">
        <f>SUM(D17)</f>
        <v>10250000</v>
      </c>
      <c r="E18" s="8">
        <f t="shared" ref="E18:AA18" si="2">SUM(E17)</f>
        <v>10050000</v>
      </c>
      <c r="F18" s="8">
        <f t="shared" si="2"/>
        <v>200000</v>
      </c>
      <c r="G18" s="8">
        <f t="shared" si="2"/>
        <v>9850000</v>
      </c>
      <c r="H18" s="8">
        <f t="shared" si="2"/>
        <v>9617553</v>
      </c>
      <c r="I18" s="8">
        <f t="shared" si="2"/>
        <v>0</v>
      </c>
      <c r="J18" s="8">
        <f t="shared" si="2"/>
        <v>159361</v>
      </c>
      <c r="K18" s="8">
        <f t="shared" si="2"/>
        <v>159361</v>
      </c>
      <c r="L18" s="8">
        <f t="shared" si="2"/>
        <v>9776914</v>
      </c>
      <c r="M18" s="8">
        <f t="shared" si="2"/>
        <v>273086</v>
      </c>
      <c r="N18" s="8">
        <f t="shared" si="2"/>
        <v>200000</v>
      </c>
      <c r="O18" s="8">
        <f t="shared" si="2"/>
        <v>0</v>
      </c>
      <c r="P18" s="8">
        <f t="shared" si="2"/>
        <v>73086</v>
      </c>
      <c r="Q18" s="8">
        <f t="shared" si="2"/>
        <v>200000</v>
      </c>
      <c r="R18" s="8">
        <f t="shared" si="2"/>
        <v>0</v>
      </c>
      <c r="S18" s="8">
        <f t="shared" si="2"/>
        <v>200000</v>
      </c>
      <c r="T18" s="8">
        <f t="shared" si="2"/>
        <v>0</v>
      </c>
      <c r="U18" s="8">
        <f t="shared" si="2"/>
        <v>200000</v>
      </c>
      <c r="V18" s="8">
        <f t="shared" si="2"/>
        <v>0</v>
      </c>
      <c r="W18" s="8">
        <f t="shared" si="2"/>
        <v>200000</v>
      </c>
      <c r="X18" s="8">
        <f t="shared" si="2"/>
        <v>0</v>
      </c>
      <c r="Y18" s="8">
        <f t="shared" si="2"/>
        <v>0</v>
      </c>
      <c r="Z18" s="8">
        <f t="shared" si="2"/>
        <v>0</v>
      </c>
      <c r="AA18" s="8">
        <f t="shared" si="2"/>
        <v>0</v>
      </c>
      <c r="AB18" s="13"/>
      <c r="AC18" s="7"/>
      <c r="AD18" s="678"/>
      <c r="AE18" s="678"/>
      <c r="AF18" s="678"/>
      <c r="AG18" s="678"/>
      <c r="AH18" s="678"/>
      <c r="AI18" s="678"/>
      <c r="AJ18" s="678"/>
      <c r="AK18" s="678"/>
      <c r="AL18" s="678"/>
      <c r="AM18" s="678"/>
      <c r="AN18" s="678"/>
      <c r="AO18" s="678"/>
      <c r="AT18" s="523"/>
      <c r="AU18" s="523"/>
      <c r="AV18" s="523"/>
      <c r="AW18" s="523"/>
      <c r="AX18" s="523"/>
      <c r="AY18" s="523"/>
      <c r="AZ18" s="523"/>
    </row>
    <row r="19" spans="1:68" s="596" customFormat="1" ht="20.100000000000001" customHeight="1">
      <c r="A19" s="7"/>
      <c r="B19" s="7"/>
      <c r="C19" s="7">
        <v>74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7"/>
      <c r="AB19" s="13"/>
      <c r="AC19" s="7"/>
      <c r="AD19" s="678"/>
      <c r="AE19" s="678"/>
      <c r="AF19" s="678"/>
      <c r="AG19" s="678"/>
      <c r="AH19" s="678"/>
      <c r="AI19" s="678"/>
      <c r="AJ19" s="678"/>
      <c r="AK19" s="678"/>
      <c r="AL19" s="678"/>
      <c r="AM19" s="678"/>
      <c r="AN19" s="678"/>
      <c r="AO19" s="678"/>
      <c r="AT19" s="523"/>
      <c r="AU19" s="523"/>
      <c r="AV19" s="523"/>
      <c r="AW19" s="523"/>
      <c r="AX19" s="523"/>
      <c r="AY19" s="523"/>
      <c r="AZ19" s="523"/>
    </row>
    <row r="20" spans="1:68" ht="38.25" customHeight="1">
      <c r="A20" s="3">
        <f>A17+1</f>
        <v>9</v>
      </c>
      <c r="B20" s="3">
        <f>'  תקציב מינהל תפעול 2025 '!B14</f>
        <v>1489</v>
      </c>
      <c r="C20" s="202" t="str">
        <f>'  תקציב מינהל תפעול 2025 '!C14</f>
        <v>שדרוג כבישים מדרכות תשתיות</v>
      </c>
      <c r="D20" s="4">
        <f>'  תקציב מינהל תפעול 2025 '!D14</f>
        <v>66500000</v>
      </c>
      <c r="E20" s="4">
        <f>'  תקציב מינהל תפעול 2025 '!E14</f>
        <v>66500000</v>
      </c>
      <c r="F20" s="4">
        <f>'  תקציב מינהל תפעול 2025 '!F14</f>
        <v>0</v>
      </c>
      <c r="G20" s="4">
        <f>'  תקציב מינהל תפעול 2025 '!G14</f>
        <v>66500000</v>
      </c>
      <c r="H20" s="4">
        <f>'  תקציב מינהל תפעול 2025 '!H14</f>
        <v>63240735</v>
      </c>
      <c r="I20" s="4">
        <f>'  תקציב מינהל תפעול 2025 '!I14</f>
        <v>0</v>
      </c>
      <c r="J20" s="4">
        <f>'  תקציב מינהל תפעול 2025 '!J14</f>
        <v>2738494</v>
      </c>
      <c r="K20" s="4">
        <f>'  תקציב מינהל תפעול 2025 '!K14</f>
        <v>2738494</v>
      </c>
      <c r="L20" s="4">
        <f>'  תקציב מינהל תפעול 2025 '!L14</f>
        <v>65979229</v>
      </c>
      <c r="M20" s="4">
        <f>'  תקציב מינהל תפעול 2025 '!M14</f>
        <v>520771</v>
      </c>
      <c r="N20" s="4">
        <f>'  תקציב מינהל תפעול 2025 '!N14</f>
        <v>0</v>
      </c>
      <c r="O20" s="4">
        <f>'  תקציב מינהל תפעול 2025 '!O14</f>
        <v>0</v>
      </c>
      <c r="P20" s="4">
        <f>'  תקציב מינהל תפעול 2025 '!P14</f>
        <v>520771</v>
      </c>
      <c r="Q20" s="311">
        <f>'  תקציב מינהל תפעול 2025 '!Q14</f>
        <v>0</v>
      </c>
      <c r="R20" s="4">
        <f>'  תקציב מינהל תפעול 2025 '!R14</f>
        <v>0</v>
      </c>
      <c r="S20" s="4">
        <f>'  תקציב מינהל תפעול 2025 '!S14</f>
        <v>0</v>
      </c>
      <c r="T20" s="4">
        <f>'  תקציב מינהל תפעול 2025 '!T14</f>
        <v>0</v>
      </c>
      <c r="U20" s="4">
        <f>'  תקציב מינהל תפעול 2025 '!U14</f>
        <v>0</v>
      </c>
      <c r="V20" s="4">
        <f>'  תקציב מינהל תפעול 2025 '!V14</f>
        <v>0</v>
      </c>
      <c r="W20" s="4">
        <f>'  תקציב מינהל תפעול 2025 '!W14</f>
        <v>0</v>
      </c>
      <c r="X20" s="4">
        <f>'  תקציב מינהל תפעול 2025 '!X14</f>
        <v>0</v>
      </c>
      <c r="Y20" s="4">
        <f>'  תקציב מינהל תפעול 2025 '!Y14</f>
        <v>0</v>
      </c>
      <c r="Z20" s="4">
        <f>'  תקציב מינהל תפעול 2025 '!Z14</f>
        <v>0</v>
      </c>
      <c r="AA20" s="3">
        <f>'  תקציב מינהל תפעול 2025 '!AA14</f>
        <v>0</v>
      </c>
      <c r="AB20" s="202" t="str">
        <f>'  תקציב מינהל תפעול 2025 '!AB14</f>
        <v>סל לשדרוג כבישים במקביל לעבודת תאגיד המים ומדרכות ברחבי העיר עפ"י תוכנית עבודה שתאושר ע"י הנהלת העיר. ראה תב"ר המשך מס' 20115.</v>
      </c>
      <c r="AC20" s="3">
        <f>'  תקציב מינהל תפעול 2025 '!AC14</f>
        <v>742000</v>
      </c>
    </row>
    <row r="21" spans="1:68" ht="30">
      <c r="A21" s="3">
        <f t="shared" ref="A21:A44" si="3">A20+1</f>
        <v>10</v>
      </c>
      <c r="B21" s="3">
        <f>'  תקציב מינהל תפעול 2025 '!B19</f>
        <v>1848</v>
      </c>
      <c r="C21" s="202" t="str">
        <f>'  תקציב מינהל תפעול 2025 '!C19</f>
        <v xml:space="preserve">פרויקטים קטנים  מינהל התפעול </v>
      </c>
      <c r="D21" s="4">
        <f>'  תקציב מינהל תפעול 2025 '!D19</f>
        <v>2200000</v>
      </c>
      <c r="E21" s="4">
        <f>'  תקציב מינהל תפעול 2025 '!E19</f>
        <v>2000000</v>
      </c>
      <c r="F21" s="4">
        <f>'  תקציב מינהל תפעול 2025 '!F19</f>
        <v>200000</v>
      </c>
      <c r="G21" s="4">
        <f>'  תקציב מינהל תפעול 2025 '!G19</f>
        <v>2000000</v>
      </c>
      <c r="H21" s="4">
        <f>'  תקציב מינהל תפעול 2025 '!H19</f>
        <v>1782300</v>
      </c>
      <c r="I21" s="4">
        <f>'  תקציב מינהל תפעול 2025 '!I19</f>
        <v>0</v>
      </c>
      <c r="J21" s="4">
        <f>'  תקציב מינהל תפעול 2025 '!J19</f>
        <v>194720</v>
      </c>
      <c r="K21" s="4">
        <f>'  תקציב מינהל תפעול 2025 '!K19</f>
        <v>194720</v>
      </c>
      <c r="L21" s="4">
        <f>'  תקציב מינהל תפעול 2025 '!L19</f>
        <v>1977020</v>
      </c>
      <c r="M21" s="4">
        <f>'  תקציב מינהל תפעול 2025 '!M19</f>
        <v>22980</v>
      </c>
      <c r="N21" s="4">
        <f>'  תקציב מינהל תפעול 2025 '!N19</f>
        <v>200000</v>
      </c>
      <c r="O21" s="4">
        <f>'  תקציב מינהל תפעול 2025 '!O19</f>
        <v>0</v>
      </c>
      <c r="P21" s="4">
        <f>'  תקציב מינהל תפעול 2025 '!P19</f>
        <v>22980</v>
      </c>
      <c r="Q21" s="311">
        <f>'  תקציב מינהל תפעול 2025 '!Q19</f>
        <v>0</v>
      </c>
      <c r="R21" s="4">
        <f>'  תקציב מינהל תפעול 2025 '!R19</f>
        <v>0</v>
      </c>
      <c r="S21" s="4">
        <f>'  תקציב מינהל תפעול 2025 '!S19</f>
        <v>0</v>
      </c>
      <c r="T21" s="4">
        <f>'  תקציב מינהל תפעול 2025 '!T19</f>
        <v>0</v>
      </c>
      <c r="U21" s="4">
        <f>'  תקציב מינהל תפעול 2025 '!U19</f>
        <v>200000</v>
      </c>
      <c r="V21" s="4">
        <f>'  תקציב מינהל תפעול 2025 '!V19</f>
        <v>0</v>
      </c>
      <c r="W21" s="4">
        <f>'  תקציב מינהל תפעול 2025 '!W19</f>
        <v>200000</v>
      </c>
      <c r="X21" s="4">
        <f>'  תקציב מינהל תפעול 2025 '!X19</f>
        <v>0</v>
      </c>
      <c r="Y21" s="4">
        <f>'  תקציב מינהל תפעול 2025 '!Y19</f>
        <v>0</v>
      </c>
      <c r="Z21" s="4">
        <f>'  תקציב מינהל תפעול 2025 '!Z19</f>
        <v>0</v>
      </c>
      <c r="AA21" s="3">
        <f>'  תקציב מינהל תפעול 2025 '!AA19</f>
        <v>0</v>
      </c>
      <c r="AB21" s="202" t="str">
        <f>'  תקציב מינהל תפעול 2025 '!AB19</f>
        <v>סל לביצוע עבודות פרויקטים קטנים הנדרשים ע"י המינהל מעת לעת.</v>
      </c>
      <c r="AC21" s="3">
        <f>'  תקציב מינהל תפעול 2025 '!AC19</f>
        <v>742000</v>
      </c>
    </row>
    <row r="22" spans="1:68" ht="33.75" customHeight="1">
      <c r="A22" s="3">
        <f t="shared" si="3"/>
        <v>11</v>
      </c>
      <c r="B22" s="3">
        <f>'  תקציב מינהל תפעול 2025 '!B27</f>
        <v>1973</v>
      </c>
      <c r="C22" s="202" t="str">
        <f>'  תקציב מינהל תפעול 2025 '!C27</f>
        <v>שילוט ברחבי העיר</v>
      </c>
      <c r="D22" s="4">
        <f>'  תקציב מינהל תפעול 2025 '!D27</f>
        <v>3250000</v>
      </c>
      <c r="E22" s="4">
        <f>'  תקציב מינהל תפעול 2025 '!E27</f>
        <v>3250000</v>
      </c>
      <c r="F22" s="4">
        <f>'  תקציב מינהל תפעול 2025 '!F27</f>
        <v>0</v>
      </c>
      <c r="G22" s="4">
        <f>'  תקציב מינהל תפעול 2025 '!G27</f>
        <v>2300000</v>
      </c>
      <c r="H22" s="4">
        <f>'  תקציב מינהל תפעול 2025 '!H27</f>
        <v>2237589.58</v>
      </c>
      <c r="I22" s="4">
        <f>'  תקציב מינהל תפעול 2025 '!I27</f>
        <v>0</v>
      </c>
      <c r="J22" s="4">
        <f>'  תקציב מינהל תפעול 2025 '!J27</f>
        <v>61550.400000000001</v>
      </c>
      <c r="K22" s="4">
        <f>'  תקציב מינהל תפעול 2025 '!K27</f>
        <v>61550.400000000001</v>
      </c>
      <c r="L22" s="4">
        <f>'  תקציב מינהל תפעול 2025 '!L27</f>
        <v>2299139.98</v>
      </c>
      <c r="M22" s="4">
        <f>'  תקציב מינהל תפעול 2025 '!M27</f>
        <v>860.02000000001863</v>
      </c>
      <c r="N22" s="4">
        <f>'  תקציב מינהל תפעול 2025 '!N27</f>
        <v>100000</v>
      </c>
      <c r="O22" s="4">
        <f>'  תקציב מינהל תפעול 2025 '!O27</f>
        <v>850000</v>
      </c>
      <c r="P22" s="4">
        <f>'  תקציב מינהל תפעול 2025 '!P27</f>
        <v>860.02000000001863</v>
      </c>
      <c r="Q22" s="311">
        <f>'  תקציב מינהל תפעול 2025 '!Q27</f>
        <v>0</v>
      </c>
      <c r="R22" s="4">
        <f>'  תקציב מינהל תפעול 2025 '!R27</f>
        <v>0</v>
      </c>
      <c r="S22" s="4">
        <f>'  תקציב מינהל תפעול 2025 '!S27</f>
        <v>0</v>
      </c>
      <c r="T22" s="4">
        <f>'  תקציב מינהל תפעול 2025 '!T27</f>
        <v>0</v>
      </c>
      <c r="U22" s="4">
        <f>'  תקציב מינהל תפעול 2025 '!U27</f>
        <v>100000</v>
      </c>
      <c r="V22" s="4">
        <f>'  תקציב מינהל תפעול 2025 '!V27</f>
        <v>0</v>
      </c>
      <c r="W22" s="4">
        <f>'  תקציב מינהל תפעול 2025 '!W27</f>
        <v>100000</v>
      </c>
      <c r="X22" s="4">
        <f>'  תקציב מינהל תפעול 2025 '!X27</f>
        <v>0</v>
      </c>
      <c r="Y22" s="4">
        <f>'  תקציב מינהל תפעול 2025 '!Y27</f>
        <v>0</v>
      </c>
      <c r="Z22" s="4">
        <f>'  תקציב מינהל תפעול 2025 '!Z27</f>
        <v>0</v>
      </c>
      <c r="AA22" s="3">
        <f>'  תקציב מינהל תפעול 2025 '!AA27</f>
        <v>0</v>
      </c>
      <c r="AB22" s="202" t="str">
        <f>'  תקציב מינהל תפעול 2025 '!AB27</f>
        <v>תוכנית אב לשילוט של כל סוגי השילוט בעיר .</v>
      </c>
      <c r="AC22" s="3">
        <f>'  תקציב מינהל תפעול 2025 '!AC27</f>
        <v>742000</v>
      </c>
    </row>
    <row r="23" spans="1:68" ht="63.75" customHeight="1">
      <c r="A23" s="3">
        <f t="shared" si="3"/>
        <v>12</v>
      </c>
      <c r="B23" s="3">
        <f>'  תקציב מינהל תפעול 2025 '!B44</f>
        <v>2167</v>
      </c>
      <c r="C23" s="202" t="str">
        <f>'  תקציב מינהל תפעול 2025 '!C44</f>
        <v>הקמת סככות המתנה לאוטובוס כולל תשתיות</v>
      </c>
      <c r="D23" s="4">
        <f>'  תקציב מינהל תפעול 2025 '!D44</f>
        <v>1400000</v>
      </c>
      <c r="E23" s="4">
        <f>'  תקציב מינהל תפעול 2025 '!E44</f>
        <v>1400000</v>
      </c>
      <c r="F23" s="4">
        <f>'  תקציב מינהל תפעול 2025 '!F44</f>
        <v>0</v>
      </c>
      <c r="G23" s="4">
        <f>'  תקציב מינהל תפעול 2025 '!G44</f>
        <v>100000</v>
      </c>
      <c r="H23" s="4">
        <f>'  תקציב מינהל תפעול 2025 '!H44</f>
        <v>94687</v>
      </c>
      <c r="I23" s="4">
        <f>'  תקציב מינהל תפעול 2025 '!I44</f>
        <v>0</v>
      </c>
      <c r="J23" s="4">
        <f>'  תקציב מינהל תפעול 2025 '!J44</f>
        <v>4661</v>
      </c>
      <c r="K23" s="4">
        <f>'  תקציב מינהל תפעול 2025 '!K44</f>
        <v>4661</v>
      </c>
      <c r="L23" s="4">
        <f>'  תקציב מינהל תפעול 2025 '!L44</f>
        <v>99348</v>
      </c>
      <c r="M23" s="4">
        <f>'  תקציב מינהל תפעול 2025 '!M44</f>
        <v>50652</v>
      </c>
      <c r="N23" s="4">
        <f>'  תקציב מינהל תפעול 2025 '!N44</f>
        <v>0</v>
      </c>
      <c r="O23" s="4">
        <f>'  תקציב מינהל תפעול 2025 '!O44</f>
        <v>1250000</v>
      </c>
      <c r="P23" s="4">
        <f>'  תקציב מינהל תפעול 2025 '!P44</f>
        <v>652</v>
      </c>
      <c r="Q23" s="4">
        <f>'  תקציב מינהל תפעול 2025 '!Q44</f>
        <v>50000</v>
      </c>
      <c r="R23" s="4">
        <f>'  תקציב מינהל תפעול 2025 '!R44</f>
        <v>0</v>
      </c>
      <c r="S23" s="4">
        <f>'  תקציב מינהל תפעול 2025 '!S44</f>
        <v>50000</v>
      </c>
      <c r="T23" s="4">
        <f>'  תקציב מינהל תפעול 2025 '!T44</f>
        <v>0</v>
      </c>
      <c r="U23" s="4">
        <f>'  תקציב מינהל תפעול 2025 '!U44</f>
        <v>0</v>
      </c>
      <c r="V23" s="4">
        <f>'  תקציב מינהל תפעול 2025 '!V44</f>
        <v>0</v>
      </c>
      <c r="W23" s="4">
        <f>'  תקציב מינהל תפעול 2025 '!W44</f>
        <v>0</v>
      </c>
      <c r="X23" s="4">
        <f>'  תקציב מינהל תפעול 2025 '!X44</f>
        <v>0</v>
      </c>
      <c r="Y23" s="4">
        <f>'  תקציב מינהל תפעול 2025 '!Y44</f>
        <v>0</v>
      </c>
      <c r="Z23" s="4">
        <f>'  תקציב מינהל תפעול 2025 '!Z44</f>
        <v>0</v>
      </c>
      <c r="AA23" s="3">
        <f>'  תקציב מינהל תפעול 2025 '!AA44</f>
        <v>0</v>
      </c>
      <c r="AB23" s="202" t="str">
        <f>'  תקציב מינהל תפעול 2025 '!AB44</f>
        <v>התקנת תאורה בתחנות אוטובוס ברחבי העיר שהקים מ.התחבורה  וביצוע תשתיות לתחנות אוטובוס שיוצבו ע"י מ. התחבורה.</v>
      </c>
      <c r="AC23" s="3">
        <f>'  תקציב מינהל תפעול 2025 '!AC44</f>
        <v>742000</v>
      </c>
    </row>
    <row r="24" spans="1:68" ht="30">
      <c r="A24" s="3">
        <f t="shared" si="3"/>
        <v>13</v>
      </c>
      <c r="B24" s="3">
        <f>'  תקציב מינהל תפעול 2025 '!B56</f>
        <v>2237</v>
      </c>
      <c r="C24" s="202" t="str">
        <f>'  תקציב מינהל תפעול 2025 '!C56</f>
        <v>הקמת קירות תמך ברחבי העיר</v>
      </c>
      <c r="D24" s="4">
        <f>'  תקציב מינהל תפעול 2025 '!D56</f>
        <v>1700000</v>
      </c>
      <c r="E24" s="4">
        <f>'  תקציב מינהל תפעול 2025 '!E56</f>
        <v>1700000</v>
      </c>
      <c r="F24" s="4">
        <f>'  תקציב מינהל תפעול 2025 '!F56</f>
        <v>0</v>
      </c>
      <c r="G24" s="4">
        <f>'  תקציב מינהל תפעול 2025 '!G56</f>
        <v>1250000</v>
      </c>
      <c r="H24" s="4">
        <f>'  תקציב מינהל תפעול 2025 '!H56</f>
        <v>1047135</v>
      </c>
      <c r="I24" s="4">
        <f>'  תקציב מינהל תפעול 2025 '!I56</f>
        <v>0</v>
      </c>
      <c r="J24" s="4">
        <f>'  תקציב מינהל תפעול 2025 '!J56</f>
        <v>0</v>
      </c>
      <c r="K24" s="4">
        <f>'  תקציב מינהל תפעול 2025 '!K56</f>
        <v>0</v>
      </c>
      <c r="L24" s="4">
        <f>'  תקציב מינהל תפעול 2025 '!L56</f>
        <v>1047135</v>
      </c>
      <c r="M24" s="4">
        <f>'  תקציב מינהל תפעול 2025 '!M56</f>
        <v>202865</v>
      </c>
      <c r="N24" s="4">
        <f>'  תקציב מינהל תפעול 2025 '!N56</f>
        <v>0</v>
      </c>
      <c r="O24" s="4">
        <f>'  תקציב מינהל תפעול 2025 '!O56</f>
        <v>450000</v>
      </c>
      <c r="P24" s="4">
        <f>'  תקציב מינהל תפעול 2025 '!P56</f>
        <v>202865</v>
      </c>
      <c r="Q24" s="4">
        <f>'  תקציב מינהל תפעול 2025 '!Q56</f>
        <v>0</v>
      </c>
      <c r="R24" s="4">
        <f>'  תקציב מינהל תפעול 2025 '!R56</f>
        <v>0</v>
      </c>
      <c r="S24" s="4">
        <f>'  תקציב מינהל תפעול 2025 '!S56</f>
        <v>0</v>
      </c>
      <c r="T24" s="4">
        <f>'  תקציב מינהל תפעול 2025 '!T56</f>
        <v>0</v>
      </c>
      <c r="U24" s="4">
        <f>'  תקציב מינהל תפעול 2025 '!U56</f>
        <v>0</v>
      </c>
      <c r="V24" s="4">
        <f>'  תקציב מינהל תפעול 2025 '!V56</f>
        <v>0</v>
      </c>
      <c r="W24" s="4">
        <f>'  תקציב מינהל תפעול 2025 '!W56</f>
        <v>0</v>
      </c>
      <c r="X24" s="4">
        <f>'  תקציב מינהל תפעול 2025 '!X56</f>
        <v>0</v>
      </c>
      <c r="Y24" s="4">
        <f>'  תקציב מינהל תפעול 2025 '!Y56</f>
        <v>0</v>
      </c>
      <c r="Z24" s="4">
        <f>'  תקציב מינהל תפעול 2025 '!Z56</f>
        <v>0</v>
      </c>
      <c r="AA24" s="3">
        <f>'  תקציב מינהל תפעול 2025 '!AA56</f>
        <v>0</v>
      </c>
      <c r="AB24" s="202" t="str">
        <f>'  תקציב מינהל תפעול 2025 '!AB56</f>
        <v xml:space="preserve">הקמת קירות תמך עקב בעיות בטיחות במרחב הציבורי. </v>
      </c>
      <c r="AC24" s="3">
        <f>'  תקציב מינהל תפעול 2025 '!AC56</f>
        <v>742000</v>
      </c>
    </row>
    <row r="25" spans="1:68" ht="29.25" customHeight="1">
      <c r="A25" s="3">
        <f t="shared" si="3"/>
        <v>14</v>
      </c>
      <c r="B25" s="3">
        <f>'  תקציב מינהל תפעול 2025 '!B58</f>
        <v>2239</v>
      </c>
      <c r="C25" s="202" t="str">
        <f>'  תקציב מינהל תפעול 2025 '!C58</f>
        <v>מתיחת פנים בנווה עמל</v>
      </c>
      <c r="D25" s="4">
        <f>'  תקציב מינהל תפעול 2025 '!D58</f>
        <v>30000000</v>
      </c>
      <c r="E25" s="4">
        <f>'  תקציב מינהל תפעול 2025 '!E58</f>
        <v>30000000</v>
      </c>
      <c r="F25" s="4">
        <f>'  תקציב מינהל תפעול 2025 '!F58</f>
        <v>0</v>
      </c>
      <c r="G25" s="4">
        <f>'  תקציב מינהל תפעול 2025 '!G58</f>
        <v>7300000</v>
      </c>
      <c r="H25" s="4">
        <f>'  תקציב מינהל תפעול 2025 '!H58</f>
        <v>3372000.81</v>
      </c>
      <c r="I25" s="4">
        <f>'  תקציב מינהל תפעול 2025 '!I58</f>
        <v>0</v>
      </c>
      <c r="J25" s="4">
        <f>'  תקציב מינהל תפעול 2025 '!J58</f>
        <v>3554315.37</v>
      </c>
      <c r="K25" s="4">
        <f>'  תקציב מינהל תפעול 2025 '!K58</f>
        <v>3554315.37</v>
      </c>
      <c r="L25" s="4">
        <f>'  תקציב מינהל תפעול 2025 '!L58</f>
        <v>6926316.1799999997</v>
      </c>
      <c r="M25" s="4">
        <f>'  תקציב מינהל תפעול 2025 '!M58</f>
        <v>373683.8200000003</v>
      </c>
      <c r="N25" s="4">
        <f>'  תקציב מינהל תפעול 2025 '!N58</f>
        <v>500000</v>
      </c>
      <c r="O25" s="4">
        <f>'  תקציב מינהל תפעול 2025 '!O58</f>
        <v>22200000</v>
      </c>
      <c r="P25" s="4">
        <f>'  תקציב מינהל תפעול 2025 '!P58</f>
        <v>373683.8200000003</v>
      </c>
      <c r="Q25" s="4">
        <f>'  תקציב מינהל תפעול 2025 '!Q58</f>
        <v>0</v>
      </c>
      <c r="R25" s="4">
        <f>'  תקציב מינהל תפעול 2025 '!R58</f>
        <v>0</v>
      </c>
      <c r="S25" s="4">
        <f>'  תקציב מינהל תפעול 2025 '!S58</f>
        <v>0</v>
      </c>
      <c r="T25" s="4">
        <f>'  תקציב מינהל תפעול 2025 '!T58</f>
        <v>0</v>
      </c>
      <c r="U25" s="4">
        <f>'  תקציב מינהל תפעול 2025 '!U58</f>
        <v>500000</v>
      </c>
      <c r="V25" s="4">
        <f>'  תקציב מינהל תפעול 2025 '!V58</f>
        <v>0</v>
      </c>
      <c r="W25" s="4">
        <f>'  תקציב מינהל תפעול 2025 '!W58</f>
        <v>500000</v>
      </c>
      <c r="X25" s="4">
        <f>'  תקציב מינהל תפעול 2025 '!X58</f>
        <v>0</v>
      </c>
      <c r="Y25" s="4">
        <f>'  תקציב מינהל תפעול 2025 '!Y58</f>
        <v>0</v>
      </c>
      <c r="Z25" s="4">
        <f>'  תקציב מינהל תפעול 2025 '!Z58</f>
        <v>0</v>
      </c>
      <c r="AA25" s="3">
        <f>'  תקציב מינהל תפעול 2025 '!AA58</f>
        <v>0</v>
      </c>
      <c r="AB25" s="202" t="str">
        <f>'  תקציב מינהל תפעול 2025 '!AB58</f>
        <v>שדרוג שכונת נווה עמל כולל: כבישים, מפרצי חנייה, מדרכות, גינון, תאורה, שילוט וריהוט רחוב.</v>
      </c>
      <c r="AC25" s="3">
        <f>'  תקציב מינהל תפעול 2025 '!AC58</f>
        <v>742000</v>
      </c>
    </row>
    <row r="26" spans="1:68" ht="37.5" customHeight="1">
      <c r="A26" s="3">
        <f t="shared" si="3"/>
        <v>15</v>
      </c>
      <c r="B26" s="3">
        <f>'  תקציב מינהל תפעול 2025 '!B62</f>
        <v>20021</v>
      </c>
      <c r="C26" s="202" t="str">
        <f>'  תקציב מינהל תפעול 2025 '!C62</f>
        <v>שדרוג רחוב אלי לנדאו</v>
      </c>
      <c r="D26" s="4">
        <f>'  תקציב מינהל תפעול 2025 '!D62</f>
        <v>13000000</v>
      </c>
      <c r="E26" s="4">
        <f>'  תקציב מינהל תפעול 2025 '!E62</f>
        <v>13000000</v>
      </c>
      <c r="F26" s="4">
        <f>'  תקציב מינהל תפעול 2025 '!F62</f>
        <v>0</v>
      </c>
      <c r="G26" s="4">
        <f>'  תקציב מינהל תפעול 2025 '!G62</f>
        <v>5380000</v>
      </c>
      <c r="H26" s="4">
        <f>'  תקציב מינהל תפעול 2025 '!H62</f>
        <v>3832154</v>
      </c>
      <c r="I26" s="4">
        <f>'  תקציב מינהל תפעול 2025 '!I62</f>
        <v>0</v>
      </c>
      <c r="J26" s="4">
        <f>'  תקציב מינהל תפעול 2025 '!J62</f>
        <v>1544562</v>
      </c>
      <c r="K26" s="4">
        <f>'  תקציב מינהל תפעול 2025 '!K62</f>
        <v>1544562</v>
      </c>
      <c r="L26" s="4">
        <f>'  תקציב מינהל תפעול 2025 '!L62</f>
        <v>5376716</v>
      </c>
      <c r="M26" s="4">
        <f>'  תקציב מינהל תפעול 2025 '!M62</f>
        <v>3284</v>
      </c>
      <c r="N26" s="4">
        <f>'  תקציב מינהל תפעול 2025 '!N62</f>
        <v>0</v>
      </c>
      <c r="O26" s="4">
        <f>'  תקציב מינהל תפעול 2025 '!O62</f>
        <v>7620000</v>
      </c>
      <c r="P26" s="4">
        <f>'  תקציב מינהל תפעול 2025 '!P62</f>
        <v>3284</v>
      </c>
      <c r="Q26" s="311">
        <f>'  תקציב מינהל תפעול 2025 '!Q62</f>
        <v>0</v>
      </c>
      <c r="R26" s="4">
        <f>'  תקציב מינהל תפעול 2025 '!R62</f>
        <v>0</v>
      </c>
      <c r="S26" s="4">
        <f>'  תקציב מינהל תפעול 2025 '!S62</f>
        <v>0</v>
      </c>
      <c r="T26" s="4">
        <f>'  תקציב מינהל תפעול 2025 '!T62</f>
        <v>0</v>
      </c>
      <c r="U26" s="4">
        <f>'  תקציב מינהל תפעול 2025 '!U62</f>
        <v>0</v>
      </c>
      <c r="V26" s="4">
        <f>'  תקציב מינהל תפעול 2025 '!V62</f>
        <v>0</v>
      </c>
      <c r="W26" s="4">
        <f>'  תקציב מינהל תפעול 2025 '!W62</f>
        <v>0</v>
      </c>
      <c r="X26" s="4">
        <f>'  תקציב מינהל תפעול 2025 '!X62</f>
        <v>0</v>
      </c>
      <c r="Y26" s="4">
        <f>'  תקציב מינהל תפעול 2025 '!Y62</f>
        <v>0</v>
      </c>
      <c r="Z26" s="4">
        <f>'  תקציב מינהל תפעול 2025 '!Z62</f>
        <v>0</v>
      </c>
      <c r="AA26" s="3">
        <f>'  תקציב מינהל תפעול 2025 '!AA62</f>
        <v>0</v>
      </c>
      <c r="AB26" s="202" t="str">
        <f>'  תקציב מינהל תפעול 2025 '!AB62</f>
        <v>שדרוג הרחוב כולל:כבישים, מפרצי חנייה, מדרכות, גינון, תאורה, שילוט וריהוט רחוב.</v>
      </c>
      <c r="AC26" s="3">
        <f>'  תקציב מינהל תפעול 2025 '!AC62</f>
        <v>742000</v>
      </c>
    </row>
    <row r="27" spans="1:68" ht="31.5" customHeight="1">
      <c r="A27" s="3">
        <f t="shared" si="3"/>
        <v>16</v>
      </c>
      <c r="B27" s="3">
        <f>'  תקציב מינהל תפעול 2025 '!B68</f>
        <v>20051</v>
      </c>
      <c r="C27" s="202" t="str">
        <f>'  תקציב מינהל תפעול 2025 '!C68</f>
        <v xml:space="preserve">שדרוג סוקולוב </v>
      </c>
      <c r="D27" s="4">
        <f>'  תקציב מינהל תפעול 2025 '!D68</f>
        <v>5600000</v>
      </c>
      <c r="E27" s="4">
        <f>'  תקציב מינהל תפעול 2025 '!E68</f>
        <v>5600000</v>
      </c>
      <c r="F27" s="4">
        <f>'  תקציב מינהל תפעול 2025 '!F68</f>
        <v>0</v>
      </c>
      <c r="G27" s="4">
        <f>'  תקציב מינהל תפעול 2025 '!G68</f>
        <v>5050000</v>
      </c>
      <c r="H27" s="4">
        <f>'  תקציב מינהל תפעול 2025 '!H68</f>
        <v>2630478.15</v>
      </c>
      <c r="I27" s="4">
        <f>'  תקציב מינהל תפעול 2025 '!I68</f>
        <v>0</v>
      </c>
      <c r="J27" s="4">
        <f>'  תקציב מינהל תפעול 2025 '!J68</f>
        <v>1565688.84</v>
      </c>
      <c r="K27" s="4">
        <f>'  תקציב מינהל תפעול 2025 '!K68</f>
        <v>1565688.84</v>
      </c>
      <c r="L27" s="4">
        <f>'  תקציב מינהל תפעול 2025 '!L68</f>
        <v>4196166.99</v>
      </c>
      <c r="M27" s="4">
        <f>'  תקציב מינהל תפעול 2025 '!M68</f>
        <v>853833.00999999978</v>
      </c>
      <c r="N27" s="4">
        <f>'  תקציב מינהל תפעול 2025 '!N68</f>
        <v>400000</v>
      </c>
      <c r="O27" s="4">
        <f>'  תקציב מינהל תפעול 2025 '!O68</f>
        <v>150000</v>
      </c>
      <c r="P27" s="4">
        <f>'  תקציב מינהל תפעול 2025 '!P68</f>
        <v>853833.00999999978</v>
      </c>
      <c r="Q27" s="311">
        <f>'  תקציב מינהל תפעול 2025 '!Q68</f>
        <v>0</v>
      </c>
      <c r="R27" s="4">
        <f>'  תקציב מינהל תפעול 2025 '!R68</f>
        <v>0</v>
      </c>
      <c r="S27" s="4">
        <f>'  תקציב מינהל תפעול 2025 '!S68</f>
        <v>0</v>
      </c>
      <c r="T27" s="4">
        <f>'  תקציב מינהל תפעול 2025 '!T68</f>
        <v>0</v>
      </c>
      <c r="U27" s="4">
        <f>'  תקציב מינהל תפעול 2025 '!U68</f>
        <v>400000</v>
      </c>
      <c r="V27" s="4">
        <f>'  תקציב מינהל תפעול 2025 '!V68</f>
        <v>0</v>
      </c>
      <c r="W27" s="4">
        <f>'  תקציב מינהל תפעול 2025 '!W68</f>
        <v>400000</v>
      </c>
      <c r="X27" s="4">
        <f>'  תקציב מינהל תפעול 2025 '!X68</f>
        <v>0</v>
      </c>
      <c r="Y27" s="4">
        <f>'  תקציב מינהל תפעול 2025 '!Y68</f>
        <v>0</v>
      </c>
      <c r="Z27" s="4">
        <f>'  תקציב מינהל תפעול 2025 '!Z68</f>
        <v>0</v>
      </c>
      <c r="AA27" s="3">
        <f>'  תקציב מינהל תפעול 2025 '!AA68</f>
        <v>0</v>
      </c>
      <c r="AB27" s="202" t="str">
        <f>'  תקציב מינהל תפעול 2025 '!AB68</f>
        <v>שדרוג ופיתוח רח' סוקולוב הכולל החלפת תאורה,קרצוף שביל אופניים, ריצוף ושדרוג רחבת ביכנ"ס הגדול.</v>
      </c>
      <c r="AC27" s="3">
        <f>'  תקציב מינהל תפעול 2025 '!AC68</f>
        <v>742000</v>
      </c>
    </row>
    <row r="28" spans="1:68" ht="30">
      <c r="A28" s="3">
        <f t="shared" si="3"/>
        <v>17</v>
      </c>
      <c r="B28" s="3">
        <f>'  תקציב מינהל תפעול 2025 '!B82</f>
        <v>20100</v>
      </c>
      <c r="C28" s="202" t="str">
        <f>'  תקציב מינהל תפעול 2025 '!C82</f>
        <v>עבודות תאורה ותשתית נוף ים</v>
      </c>
      <c r="D28" s="4">
        <f>'  תקציב מינהל תפעול 2025 '!D82</f>
        <v>2010000</v>
      </c>
      <c r="E28" s="4">
        <f>'  תקציב מינהל תפעול 2025 '!E82</f>
        <v>2010000</v>
      </c>
      <c r="F28" s="4">
        <f>'  תקציב מינהל תפעול 2025 '!F82</f>
        <v>0</v>
      </c>
      <c r="G28" s="4">
        <f>'  תקציב מינהל תפעול 2025 '!G82</f>
        <v>2010000</v>
      </c>
      <c r="H28" s="4">
        <f>'  תקציב מינהל תפעול 2025 '!H82</f>
        <v>1785158</v>
      </c>
      <c r="I28" s="4">
        <f>'  תקציב מינהל תפעול 2025 '!I82</f>
        <v>0</v>
      </c>
      <c r="J28" s="4">
        <f>'  תקציב מינהל תפעול 2025 '!J82</f>
        <v>211514</v>
      </c>
      <c r="K28" s="4">
        <f>'  תקציב מינהל תפעול 2025 '!K82</f>
        <v>211514</v>
      </c>
      <c r="L28" s="4">
        <f>'  תקציב מינהל תפעול 2025 '!L82</f>
        <v>1996672</v>
      </c>
      <c r="M28" s="4">
        <f>'  תקציב מינהל תפעול 2025 '!M82</f>
        <v>13328</v>
      </c>
      <c r="N28" s="4">
        <f>'  תקציב מינהל תפעול 2025 '!N82</f>
        <v>0</v>
      </c>
      <c r="O28" s="4">
        <f>'  תקציב מינהל תפעול 2025 '!O82</f>
        <v>0</v>
      </c>
      <c r="P28" s="4">
        <f>'  תקציב מינהל תפעול 2025 '!P82</f>
        <v>13328</v>
      </c>
      <c r="Q28" s="311">
        <f>'  תקציב מינהל תפעול 2025 '!Q82</f>
        <v>0</v>
      </c>
      <c r="R28" s="4">
        <f>'  תקציב מינהל תפעול 2025 '!R82</f>
        <v>0</v>
      </c>
      <c r="S28" s="4">
        <f>'  תקציב מינהל תפעול 2025 '!S82</f>
        <v>0</v>
      </c>
      <c r="T28" s="4">
        <f>'  תקציב מינהל תפעול 2025 '!T82</f>
        <v>0</v>
      </c>
      <c r="U28" s="4">
        <f>'  תקציב מינהל תפעול 2025 '!U82</f>
        <v>0</v>
      </c>
      <c r="V28" s="4">
        <f>'  תקציב מינהל תפעול 2025 '!V82</f>
        <v>0</v>
      </c>
      <c r="W28" s="4">
        <f>'  תקציב מינהל תפעול 2025 '!W82</f>
        <v>0</v>
      </c>
      <c r="X28" s="4">
        <f>'  תקציב מינהל תפעול 2025 '!X82</f>
        <v>0</v>
      </c>
      <c r="Y28" s="4">
        <f>'  תקציב מינהל תפעול 2025 '!Y82</f>
        <v>0</v>
      </c>
      <c r="Z28" s="4">
        <f>'  תקציב מינהל תפעול 2025 '!Z82</f>
        <v>0</v>
      </c>
      <c r="AA28" s="3">
        <f>'  תקציב מינהל תפעול 2025 '!AA82</f>
        <v>0</v>
      </c>
      <c r="AB28" s="202" t="str">
        <f>'  תקציב מינהל תפעול 2025 '!AB82</f>
        <v>עבודות תאורה ותשתית נוף ים.</v>
      </c>
      <c r="AC28" s="3">
        <f>'  תקציב מינהל תפעול 2025 '!AC82</f>
        <v>742000</v>
      </c>
    </row>
    <row r="29" spans="1:68" ht="47.25" customHeight="1">
      <c r="A29" s="3">
        <f t="shared" si="3"/>
        <v>18</v>
      </c>
      <c r="B29" s="3">
        <f>'  תקציב מינהל תפעול 2025 '!B84</f>
        <v>20115</v>
      </c>
      <c r="C29" s="222" t="str">
        <f>'  תקציב מינהל תפעול 2025 '!C84</f>
        <v>פרויקטים תחבורתיים</v>
      </c>
      <c r="D29" s="112">
        <f>'  תקציב מינהל תפעול 2025 '!D84</f>
        <v>21500000</v>
      </c>
      <c r="E29" s="112">
        <f>'  תקציב מינהל תפעול 2025 '!E84</f>
        <v>4000000</v>
      </c>
      <c r="F29" s="112">
        <f>'  תקציב מינהל תפעול 2025 '!F84</f>
        <v>17500000</v>
      </c>
      <c r="G29" s="112">
        <f>'  תקציב מינהל תפעול 2025 '!G84</f>
        <v>3500000</v>
      </c>
      <c r="H29" s="112">
        <f>'  תקציב מינהל תפעול 2025 '!H84</f>
        <v>1553502</v>
      </c>
      <c r="I29" s="112">
        <f>'  תקציב מינהל תפעול 2025 '!I84</f>
        <v>0</v>
      </c>
      <c r="J29" s="112">
        <f>'  תקציב מינהל תפעול 2025 '!J84</f>
        <v>1628231</v>
      </c>
      <c r="K29" s="112">
        <f>'  תקציב מינהל תפעול 2025 '!K84</f>
        <v>1628231</v>
      </c>
      <c r="L29" s="112">
        <f>'  תקציב מינהל תפעול 2025 '!L84</f>
        <v>3181733</v>
      </c>
      <c r="M29" s="4">
        <f>'  תקציב מינהל תפעול 2025 '!M84</f>
        <v>818267</v>
      </c>
      <c r="N29" s="112">
        <f>'  תקציב מינהל תפעול 2025 '!N84</f>
        <v>4000000</v>
      </c>
      <c r="O29" s="112">
        <f>'  תקציב מינהל תפעול 2025 '!O84</f>
        <v>13500000</v>
      </c>
      <c r="P29" s="112">
        <f>'  תקציב מינהל תפעול 2025 '!P84</f>
        <v>318267</v>
      </c>
      <c r="Q29" s="112">
        <f>'  תקציב מינהל תפעול 2025 '!Q84</f>
        <v>500000</v>
      </c>
      <c r="R29" s="112">
        <f>'  תקציב מינהל תפעול 2025 '!R84</f>
        <v>0</v>
      </c>
      <c r="S29" s="112">
        <f>'  תקציב מינהל תפעול 2025 '!S84</f>
        <v>500000</v>
      </c>
      <c r="T29" s="112">
        <f>'  תקציב מינהל תפעול 2025 '!T84</f>
        <v>0</v>
      </c>
      <c r="U29" s="4">
        <f>'  תקציב מינהל תפעול 2025 '!U84</f>
        <v>4000000</v>
      </c>
      <c r="V29" s="4">
        <f>'  תקציב מינהל תפעול 2025 '!V84</f>
        <v>0</v>
      </c>
      <c r="W29" s="4">
        <f>'  תקציב מינהל תפעול 2025 '!W84</f>
        <v>4000000</v>
      </c>
      <c r="X29" s="4">
        <f>'  תקציב מינהל תפעול 2025 '!X84</f>
        <v>0</v>
      </c>
      <c r="Y29" s="4">
        <f>'  תקציב מינהל תפעול 2025 '!Y84</f>
        <v>0</v>
      </c>
      <c r="Z29" s="4">
        <f>'  תקציב מינהל תפעול 2025 '!Z84</f>
        <v>0</v>
      </c>
      <c r="AA29" s="3">
        <f>'  תקציב מינהל תפעול 2025 '!AA84</f>
        <v>0</v>
      </c>
      <c r="AB29" s="202" t="str">
        <f>'  תקציב מינהל תפעול 2025 '!AB84</f>
        <v>מסגרת עבודות עפ"י ת.ע. שתאושר ע"י הנהלת העיר, שדרוג כבישים במקביל לעבודות תאגיד המים, מדרכות. עבודות עפ"י החלטות וע. תנועה:תכנון והסדרי תנועה בטיחותיים, הסדרי חניה. התוכ. תאושר ע"י הנהלת העיר.</v>
      </c>
      <c r="AC29" s="3">
        <f>'  תקציב מינהל תפעול 2025 '!AC84</f>
        <v>742000</v>
      </c>
      <c r="BB29" s="123"/>
      <c r="BC29" s="123"/>
      <c r="BD29" s="123"/>
      <c r="BE29" s="123"/>
      <c r="BF29" s="123"/>
      <c r="BG29" s="123"/>
      <c r="BH29" s="256"/>
      <c r="BI29" s="256"/>
      <c r="BJ29" s="256"/>
      <c r="BK29" s="256"/>
      <c r="BL29" s="256"/>
      <c r="BM29" s="256"/>
      <c r="BN29" s="256"/>
      <c r="BO29" s="256"/>
      <c r="BP29" s="256"/>
    </row>
    <row r="30" spans="1:68" ht="75">
      <c r="A30" s="3">
        <f t="shared" si="3"/>
        <v>19</v>
      </c>
      <c r="B30" s="3">
        <f>'  תקציב מינהל תפעול 2025 '!B85</f>
        <v>20116</v>
      </c>
      <c r="C30" s="222" t="str">
        <f>'  תקציב מינהל תפעול 2025 '!C85</f>
        <v>שדרוג מערב העיר ואזור התעסוקה</v>
      </c>
      <c r="D30" s="112">
        <f>'  תקציב מינהל תפעול 2025 '!D85</f>
        <v>5400000</v>
      </c>
      <c r="E30" s="112">
        <f>'  תקציב מינהל תפעול 2025 '!E85</f>
        <v>5400000</v>
      </c>
      <c r="F30" s="112">
        <f>'  תקציב מינהל תפעול 2025 '!F85</f>
        <v>0</v>
      </c>
      <c r="G30" s="112">
        <f>'  תקציב מינהל תפעול 2025 '!G85</f>
        <v>0</v>
      </c>
      <c r="H30" s="112">
        <f>'  תקציב מינהל תפעול 2025 '!H85</f>
        <v>0</v>
      </c>
      <c r="I30" s="112">
        <f>'  תקציב מינהל תפעול 2025 '!I85</f>
        <v>0</v>
      </c>
      <c r="J30" s="112">
        <f>'  תקציב מינהל תפעול 2025 '!J85</f>
        <v>0</v>
      </c>
      <c r="K30" s="112">
        <f>'  תקציב מינהל תפעול 2025 '!K85</f>
        <v>0</v>
      </c>
      <c r="L30" s="112">
        <f>'  תקציב מינהל תפעול 2025 '!L85</f>
        <v>0</v>
      </c>
      <c r="M30" s="4">
        <f>'  תקציב מינהל תפעול 2025 '!M85</f>
        <v>0</v>
      </c>
      <c r="N30" s="112">
        <f>'  תקציב מינהל תפעול 2025 '!N85</f>
        <v>0</v>
      </c>
      <c r="O30" s="112">
        <f>'  תקציב מינהל תפעול 2025 '!O85</f>
        <v>5400000</v>
      </c>
      <c r="P30" s="112">
        <f>'  תקציב מינהל תפעול 2025 '!P85</f>
        <v>0</v>
      </c>
      <c r="Q30" s="112">
        <f>'  תקציב מינהל תפעול 2025 '!Q85</f>
        <v>0</v>
      </c>
      <c r="R30" s="112">
        <f>'  תקציב מינהל תפעול 2025 '!R85</f>
        <v>0</v>
      </c>
      <c r="S30" s="112">
        <f>'  תקציב מינהל תפעול 2025 '!S85</f>
        <v>0</v>
      </c>
      <c r="T30" s="112">
        <f>'  תקציב מינהל תפעול 2025 '!T85</f>
        <v>0</v>
      </c>
      <c r="U30" s="4">
        <f>'  תקציב מינהל תפעול 2025 '!U85</f>
        <v>0</v>
      </c>
      <c r="V30" s="4">
        <f>'  תקציב מינהל תפעול 2025 '!V85</f>
        <v>0</v>
      </c>
      <c r="W30" s="4">
        <f>'  תקציב מינהל תפעול 2025 '!W85</f>
        <v>0</v>
      </c>
      <c r="X30" s="4">
        <f>'  תקציב מינהל תפעול 2025 '!X85</f>
        <v>0</v>
      </c>
      <c r="Y30" s="4">
        <f>'  תקציב מינהל תפעול 2025 '!Y85</f>
        <v>0</v>
      </c>
      <c r="Z30" s="4">
        <f>'  תקציב מינהל תפעול 2025 '!Z85</f>
        <v>0</v>
      </c>
      <c r="AA30" s="3">
        <f>'  תקציב מינהל תפעול 2025 '!AA85</f>
        <v>0</v>
      </c>
      <c r="AB30" s="202" t="str">
        <f>'  תקציב מינהל תפעול 2025 '!AB85</f>
        <v>תאורה- הנשיא יצחק בן צבי - בין רחובות שבט מנשה לקרן היסוד)+ שלווה+ שבט מנשה ובן אליעזר , שדרוג מדרכות בנשיא יצחק בן צבי , שצ"פ הסדנאות. מתיחת פנים גלגלי הפלדה.</v>
      </c>
      <c r="AC30" s="3">
        <f>'  תקציב מינהל תפעול 2025 '!AC85</f>
        <v>742000</v>
      </c>
      <c r="BB30" s="123"/>
      <c r="BC30" s="123"/>
      <c r="BD30" s="123"/>
      <c r="BE30" s="123"/>
      <c r="BF30" s="123"/>
      <c r="BG30" s="123"/>
      <c r="BH30" s="256"/>
      <c r="BI30" s="256"/>
      <c r="BJ30" s="256"/>
      <c r="BK30" s="256"/>
      <c r="BL30" s="256"/>
      <c r="BM30" s="256"/>
      <c r="BN30" s="256"/>
      <c r="BO30" s="256"/>
      <c r="BP30" s="256"/>
    </row>
    <row r="31" spans="1:68" ht="33" customHeight="1">
      <c r="A31" s="3">
        <f t="shared" si="3"/>
        <v>20</v>
      </c>
      <c r="B31" s="3">
        <f>'  תקציב מינהל תפעול 2025 '!B93</f>
        <v>20140</v>
      </c>
      <c r="C31" s="222" t="str">
        <f>'  תקציב מינהל תפעול 2025 '!C93</f>
        <v>פרויקט שיפור חזות פני העיר</v>
      </c>
      <c r="D31" s="112">
        <f>'  תקציב מינהל תפעול 2025 '!D93</f>
        <v>15000000</v>
      </c>
      <c r="E31" s="112">
        <f>'  תקציב מינהל תפעול 2025 '!E93</f>
        <v>6500000</v>
      </c>
      <c r="F31" s="112">
        <f>'  תקציב מינהל תפעול 2025 '!F93</f>
        <v>8500000</v>
      </c>
      <c r="G31" s="112">
        <f>'  תקציב מינהל תפעול 2025 '!G93</f>
        <v>5510000</v>
      </c>
      <c r="H31" s="112">
        <f>'  תקציב מינהל תפעול 2025 '!H93</f>
        <v>0</v>
      </c>
      <c r="I31" s="112">
        <f>'  תקציב מינהל תפעול 2025 '!I93</f>
        <v>0</v>
      </c>
      <c r="J31" s="112">
        <f>'  תקציב מינהל תפעול 2025 '!J93</f>
        <v>5474044.2800000003</v>
      </c>
      <c r="K31" s="112">
        <f>'  תקציב מינהל תפעול 2025 '!K93</f>
        <v>5474044.2800000003</v>
      </c>
      <c r="L31" s="112">
        <f>'  תקציב מינהל תפעול 2025 '!L93</f>
        <v>5474044.2800000003</v>
      </c>
      <c r="M31" s="4">
        <f>'  תקציב מינהל תפעול 2025 '!M93</f>
        <v>1025955.7199999997</v>
      </c>
      <c r="N31" s="4">
        <f>'  תקציב מינהל תפעול 2025 '!N93</f>
        <v>2500000</v>
      </c>
      <c r="O31" s="112">
        <f>'  תקציב מינהל תפעול 2025 '!O93</f>
        <v>6000000</v>
      </c>
      <c r="P31" s="112">
        <f>'  תקציב מינהל תפעול 2025 '!P93</f>
        <v>35955.719999999739</v>
      </c>
      <c r="Q31" s="112">
        <f>'  תקציב מינהל תפעול 2025 '!Q93</f>
        <v>0</v>
      </c>
      <c r="R31" s="112">
        <f>'  תקציב מינהל תפעול 2025 '!R93</f>
        <v>990000</v>
      </c>
      <c r="S31" s="112">
        <f>'  תקציב מינהל תפעול 2025 '!S93</f>
        <v>990000</v>
      </c>
      <c r="T31" s="112">
        <f>'  תקציב מינהל תפעול 2025 '!T93</f>
        <v>0</v>
      </c>
      <c r="U31" s="4">
        <f>'  תקציב מינהל תפעול 2025 '!U93</f>
        <v>2500000</v>
      </c>
      <c r="V31" s="4">
        <f>'  תקציב מינהל תפעול 2025 '!V93</f>
        <v>0</v>
      </c>
      <c r="W31" s="4">
        <f>'  תקציב מינהל תפעול 2025 '!W93</f>
        <v>2500000</v>
      </c>
      <c r="X31" s="4">
        <f>'  תקציב מינהל תפעול 2025 '!X93</f>
        <v>0</v>
      </c>
      <c r="Y31" s="4">
        <f>'  תקציב מינהל תפעול 2025 '!Y93</f>
        <v>0</v>
      </c>
      <c r="Z31" s="4">
        <f>'  תקציב מינהל תפעול 2025 '!Z93</f>
        <v>0</v>
      </c>
      <c r="AA31" s="3">
        <f>'  תקציב מינהל תפעול 2025 '!AA93</f>
        <v>0</v>
      </c>
      <c r="AB31" s="202" t="str">
        <f>'  תקציב מינהל תפעול 2025 '!AB93</f>
        <v>מסגרת עבודות לשיפור חזות פני העיר עפ"י תוכ.עבודה שתאושר ע"י הנהלת העיר.</v>
      </c>
      <c r="AC31" s="3">
        <f>'  תקציב מינהל תפעול 2025 '!AC93</f>
        <v>742000</v>
      </c>
      <c r="BB31" s="123"/>
      <c r="BC31" s="123"/>
      <c r="BD31" s="123"/>
      <c r="BE31" s="123"/>
      <c r="BF31" s="123"/>
      <c r="BG31" s="123"/>
      <c r="BH31" s="256"/>
      <c r="BI31" s="256"/>
      <c r="BJ31" s="256"/>
      <c r="BK31" s="256"/>
      <c r="BL31" s="256"/>
      <c r="BM31" s="256"/>
      <c r="BN31" s="256"/>
      <c r="BO31" s="256"/>
      <c r="BP31" s="256"/>
    </row>
    <row r="32" spans="1:68" ht="79.5" customHeight="1">
      <c r="A32" s="3">
        <f t="shared" si="3"/>
        <v>21</v>
      </c>
      <c r="B32" s="3">
        <f>'  תקציב מינהל תפעול 2025 '!B24</f>
        <v>1917</v>
      </c>
      <c r="C32" s="202" t="str">
        <f>'  תקציב מינהל תפעול 2025 '!C24</f>
        <v>מע. תאורה LED ברחבי העיר</v>
      </c>
      <c r="D32" s="4">
        <f>'  תקציב מינהל תפעול 2025 '!D24</f>
        <v>33801000</v>
      </c>
      <c r="E32" s="4">
        <f>'  תקציב מינהל תפעול 2025 '!E24</f>
        <v>33701000</v>
      </c>
      <c r="F32" s="4">
        <f>'  תקציב מינהל תפעול 2025 '!F24</f>
        <v>100000</v>
      </c>
      <c r="G32" s="4">
        <f>'  תקציב מינהל תפעול 2025 '!G24</f>
        <v>33701000</v>
      </c>
      <c r="H32" s="4">
        <f>'  תקציב מינהל תפעול 2025 '!H24</f>
        <v>30942608</v>
      </c>
      <c r="I32" s="4">
        <f>'  תקציב מינהל תפעול 2025 '!I24</f>
        <v>0</v>
      </c>
      <c r="J32" s="4">
        <f>'  תקציב מינהל תפעול 2025 '!J24</f>
        <v>2747896</v>
      </c>
      <c r="K32" s="4">
        <f>'  תקציב מינהל תפעול 2025 '!K24</f>
        <v>2747896</v>
      </c>
      <c r="L32" s="4">
        <f>'  תקציב מינהל תפעול 2025 '!L24</f>
        <v>33690504</v>
      </c>
      <c r="M32" s="4">
        <f>'  תקציב מינהל תפעול 2025 '!M24</f>
        <v>10496</v>
      </c>
      <c r="N32" s="4">
        <f>'  תקציב מינהל תפעול 2025 '!N24</f>
        <v>100000</v>
      </c>
      <c r="O32" s="4">
        <f>'  תקציב מינהל תפעול 2025 '!O24</f>
        <v>0</v>
      </c>
      <c r="P32" s="4">
        <f>'  תקציב מינהל תפעול 2025 '!P24</f>
        <v>10496</v>
      </c>
      <c r="Q32" s="311">
        <f>'  תקציב מינהל תפעול 2025 '!Q24</f>
        <v>0</v>
      </c>
      <c r="R32" s="4">
        <f>'  תקציב מינהל תפעול 2025 '!R24</f>
        <v>0</v>
      </c>
      <c r="S32" s="4">
        <f>'  תקציב מינהל תפעול 2025 '!S24</f>
        <v>0</v>
      </c>
      <c r="T32" s="4">
        <f>'  תקציב מינהל תפעול 2025 '!T24</f>
        <v>0</v>
      </c>
      <c r="U32" s="4">
        <f>'  תקציב מינהל תפעול 2025 '!U24</f>
        <v>100000</v>
      </c>
      <c r="V32" s="4">
        <f>'  תקציב מינהל תפעול 2025 '!V24</f>
        <v>0</v>
      </c>
      <c r="W32" s="4">
        <f>'  תקציב מינהל תפעול 2025 '!W24</f>
        <v>100000</v>
      </c>
      <c r="X32" s="4">
        <f>'  תקציב מינהל תפעול 2025 '!X24</f>
        <v>0</v>
      </c>
      <c r="Y32" s="4">
        <f>'  תקציב מינהל תפעול 2025 '!Y24</f>
        <v>0</v>
      </c>
      <c r="Z32" s="4">
        <f>'  תקציב מינהל תפעול 2025 '!Z24</f>
        <v>0</v>
      </c>
      <c r="AA32" s="3">
        <f>'  תקציב מינהל תפעול 2025 '!AA24</f>
        <v>0</v>
      </c>
      <c r="AB32" s="202" t="str">
        <f>'  תקציב מינהל תפעול 2025 '!AB24</f>
        <v xml:space="preserve">סל להקמת ושדרוג תשתיות כולל עמודי תאורה והתקנת גופי תאורה בטכנולוגיה מתקדמת עפ"י תוכנית רב שנתית. </v>
      </c>
      <c r="AC32" s="3">
        <f>'  תקציב מינהל תפעול 2025 '!AC24</f>
        <v>743000</v>
      </c>
    </row>
    <row r="33" spans="1:68" ht="48" customHeight="1">
      <c r="A33" s="3">
        <f t="shared" si="3"/>
        <v>22</v>
      </c>
      <c r="B33" s="3">
        <f>'  תקציב מינהל תפעול 2025 '!B71</f>
        <v>20067</v>
      </c>
      <c r="C33" s="202" t="str">
        <f>'  תקציב מינהל תפעול 2025 '!C71</f>
        <v>שדרוג עמודי תאורה</v>
      </c>
      <c r="D33" s="4">
        <f>'  תקציב מינהל תפעול 2025 '!D71</f>
        <v>28000000</v>
      </c>
      <c r="E33" s="4">
        <f>'  תקציב מינהל תפעול 2025 '!E71</f>
        <v>28000000</v>
      </c>
      <c r="F33" s="4">
        <f>'  תקציב מינהל תפעול 2025 '!F71</f>
        <v>0</v>
      </c>
      <c r="G33" s="4">
        <f>'  תקציב מינהל תפעול 2025 '!G71</f>
        <v>2800000</v>
      </c>
      <c r="H33" s="4">
        <f>'  תקציב מינהל תפעול 2025 '!H71</f>
        <v>741697</v>
      </c>
      <c r="I33" s="4">
        <f>'  תקציב מינהל תפעול 2025 '!I71</f>
        <v>0</v>
      </c>
      <c r="J33" s="4">
        <f>'  תקציב מינהל תפעול 2025 '!J71</f>
        <v>378476</v>
      </c>
      <c r="K33" s="4">
        <f>'  תקציב מינהל תפעול 2025 '!K71</f>
        <v>378476</v>
      </c>
      <c r="L33" s="4">
        <f>'  תקציב מינהל תפעול 2025 '!L71</f>
        <v>1120173</v>
      </c>
      <c r="M33" s="4">
        <f>'  תקציב מינהל תפעול 2025 '!M71</f>
        <v>1679827</v>
      </c>
      <c r="N33" s="4">
        <f>'  תקציב מינהל תפעול 2025 '!N71</f>
        <v>500000</v>
      </c>
      <c r="O33" s="4">
        <f>'  תקציב מינהל תפעול 2025 '!O71</f>
        <v>24700000</v>
      </c>
      <c r="P33" s="4">
        <f>'  תקציב מינהל תפעול 2025 '!P71</f>
        <v>1679827</v>
      </c>
      <c r="Q33" s="311">
        <f>'  תקציב מינהל תפעול 2025 '!Q71</f>
        <v>0</v>
      </c>
      <c r="R33" s="4">
        <f>'  תקציב מינהל תפעול 2025 '!R71</f>
        <v>0</v>
      </c>
      <c r="S33" s="4">
        <f>'  תקציב מינהל תפעול 2025 '!S71</f>
        <v>0</v>
      </c>
      <c r="T33" s="4">
        <f>'  תקציב מינהל תפעול 2025 '!T71</f>
        <v>0</v>
      </c>
      <c r="U33" s="4">
        <f>'  תקציב מינהל תפעול 2025 '!U71</f>
        <v>500000</v>
      </c>
      <c r="V33" s="4">
        <f>'  תקציב מינהל תפעול 2025 '!V71</f>
        <v>0</v>
      </c>
      <c r="W33" s="4">
        <f>'  תקציב מינהל תפעול 2025 '!W71</f>
        <v>500000</v>
      </c>
      <c r="X33" s="4">
        <f>'  תקציב מינהל תפעול 2025 '!X71</f>
        <v>0</v>
      </c>
      <c r="Y33" s="4">
        <f>'  תקציב מינהל תפעול 2025 '!Y71</f>
        <v>0</v>
      </c>
      <c r="Z33" s="4">
        <f>'  תקציב מינהל תפעול 2025 '!Z71</f>
        <v>0</v>
      </c>
      <c r="AA33" s="3">
        <f>'  תקציב מינהל תפעול 2025 '!AA71</f>
        <v>0</v>
      </c>
      <c r="AB33" s="202" t="str">
        <f>'  תקציב מינהל תפעול 2025 '!AB71</f>
        <v>תוכנית רב שנתית שדרוג עמודי תאורה ברחבי העיר עפ"י תוכנית שתאושר ע"י הנהלת העיר.</v>
      </c>
      <c r="AC33" s="3">
        <f>'  תקציב מינהל תפעול 2025 '!AC71</f>
        <v>743000</v>
      </c>
    </row>
    <row r="34" spans="1:68" ht="58.5" customHeight="1">
      <c r="A34" s="3">
        <f t="shared" si="3"/>
        <v>23</v>
      </c>
      <c r="B34" s="3">
        <f>'  תקציב מינהל תפעול 2025 '!B86</f>
        <v>20117</v>
      </c>
      <c r="C34" s="222" t="str">
        <f>'  תקציב מינהל תפעול 2025 '!C86</f>
        <v>שדרוג תשתיות תאורה במרכז העיר</v>
      </c>
      <c r="D34" s="112">
        <f>'  תקציב מינהל תפעול 2025 '!D86</f>
        <v>1600000</v>
      </c>
      <c r="E34" s="112">
        <f>'  תקציב מינהל תפעול 2025 '!E86</f>
        <v>1600000</v>
      </c>
      <c r="F34" s="112">
        <f>'  תקציב מינהל תפעול 2025 '!F86</f>
        <v>0</v>
      </c>
      <c r="G34" s="112">
        <f>'  תקציב מינהל תפעול 2025 '!G86</f>
        <v>0</v>
      </c>
      <c r="H34" s="112">
        <f>'  תקציב מינהל תפעול 2025 '!H86</f>
        <v>0</v>
      </c>
      <c r="I34" s="112">
        <f>'  תקציב מינהל תפעול 2025 '!I86</f>
        <v>0</v>
      </c>
      <c r="J34" s="112">
        <f>'  תקציב מינהל תפעול 2025 '!J86</f>
        <v>0</v>
      </c>
      <c r="K34" s="112">
        <f>'  תקציב מינהל תפעול 2025 '!K86</f>
        <v>0</v>
      </c>
      <c r="L34" s="112">
        <f>'  תקציב מינהל תפעול 2025 '!L86</f>
        <v>0</v>
      </c>
      <c r="M34" s="4">
        <f>'  תקציב מינהל תפעול 2025 '!M86</f>
        <v>0</v>
      </c>
      <c r="N34" s="112">
        <f>'  תקציב מינהל תפעול 2025 '!N86</f>
        <v>0</v>
      </c>
      <c r="O34" s="112">
        <f>'  תקציב מינהל תפעול 2025 '!O86</f>
        <v>1600000</v>
      </c>
      <c r="P34" s="112">
        <f>'  תקציב מינהל תפעול 2025 '!P86</f>
        <v>0</v>
      </c>
      <c r="Q34" s="112">
        <f>'  תקציב מינהל תפעול 2025 '!Q86</f>
        <v>0</v>
      </c>
      <c r="R34" s="112">
        <f>'  תקציב מינהל תפעול 2025 '!R86</f>
        <v>0</v>
      </c>
      <c r="S34" s="112">
        <f>'  תקציב מינהל תפעול 2025 '!S86</f>
        <v>0</v>
      </c>
      <c r="T34" s="112">
        <f>'  תקציב מינהל תפעול 2025 '!T86</f>
        <v>0</v>
      </c>
      <c r="U34" s="4">
        <f>'  תקציב מינהל תפעול 2025 '!U86</f>
        <v>0</v>
      </c>
      <c r="V34" s="4">
        <f>'  תקציב מינהל תפעול 2025 '!V86</f>
        <v>0</v>
      </c>
      <c r="W34" s="4">
        <f>'  תקציב מינהל תפעול 2025 '!W86</f>
        <v>0</v>
      </c>
      <c r="X34" s="4">
        <f>'  תקציב מינהל תפעול 2025 '!X86</f>
        <v>0</v>
      </c>
      <c r="Y34" s="4">
        <f>'  תקציב מינהל תפעול 2025 '!Y86</f>
        <v>0</v>
      </c>
      <c r="Z34" s="4">
        <f>'  תקציב מינהל תפעול 2025 '!Z86</f>
        <v>0</v>
      </c>
      <c r="AA34" s="3">
        <f>'  תקציב מינהל תפעול 2025 '!AA86</f>
        <v>0</v>
      </c>
      <c r="AB34" s="202" t="str">
        <f>'  תקציב מינהל תפעול 2025 '!AB86</f>
        <v>שדרוג תשתיות תאורה ברחובות ובגינות: מאזה , הכוזרי , הפרדסים, אחד העם .</v>
      </c>
      <c r="AC34" s="3">
        <f>'  תקציב מינהל תפעול 2025 '!AC86</f>
        <v>743000</v>
      </c>
      <c r="BB34" s="123"/>
      <c r="BC34" s="123"/>
      <c r="BD34" s="123"/>
      <c r="BE34" s="123"/>
      <c r="BF34" s="123"/>
      <c r="BG34" s="123"/>
      <c r="BH34" s="256"/>
      <c r="BI34" s="256"/>
      <c r="BJ34" s="256"/>
      <c r="BK34" s="256"/>
      <c r="BL34" s="256"/>
      <c r="BM34" s="256"/>
      <c r="BN34" s="256"/>
      <c r="BO34" s="256"/>
      <c r="BP34" s="256"/>
    </row>
    <row r="35" spans="1:68" ht="35.25" customHeight="1">
      <c r="A35" s="3">
        <f t="shared" si="3"/>
        <v>24</v>
      </c>
      <c r="B35" s="3">
        <f>'  תקציב מינהל תפעול 2025 '!B90</f>
        <v>20121</v>
      </c>
      <c r="C35" s="222" t="str">
        <f>'  תקציב מינהל תפעול 2025 '!C90</f>
        <v>שדרוג תאורה בהרצליה הצעירה</v>
      </c>
      <c r="D35" s="112">
        <f>'  תקציב מינהל תפעול 2025 '!D90</f>
        <v>1950000</v>
      </c>
      <c r="E35" s="112">
        <f>'  תקציב מינהל תפעול 2025 '!E90</f>
        <v>1700000</v>
      </c>
      <c r="F35" s="112">
        <f>'  תקציב מינהל תפעול 2025 '!F90</f>
        <v>250000</v>
      </c>
      <c r="G35" s="112">
        <f>'  תקציב מינהל תפעול 2025 '!G90</f>
        <v>0</v>
      </c>
      <c r="H35" s="112">
        <f>'  תקציב מינהל תפעול 2025 '!H90</f>
        <v>0</v>
      </c>
      <c r="I35" s="112">
        <f>'  תקציב מינהל תפעול 2025 '!I90</f>
        <v>0</v>
      </c>
      <c r="J35" s="112">
        <f>'  תקציב מינהל תפעול 2025 '!J90</f>
        <v>0</v>
      </c>
      <c r="K35" s="112">
        <f>'  תקציב מינהל תפעול 2025 '!K90</f>
        <v>0</v>
      </c>
      <c r="L35" s="112">
        <f>'  תקציב מינהל תפעול 2025 '!L90</f>
        <v>0</v>
      </c>
      <c r="M35" s="4">
        <f>'  תקציב מינהל תפעול 2025 '!M90</f>
        <v>0</v>
      </c>
      <c r="N35" s="112">
        <f>'  תקציב מינהל תפעול 2025 '!N90</f>
        <v>0</v>
      </c>
      <c r="O35" s="112">
        <f>'  תקציב מינהל תפעול 2025 '!O90</f>
        <v>1950000</v>
      </c>
      <c r="P35" s="112">
        <f>'  תקציב מינהל תפעול 2025 '!P90</f>
        <v>0</v>
      </c>
      <c r="Q35" s="112">
        <f>'  תקציב מינהל תפעול 2025 '!Q90</f>
        <v>0</v>
      </c>
      <c r="R35" s="112">
        <f>'  תקציב מינהל תפעול 2025 '!R90</f>
        <v>0</v>
      </c>
      <c r="S35" s="112">
        <f>'  תקציב מינהל תפעול 2025 '!S90</f>
        <v>0</v>
      </c>
      <c r="T35" s="112">
        <f>'  תקציב מינהל תפעול 2025 '!T90</f>
        <v>0</v>
      </c>
      <c r="U35" s="4">
        <f>'  תקציב מינהל תפעול 2025 '!U90</f>
        <v>0</v>
      </c>
      <c r="V35" s="4">
        <f>'  תקציב מינהל תפעול 2025 '!V90</f>
        <v>0</v>
      </c>
      <c r="W35" s="4">
        <f>'  תקציב מינהל תפעול 2025 '!W90</f>
        <v>0</v>
      </c>
      <c r="X35" s="4">
        <f>'  תקציב מינהל תפעול 2025 '!X90</f>
        <v>0</v>
      </c>
      <c r="Y35" s="4">
        <f>'  תקציב מינהל תפעול 2025 '!Y90</f>
        <v>0</v>
      </c>
      <c r="Z35" s="4">
        <f>'  תקציב מינהל תפעול 2025 '!Z90</f>
        <v>0</v>
      </c>
      <c r="AA35" s="3">
        <f>'  תקציב מינהל תפעול 2025 '!AA90</f>
        <v>0</v>
      </c>
      <c r="AB35" s="202" t="str">
        <f>'  תקציב מינהל תפעול 2025 '!AB90</f>
        <v xml:space="preserve">עבודות תאורה בהרצליה הצעירה- בילו גורדון ורבורג וברנר. </v>
      </c>
      <c r="AC35" s="3">
        <f>'  תקציב מינהל תפעול 2025 '!AC90</f>
        <v>743000</v>
      </c>
      <c r="BB35" s="123"/>
      <c r="BC35" s="123"/>
      <c r="BD35" s="123"/>
      <c r="BE35" s="123"/>
      <c r="BF35" s="123"/>
      <c r="BG35" s="123"/>
      <c r="BH35" s="256"/>
      <c r="BI35" s="256"/>
      <c r="BJ35" s="256"/>
      <c r="BK35" s="256"/>
      <c r="BL35" s="256"/>
      <c r="BM35" s="256"/>
      <c r="BN35" s="256"/>
      <c r="BO35" s="256"/>
      <c r="BP35" s="256"/>
    </row>
    <row r="36" spans="1:68" ht="75">
      <c r="A36" s="3">
        <f t="shared" si="3"/>
        <v>25</v>
      </c>
      <c r="B36" s="3">
        <f>'  תקציב מינהל תפעול 2025 '!B8</f>
        <v>1254</v>
      </c>
      <c r="C36" s="202" t="str">
        <f>'  תקציב מינהל תפעול 2025 '!C8</f>
        <v xml:space="preserve">שיקום שדרוג,הקמה ונגישות גינות ציבוריות </v>
      </c>
      <c r="D36" s="4">
        <f>'  תקציב מינהל תפעול 2025 '!D8</f>
        <v>61872866</v>
      </c>
      <c r="E36" s="4">
        <f>'  תקציב מינהל תפעול 2025 '!E8</f>
        <v>61872866</v>
      </c>
      <c r="F36" s="4">
        <f>'  תקציב מינהל תפעול 2025 '!F8</f>
        <v>0</v>
      </c>
      <c r="G36" s="4">
        <f>'  תקציב מינהל תפעול 2025 '!G8</f>
        <v>53372866</v>
      </c>
      <c r="H36" s="4">
        <f>'  תקציב מינהל תפעול 2025 '!H8</f>
        <v>51145068.82</v>
      </c>
      <c r="I36" s="4">
        <f>'  תקציב מינהל תפעול 2025 '!I8</f>
        <v>0</v>
      </c>
      <c r="J36" s="4">
        <f>'  תקציב מינהל תפעול 2025 '!J8</f>
        <v>1616555.17</v>
      </c>
      <c r="K36" s="4">
        <f>'  תקציב מינהל תפעול 2025 '!K8</f>
        <v>1616555.17</v>
      </c>
      <c r="L36" s="4">
        <f>'  תקציב מינהל תפעול 2025 '!L8</f>
        <v>52761623.990000002</v>
      </c>
      <c r="M36" s="4">
        <f>'  תקציב מינהל תפעול 2025 '!M8</f>
        <v>611242.00999999791</v>
      </c>
      <c r="N36" s="4">
        <f>'  תקציב מינהל תפעול 2025 '!N8</f>
        <v>1000000</v>
      </c>
      <c r="O36" s="4">
        <f>'  תקציב מינהל תפעול 2025 '!O8</f>
        <v>7500000</v>
      </c>
      <c r="P36" s="4">
        <f>'  תקציב מינהל תפעול 2025 '!P8</f>
        <v>611242.00999999791</v>
      </c>
      <c r="Q36" s="4">
        <f>'  תקציב מינהל תפעול 2025 '!Q8</f>
        <v>0</v>
      </c>
      <c r="R36" s="4">
        <f>'  תקציב מינהל תפעול 2025 '!R8</f>
        <v>0</v>
      </c>
      <c r="S36" s="4">
        <f>'  תקציב מינהל תפעול 2025 '!S8</f>
        <v>0</v>
      </c>
      <c r="T36" s="4">
        <f>'  תקציב מינהל תפעול 2025 '!T8</f>
        <v>0</v>
      </c>
      <c r="U36" s="4">
        <f>'  תקציב מינהל תפעול 2025 '!U8</f>
        <v>1000000</v>
      </c>
      <c r="V36" s="4">
        <f>'  תקציב מינהל תפעול 2025 '!V8</f>
        <v>0</v>
      </c>
      <c r="W36" s="4">
        <f>'  תקציב מינהל תפעול 2025 '!W8</f>
        <v>1000000</v>
      </c>
      <c r="X36" s="4">
        <f>'  תקציב מינהל תפעול 2025 '!X8</f>
        <v>0</v>
      </c>
      <c r="Y36" s="4">
        <f>'  תקציב מינהל תפעול 2025 '!Y8</f>
        <v>0</v>
      </c>
      <c r="Z36" s="4">
        <f>'  תקציב מינהל תפעול 2025 '!Z8</f>
        <v>0</v>
      </c>
      <c r="AA36" s="3">
        <f>'  תקציב מינהל תפעול 2025 '!AA8</f>
        <v>0</v>
      </c>
      <c r="AB36" s="202" t="str">
        <f>'  תקציב מינהל תפעול 2025 '!AB8</f>
        <v xml:space="preserve">הקמה ושדרוג גינות ציבוריות:פיתוח, תשתיות שבילי גישה, הנגשה, תאורה, מע. השקייה, מתקני משחק, ריהוט גן, מתקני כושר, משטחי גומי וכל העבודות. עפ"י תוכנית עבודה שתאושר ע"י הנהלת העיר. </v>
      </c>
      <c r="AC36" s="3">
        <f>'  תקציב מינהל תפעול 2025 '!AC8</f>
        <v>746000</v>
      </c>
    </row>
    <row r="37" spans="1:68" ht="36.75" customHeight="1">
      <c r="A37" s="3">
        <f t="shared" si="3"/>
        <v>26</v>
      </c>
      <c r="B37" s="3">
        <f>'  תקציב מינהל תפעול 2025 '!B9</f>
        <v>1342</v>
      </c>
      <c r="C37" s="202" t="str">
        <f>'  תקציב מינהל תפעול 2025 '!C9</f>
        <v>הקמת גינות לכלבים</v>
      </c>
      <c r="D37" s="4">
        <f>'  תקציב מינהל תפעול 2025 '!D9</f>
        <v>8000000</v>
      </c>
      <c r="E37" s="4">
        <f>'  תקציב מינהל תפעול 2025 '!E9</f>
        <v>6200000</v>
      </c>
      <c r="F37" s="4">
        <f>'  תקציב מינהל תפעול 2025 '!F9</f>
        <v>1800000</v>
      </c>
      <c r="G37" s="4">
        <f>'  תקציב מינהל תפעול 2025 '!G9</f>
        <v>4040000</v>
      </c>
      <c r="H37" s="4">
        <f>'  תקציב מינהל תפעול 2025 '!H9</f>
        <v>3753858</v>
      </c>
      <c r="I37" s="4">
        <f>'  תקציב מינהל תפעול 2025 '!I9</f>
        <v>0</v>
      </c>
      <c r="J37" s="4">
        <f>'  תקציב מינהל תפעול 2025 '!J9</f>
        <v>250244</v>
      </c>
      <c r="K37" s="4">
        <f>'  תקציב מינהל תפעול 2025 '!K9</f>
        <v>250244</v>
      </c>
      <c r="L37" s="4">
        <f>'  תקציב מינהל תפעול 2025 '!L9</f>
        <v>4004102</v>
      </c>
      <c r="M37" s="4">
        <f>'  תקציב מינהל תפעול 2025 '!M9</f>
        <v>185898</v>
      </c>
      <c r="N37" s="4">
        <f>'  תקציב מינהל תפעול 2025 '!N9</f>
        <v>200000</v>
      </c>
      <c r="O37" s="4">
        <f>'  תקציב מינהל תפעול 2025 '!O9</f>
        <v>3610000</v>
      </c>
      <c r="P37" s="4">
        <f>'  תקציב מינהל תפעול 2025 '!P9</f>
        <v>35898</v>
      </c>
      <c r="Q37" s="4">
        <f>'  תקציב מינהל תפעול 2025 '!Q9</f>
        <v>150000</v>
      </c>
      <c r="R37" s="4">
        <f>'  תקציב מינהל תפעול 2025 '!R9</f>
        <v>0</v>
      </c>
      <c r="S37" s="4">
        <f>'  תקציב מינהל תפעול 2025 '!S9</f>
        <v>150000</v>
      </c>
      <c r="T37" s="4">
        <f>'  תקציב מינהל תפעול 2025 '!T9</f>
        <v>0</v>
      </c>
      <c r="U37" s="4">
        <f>'  תקציב מינהל תפעול 2025 '!U9</f>
        <v>200000</v>
      </c>
      <c r="V37" s="4">
        <f>'  תקציב מינהל תפעול 2025 '!V9</f>
        <v>0</v>
      </c>
      <c r="W37" s="4">
        <f>'  תקציב מינהל תפעול 2025 '!W9</f>
        <v>200000</v>
      </c>
      <c r="X37" s="4">
        <f>'  תקציב מינהל תפעול 2025 '!X9</f>
        <v>0</v>
      </c>
      <c r="Y37" s="4">
        <f>'  תקציב מינהל תפעול 2025 '!Y9</f>
        <v>0</v>
      </c>
      <c r="Z37" s="4">
        <f>'  תקציב מינהל תפעול 2025 '!Z9</f>
        <v>0</v>
      </c>
      <c r="AA37" s="3">
        <f>'  תקציב מינהל תפעול 2025 '!AA9</f>
        <v>0</v>
      </c>
      <c r="AB37" s="202" t="str">
        <f>'  תקציב מינהל תפעול 2025 '!AB9</f>
        <v>תב"ר מסגרת.  גיבוש תוכנית לאיתור שטחים להקמת גינות כלבים ברחבי העיר בהתאם לבקשות תושבי העיר והקמתן.</v>
      </c>
      <c r="AC37" s="3">
        <f>'  תקציב מינהל תפעול 2025 '!AC9</f>
        <v>746000</v>
      </c>
    </row>
    <row r="38" spans="1:68" ht="77.25" customHeight="1">
      <c r="A38" s="3">
        <f t="shared" si="3"/>
        <v>27</v>
      </c>
      <c r="B38" s="3">
        <f>'  תקציב מינהל תפעול 2025 '!B10</f>
        <v>1343</v>
      </c>
      <c r="C38" s="202" t="str">
        <f>'  תקציב מינהל תפעול 2025 '!C10</f>
        <v>סככות הצללה לגני משחקים</v>
      </c>
      <c r="D38" s="4">
        <f>'  תקציב מינהל תפעול 2025 '!D10</f>
        <v>9000000</v>
      </c>
      <c r="E38" s="4">
        <f>'  תקציב מינהל תפעול 2025 '!E10</f>
        <v>8570000</v>
      </c>
      <c r="F38" s="4">
        <f>'  תקציב מינהל תפעול 2025 '!F10</f>
        <v>430000</v>
      </c>
      <c r="G38" s="4">
        <f>'  תקציב מינהל תפעול 2025 '!G10</f>
        <v>7769500</v>
      </c>
      <c r="H38" s="4">
        <f>'  תקציב מינהל תפעול 2025 '!H10</f>
        <v>7315846.21</v>
      </c>
      <c r="I38" s="4">
        <f>'  תקציב מינהל תפעול 2025 '!I10</f>
        <v>0</v>
      </c>
      <c r="J38" s="4">
        <f>'  תקציב מינהל תפעול 2025 '!J10</f>
        <v>184637</v>
      </c>
      <c r="K38" s="4">
        <f>'  תקציב מינהל תפעול 2025 '!K10</f>
        <v>184637</v>
      </c>
      <c r="L38" s="4">
        <f>'  תקציב מינהל תפעול 2025 '!L10</f>
        <v>7500483.21</v>
      </c>
      <c r="M38" s="4">
        <f>'  תקציב מינהל תפעול 2025 '!M10</f>
        <v>669016.79</v>
      </c>
      <c r="N38" s="4">
        <f>'  תקציב מינהל תפעול 2025 '!N10</f>
        <v>500000</v>
      </c>
      <c r="O38" s="4">
        <f>'  תקציב מינהל תפעול 2025 '!O10</f>
        <v>330500</v>
      </c>
      <c r="P38" s="4">
        <f>'  תקציב מינהל תפעול 2025 '!P10</f>
        <v>269016.79000000004</v>
      </c>
      <c r="Q38" s="4">
        <f>'  תקציב מינהל תפעול 2025 '!Q10</f>
        <v>400000</v>
      </c>
      <c r="R38" s="4">
        <f>'  תקציב מינהל תפעול 2025 '!R10</f>
        <v>0</v>
      </c>
      <c r="S38" s="4">
        <f>'  תקציב מינהל תפעול 2025 '!S10</f>
        <v>400000</v>
      </c>
      <c r="T38" s="4">
        <f>'  תקציב מינהל תפעול 2025 '!T10</f>
        <v>0</v>
      </c>
      <c r="U38" s="4">
        <f>'  תקציב מינהל תפעול 2025 '!U10</f>
        <v>500000</v>
      </c>
      <c r="V38" s="4">
        <f>'  תקציב מינהל תפעול 2025 '!V10</f>
        <v>0</v>
      </c>
      <c r="W38" s="4">
        <f>'  תקציב מינהל תפעול 2025 '!W10</f>
        <v>500000</v>
      </c>
      <c r="X38" s="4">
        <f>'  תקציב מינהל תפעול 2025 '!X10</f>
        <v>0</v>
      </c>
      <c r="Y38" s="4">
        <f>'  תקציב מינהל תפעול 2025 '!Y10</f>
        <v>0</v>
      </c>
      <c r="Z38" s="4">
        <f>'  תקציב מינהל תפעול 2025 '!Z10</f>
        <v>0</v>
      </c>
      <c r="AA38" s="3">
        <f>'  תקציב מינהל תפעול 2025 '!AA10</f>
        <v>0</v>
      </c>
      <c r="AB38" s="202" t="str">
        <f>'  תקציב מינהל תפעול 2025 '!AB10</f>
        <v>הצללת אזורים של מתקני משחקים לנוחות הציבור. עפ"י חוק שאושר והמחייב את הרשויות להקים הצללות בגני משחקים.  עפ"י תוכ. עבודה שתאושר ע"י הנהלת העיר.</v>
      </c>
      <c r="AC38" s="3">
        <f>'  תקציב מינהל תפעול 2025 '!AC10</f>
        <v>746000</v>
      </c>
    </row>
    <row r="39" spans="1:68" ht="77.25" customHeight="1">
      <c r="A39" s="3">
        <f t="shared" si="3"/>
        <v>28</v>
      </c>
      <c r="B39" s="3">
        <f>'  תקציב מינהל תפעול 2025 '!B15</f>
        <v>1504</v>
      </c>
      <c r="C39" s="202" t="str">
        <f>'  תקציב מינהל תפעול 2025 '!C15</f>
        <v>נטיעת עצים ברחבי העיר</v>
      </c>
      <c r="D39" s="4">
        <f>'  תקציב מינהל תפעול 2025 '!D15</f>
        <v>2700000</v>
      </c>
      <c r="E39" s="4">
        <f>'  תקציב מינהל תפעול 2025 '!E15</f>
        <v>2500000</v>
      </c>
      <c r="F39" s="4">
        <f>'  תקציב מינהל תפעול 2025 '!F15</f>
        <v>200000</v>
      </c>
      <c r="G39" s="4">
        <f>'  תקציב מינהל תפעול 2025 '!G15</f>
        <v>2100000</v>
      </c>
      <c r="H39" s="4">
        <f>'  תקציב מינהל תפעול 2025 '!H15</f>
        <v>1861058</v>
      </c>
      <c r="I39" s="4">
        <f>'  תקציב מינהל תפעול 2025 '!I15</f>
        <v>0</v>
      </c>
      <c r="J39" s="4">
        <f>'  תקציב מינהל תפעול 2025 '!J15</f>
        <v>228690.48</v>
      </c>
      <c r="K39" s="4">
        <f>'  תקציב מינהל תפעול 2025 '!K15</f>
        <v>228690.48</v>
      </c>
      <c r="L39" s="4">
        <f>'  תקציב מינהל תפעול 2025 '!L15</f>
        <v>2089748.48</v>
      </c>
      <c r="M39" s="4">
        <f>'  תקציב מינהל תפעול 2025 '!M15</f>
        <v>10251.520000000019</v>
      </c>
      <c r="N39" s="4">
        <f>'  תקציב מינהל תפעול 2025 '!N15</f>
        <v>100000</v>
      </c>
      <c r="O39" s="4">
        <f>'  תקציב מינהל תפעול 2025 '!O15</f>
        <v>500000</v>
      </c>
      <c r="P39" s="4">
        <f>'  תקציב מינהל תפעול 2025 '!P15</f>
        <v>10251.520000000019</v>
      </c>
      <c r="Q39" s="311">
        <f>'  תקציב מינהל תפעול 2025 '!Q15</f>
        <v>0</v>
      </c>
      <c r="R39" s="4">
        <f>'  תקציב מינהל תפעול 2025 '!R15</f>
        <v>0</v>
      </c>
      <c r="S39" s="4">
        <f>'  תקציב מינהל תפעול 2025 '!S15</f>
        <v>0</v>
      </c>
      <c r="T39" s="4">
        <f>'  תקציב מינהל תפעול 2025 '!T15</f>
        <v>0</v>
      </c>
      <c r="U39" s="4">
        <f>'  תקציב מינהל תפעול 2025 '!U15</f>
        <v>100000</v>
      </c>
      <c r="V39" s="4">
        <f>'  תקציב מינהל תפעול 2025 '!V15</f>
        <v>0</v>
      </c>
      <c r="W39" s="4">
        <f>'  תקציב מינהל תפעול 2025 '!W15</f>
        <v>100000</v>
      </c>
      <c r="X39" s="4">
        <f>'  תקציב מינהל תפעול 2025 '!X15</f>
        <v>0</v>
      </c>
      <c r="Y39" s="4">
        <f>'  תקציב מינהל תפעול 2025 '!Y15</f>
        <v>0</v>
      </c>
      <c r="Z39" s="4">
        <f>'  תקציב מינהל תפעול 2025 '!Z15</f>
        <v>0</v>
      </c>
      <c r="AA39" s="3">
        <f>'  תקציב מינהל תפעול 2025 '!AA15</f>
        <v>0</v>
      </c>
      <c r="AB39" s="202" t="str">
        <f>'  תקציב מינהל תפעול 2025 '!AB15</f>
        <v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v>
      </c>
      <c r="AC39" s="3">
        <f>'  תקציב מינהל תפעול 2025 '!AC15</f>
        <v>746000</v>
      </c>
    </row>
    <row r="40" spans="1:68" ht="42" customHeight="1">
      <c r="A40" s="3">
        <f t="shared" si="3"/>
        <v>29</v>
      </c>
      <c r="B40" s="3">
        <f>'  תקציב מינהל תפעול 2025 '!B16</f>
        <v>1560</v>
      </c>
      <c r="C40" s="202" t="str">
        <f>'  תקציב מינהל תפעול 2025 '!C16</f>
        <v>עבודות שונות בפארק הרצליה</v>
      </c>
      <c r="D40" s="4">
        <f>'  תקציב מינהל תפעול 2025 '!D16</f>
        <v>13560000</v>
      </c>
      <c r="E40" s="4">
        <f>'  תקציב מינהל תפעול 2025 '!E16</f>
        <v>12785000</v>
      </c>
      <c r="F40" s="4">
        <f>'  תקציב מינהל תפעול 2025 '!F16</f>
        <v>775000</v>
      </c>
      <c r="G40" s="4">
        <f>'  תקציב מינהל תפעול 2025 '!G16</f>
        <v>10060000</v>
      </c>
      <c r="H40" s="4">
        <f>'  תקציב מינהל תפעול 2025 '!H16</f>
        <v>9026525</v>
      </c>
      <c r="I40" s="4">
        <f>'  תקציב מינהל תפעול 2025 '!I16</f>
        <v>0</v>
      </c>
      <c r="J40" s="4">
        <f>'  תקציב מינהל תפעול 2025 '!J16</f>
        <v>537876</v>
      </c>
      <c r="K40" s="4">
        <f>'  תקציב מינהל תפעול 2025 '!K16</f>
        <v>537876</v>
      </c>
      <c r="L40" s="4">
        <f>'  תקציב מינהל תפעול 2025 '!L16</f>
        <v>9564401</v>
      </c>
      <c r="M40" s="4">
        <f>'  תקציב מינהל תפעול 2025 '!M16</f>
        <v>495599</v>
      </c>
      <c r="N40" s="4">
        <f>'  תקציב מינהל תפעול 2025 '!N16</f>
        <v>1000000</v>
      </c>
      <c r="O40" s="4">
        <f>'  תקציב מינהל תפעול 2025 '!O16</f>
        <v>2500000</v>
      </c>
      <c r="P40" s="4">
        <f>'  תקציב מינהל תפעול 2025 '!P16</f>
        <v>495599</v>
      </c>
      <c r="Q40" s="311">
        <f>'  תקציב מינהל תפעול 2025 '!Q16</f>
        <v>0</v>
      </c>
      <c r="R40" s="4">
        <f>'  תקציב מינהל תפעול 2025 '!R16</f>
        <v>0</v>
      </c>
      <c r="S40" s="4">
        <f>'  תקציב מינהל תפעול 2025 '!S16</f>
        <v>0</v>
      </c>
      <c r="T40" s="4">
        <f>'  תקציב מינהל תפעול 2025 '!T16</f>
        <v>0</v>
      </c>
      <c r="U40" s="4">
        <f>'  תקציב מינהל תפעול 2025 '!U16</f>
        <v>1000000</v>
      </c>
      <c r="V40" s="4">
        <f>'  תקציב מינהל תפעול 2025 '!V16</f>
        <v>0</v>
      </c>
      <c r="W40" s="4">
        <f>'  תקציב מינהל תפעול 2025 '!W16</f>
        <v>1000000</v>
      </c>
      <c r="X40" s="4">
        <f>'  תקציב מינהל תפעול 2025 '!X16</f>
        <v>0</v>
      </c>
      <c r="Y40" s="4">
        <f>'  תקציב מינהל תפעול 2025 '!Y16</f>
        <v>0</v>
      </c>
      <c r="Z40" s="4">
        <f>'  תקציב מינהל תפעול 2025 '!Z16</f>
        <v>0</v>
      </c>
      <c r="AA40" s="3">
        <f>'  תקציב מינהל תפעול 2025 '!AA16</f>
        <v>0</v>
      </c>
      <c r="AB40" s="202" t="str">
        <f>'  תקציב מינהל תפעול 2025 '!AB16</f>
        <v>עבודות שונות בפארק בין היתר שיפוץ  מתקני משחק ,שיפוץ שרותים, חידוש מסלול גומי, שדרוג דקים תוספות עצים  ושדרוגים שונים עפ"י תוכנית עבודה שתאושר ע"י הנהלת העיר.</v>
      </c>
      <c r="AC40" s="3">
        <f>'  תקציב מינהל תפעול 2025 '!AC16</f>
        <v>746000</v>
      </c>
    </row>
    <row r="41" spans="1:68" ht="66.75" customHeight="1">
      <c r="A41" s="3">
        <f t="shared" si="3"/>
        <v>30</v>
      </c>
      <c r="B41" s="3">
        <f>'  תקציב מינהל תפעול 2025 '!B18</f>
        <v>1680</v>
      </c>
      <c r="C41" s="202" t="str">
        <f>'  תקציב מינהל תפעול 2025 '!C18</f>
        <v>סקר עצים מסוכנים ברחבי העיר</v>
      </c>
      <c r="D41" s="4">
        <f>'  תקציב מינהל תפעול 2025 '!D18</f>
        <v>2700000</v>
      </c>
      <c r="E41" s="4">
        <f>'  תקציב מינהל תפעול 2025 '!E18</f>
        <v>2700000</v>
      </c>
      <c r="F41" s="4">
        <f>'  תקציב מינהל תפעול 2025 '!F18</f>
        <v>0</v>
      </c>
      <c r="G41" s="4">
        <f>'  תקציב מינהל תפעול 2025 '!G18</f>
        <v>2050000</v>
      </c>
      <c r="H41" s="4">
        <f>'  תקציב מינהל תפעול 2025 '!H18</f>
        <v>1762861.16</v>
      </c>
      <c r="I41" s="4">
        <f>'  תקציב מינהל תפעול 2025 '!I18</f>
        <v>0</v>
      </c>
      <c r="J41" s="4">
        <f>'  תקציב מינהל תפעול 2025 '!J18</f>
        <v>203325.88</v>
      </c>
      <c r="K41" s="4">
        <f>'  תקציב מינהל תפעול 2025 '!K18</f>
        <v>203325.88</v>
      </c>
      <c r="L41" s="4">
        <f>'  תקציב מינהל תפעול 2025 '!L18</f>
        <v>1966187.04</v>
      </c>
      <c r="M41" s="4">
        <f>'  תקציב מינהל תפעול 2025 '!M18</f>
        <v>83812.959999999963</v>
      </c>
      <c r="N41" s="4">
        <f>'  תקציב מינהל תפעול 2025 '!N18</f>
        <v>600000</v>
      </c>
      <c r="O41" s="4">
        <f>'  תקציב מינהל תפעול 2025 '!O18</f>
        <v>50000</v>
      </c>
      <c r="P41" s="4">
        <f>'  תקציב מינהל תפעול 2025 '!P18</f>
        <v>83812.959999999963</v>
      </c>
      <c r="Q41" s="311">
        <f>'  תקציב מינהל תפעול 2025 '!Q18</f>
        <v>0</v>
      </c>
      <c r="R41" s="4">
        <f>'  תקציב מינהל תפעול 2025 '!R18</f>
        <v>0</v>
      </c>
      <c r="S41" s="4">
        <f>'  תקציב מינהל תפעול 2025 '!S18</f>
        <v>0</v>
      </c>
      <c r="T41" s="4">
        <f>'  תקציב מינהל תפעול 2025 '!T18</f>
        <v>0</v>
      </c>
      <c r="U41" s="4">
        <f>'  תקציב מינהל תפעול 2025 '!U18</f>
        <v>600000</v>
      </c>
      <c r="V41" s="4">
        <f>'  תקציב מינהל תפעול 2025 '!V18</f>
        <v>0</v>
      </c>
      <c r="W41" s="4">
        <f>'  תקציב מינהל תפעול 2025 '!W18</f>
        <v>600000</v>
      </c>
      <c r="X41" s="4">
        <f>'  תקציב מינהל תפעול 2025 '!X18</f>
        <v>0</v>
      </c>
      <c r="Y41" s="4">
        <f>'  תקציב מינהל תפעול 2025 '!Y18</f>
        <v>0</v>
      </c>
      <c r="Z41" s="4">
        <f>'  תקציב מינהל תפעול 2025 '!Z18</f>
        <v>0</v>
      </c>
      <c r="AA41" s="3">
        <f>'  תקציב מינהל תפעול 2025 '!AA18</f>
        <v>0</v>
      </c>
      <c r="AB41" s="202" t="str">
        <f>'  תקציב מינהל תפעול 2025 '!AB18</f>
        <v>ביצוע סקר מקיף של כל העצים בעיר ע"י אגרונומים. זאת עפ"י דרישה מ. החקלאות עקב שינויי אקלים והזדקנות העצים במרחב הציבורי. התוכנית  תאושר ע"י הנהלת העיר.</v>
      </c>
      <c r="AC41" s="3">
        <f>'  תקציב מינהל תפעול 2025 '!AC18</f>
        <v>746000</v>
      </c>
    </row>
    <row r="42" spans="1:68" ht="45">
      <c r="A42" s="3">
        <f t="shared" si="3"/>
        <v>31</v>
      </c>
      <c r="B42" s="3">
        <f>'  תקציב מינהל תפעול 2025 '!B42</f>
        <v>2165</v>
      </c>
      <c r="C42" s="202" t="str">
        <f>'  תקציב מינהל תפעול 2025 '!C42</f>
        <v>שדרוג רחוב וינגייט</v>
      </c>
      <c r="D42" s="4">
        <f>'  תקציב מינהל תפעול 2025 '!D42</f>
        <v>1900000</v>
      </c>
      <c r="E42" s="4">
        <f>'  תקציב מינהל תפעול 2025 '!E42</f>
        <v>1600000</v>
      </c>
      <c r="F42" s="4">
        <f>'  תקציב מינהל תפעול 2025 '!F42</f>
        <v>300000</v>
      </c>
      <c r="G42" s="4">
        <f>'  תקציב מינהל תפעול 2025 '!G42</f>
        <v>0</v>
      </c>
      <c r="H42" s="4">
        <f>'  תקציב מינהל תפעול 2025 '!H42</f>
        <v>0</v>
      </c>
      <c r="I42" s="4">
        <f>'  תקציב מינהל תפעול 2025 '!I42</f>
        <v>0</v>
      </c>
      <c r="J42" s="4">
        <f>'  תקציב מינהל תפעול 2025 '!J42</f>
        <v>0</v>
      </c>
      <c r="K42" s="4">
        <f>'  תקציב מינהל תפעול 2025 '!K42</f>
        <v>0</v>
      </c>
      <c r="L42" s="4">
        <f>'  תקציב מינהל תפעול 2025 '!L42</f>
        <v>0</v>
      </c>
      <c r="M42" s="4">
        <f>'  תקציב מינהל תפעול 2025 '!M42</f>
        <v>0</v>
      </c>
      <c r="N42" s="4">
        <f>'  תקציב מינהל תפעול 2025 '!N42</f>
        <v>0</v>
      </c>
      <c r="O42" s="4">
        <f>'  תקציב מינהל תפעול 2025 '!O42</f>
        <v>1900000</v>
      </c>
      <c r="P42" s="4">
        <f>'  תקציב מינהל תפעול 2025 '!P42</f>
        <v>0</v>
      </c>
      <c r="Q42" s="311">
        <f>'  תקציב מינהל תפעול 2025 '!Q42</f>
        <v>0</v>
      </c>
      <c r="R42" s="4">
        <f>'  תקציב מינהל תפעול 2025 '!R42</f>
        <v>0</v>
      </c>
      <c r="S42" s="4">
        <f>'  תקציב מינהל תפעול 2025 '!S42</f>
        <v>0</v>
      </c>
      <c r="T42" s="4">
        <f>'  תקציב מינהל תפעול 2025 '!T42</f>
        <v>0</v>
      </c>
      <c r="U42" s="4">
        <f>'  תקציב מינהל תפעול 2025 '!U42</f>
        <v>0</v>
      </c>
      <c r="V42" s="4">
        <f>'  תקציב מינהל תפעול 2025 '!V42</f>
        <v>0</v>
      </c>
      <c r="W42" s="4">
        <f>'  תקציב מינהל תפעול 2025 '!W42</f>
        <v>0</v>
      </c>
      <c r="X42" s="4">
        <f>'  תקציב מינהל תפעול 2025 '!X42</f>
        <v>0</v>
      </c>
      <c r="Y42" s="4">
        <f>'  תקציב מינהל תפעול 2025 '!Y42</f>
        <v>0</v>
      </c>
      <c r="Z42" s="4">
        <f>'  תקציב מינהל תפעול 2025 '!Z42</f>
        <v>0</v>
      </c>
      <c r="AA42" s="3">
        <f>'  תקציב מינהל תפעול 2025 '!AA42</f>
        <v>0</v>
      </c>
      <c r="AB42" s="202" t="str">
        <f>'  תקציב מינהל תפעול 2025 '!AB42</f>
        <v xml:space="preserve">עבודות שדרוג ושיקום -גינון השקייה ופיתוח ברחוב וינגייט - בקטע שבין קדושי השואה ועד כיכר דה שליט. </v>
      </c>
      <c r="AC42" s="3">
        <f>'  תקציב מינהל תפעול 2025 '!AC42</f>
        <v>746000</v>
      </c>
    </row>
    <row r="43" spans="1:68" ht="50.25" customHeight="1">
      <c r="A43" s="3">
        <f t="shared" si="3"/>
        <v>32</v>
      </c>
      <c r="B43" s="3">
        <f>'  תקציב מינהל תפעול 2025 '!B43</f>
        <v>2166</v>
      </c>
      <c r="C43" s="202" t="str">
        <f>'  תקציב מינהל תפעול 2025 '!C43</f>
        <v>שדרוג רחוב בן גוריון</v>
      </c>
      <c r="D43" s="4">
        <f>'  תקציב מינהל תפעול 2025 '!D43</f>
        <v>6200000</v>
      </c>
      <c r="E43" s="4">
        <f>'  תקציב מינהל תפעול 2025 '!E43</f>
        <v>6200000</v>
      </c>
      <c r="F43" s="4">
        <f>'  תקציב מינהל תפעול 2025 '!F43</f>
        <v>0</v>
      </c>
      <c r="G43" s="4">
        <f>'  תקציב מינהל תפעול 2025 '!G43</f>
        <v>0</v>
      </c>
      <c r="H43" s="4">
        <f>'  תקציב מינהל תפעול 2025 '!H43</f>
        <v>0</v>
      </c>
      <c r="I43" s="4">
        <f>'  תקציב מינהל תפעול 2025 '!I43</f>
        <v>0</v>
      </c>
      <c r="J43" s="4">
        <f>'  תקציב מינהל תפעול 2025 '!J43</f>
        <v>0</v>
      </c>
      <c r="K43" s="4">
        <f>'  תקציב מינהל תפעול 2025 '!K43</f>
        <v>0</v>
      </c>
      <c r="L43" s="4">
        <f>'  תקציב מינהל תפעול 2025 '!L43</f>
        <v>0</v>
      </c>
      <c r="M43" s="4">
        <f>'  תקציב מינהל תפעול 2025 '!M43</f>
        <v>0</v>
      </c>
      <c r="N43" s="4">
        <f>'  תקציב מינהל תפעול 2025 '!N43</f>
        <v>0</v>
      </c>
      <c r="O43" s="4">
        <f>'  תקציב מינהל תפעול 2025 '!O43</f>
        <v>6200000</v>
      </c>
      <c r="P43" s="4">
        <f>'  תקציב מינהל תפעול 2025 '!P43</f>
        <v>0</v>
      </c>
      <c r="Q43" s="311">
        <f>'  תקציב מינהל תפעול 2025 '!Q43</f>
        <v>0</v>
      </c>
      <c r="R43" s="4">
        <f>'  תקציב מינהל תפעול 2025 '!R43</f>
        <v>0</v>
      </c>
      <c r="S43" s="4">
        <f>'  תקציב מינהל תפעול 2025 '!S43</f>
        <v>0</v>
      </c>
      <c r="T43" s="4">
        <f>'  תקציב מינהל תפעול 2025 '!T43</f>
        <v>0</v>
      </c>
      <c r="U43" s="4">
        <f>'  תקציב מינהל תפעול 2025 '!U43</f>
        <v>0</v>
      </c>
      <c r="V43" s="4">
        <f>'  תקציב מינהל תפעול 2025 '!V43</f>
        <v>0</v>
      </c>
      <c r="W43" s="4">
        <f>'  תקציב מינהל תפעול 2025 '!W43</f>
        <v>0</v>
      </c>
      <c r="X43" s="4">
        <f>'  תקציב מינהל תפעול 2025 '!X43</f>
        <v>0</v>
      </c>
      <c r="Y43" s="4">
        <f>'  תקציב מינהל תפעול 2025 '!Y43</f>
        <v>0</v>
      </c>
      <c r="Z43" s="4">
        <f>'  תקציב מינהל תפעול 2025 '!Z43</f>
        <v>0</v>
      </c>
      <c r="AA43" s="3">
        <f>'  תקציב מינהל תפעול 2025 '!AA43</f>
        <v>0</v>
      </c>
      <c r="AB43" s="202" t="str">
        <f>'  תקציב מינהל תפעול 2025 '!AB43</f>
        <v>עבודות שדרוג מדרכות , חשמל ושיקום שטחי הגינון  לצידי הרחוב במקטעים שטרם שודרגו.  (כניסה מרמת השרון).</v>
      </c>
      <c r="AC43" s="3">
        <f>'  תקציב מינהל תפעול 2025 '!AC43</f>
        <v>746000</v>
      </c>
    </row>
    <row r="44" spans="1:68" s="5" customFormat="1" ht="58.5" customHeight="1">
      <c r="A44" s="3">
        <f t="shared" si="3"/>
        <v>33</v>
      </c>
      <c r="B44" s="19">
        <f>'  תקציב מינהל תפעול 2025 '!B96</f>
        <v>20161</v>
      </c>
      <c r="C44" s="222" t="str">
        <f>'  תקציב מינהל תפעול 2025 '!C96</f>
        <v>הסבת מערכות השקייה לא מבוקרות למערכות מבוקרות</v>
      </c>
      <c r="D44" s="112">
        <f>'  תקציב מינהל תפעול 2025 '!D96</f>
        <v>3000000</v>
      </c>
      <c r="E44" s="112">
        <f>'  תקציב מינהל תפעול 2025 '!E96</f>
        <v>0</v>
      </c>
      <c r="F44" s="112">
        <f>'  תקציב מינהל תפעול 2025 '!F96</f>
        <v>3000000</v>
      </c>
      <c r="G44" s="112">
        <f>'  תקציב מינהל תפעול 2025 '!G96</f>
        <v>0</v>
      </c>
      <c r="H44" s="112">
        <f>'  תקציב מינהל תפעול 2025 '!H96</f>
        <v>0</v>
      </c>
      <c r="I44" s="112">
        <f>'  תקציב מינהל תפעול 2025 '!I96</f>
        <v>0</v>
      </c>
      <c r="J44" s="112">
        <f>'  תקציב מינהל תפעול 2025 '!J96</f>
        <v>0</v>
      </c>
      <c r="K44" s="112">
        <f>'  תקציב מינהל תפעול 2025 '!K96</f>
        <v>0</v>
      </c>
      <c r="L44" s="112">
        <f>'  תקציב מינהל תפעול 2025 '!L96</f>
        <v>0</v>
      </c>
      <c r="M44" s="112">
        <f>'  תקציב מינהל תפעול 2025 '!M96</f>
        <v>0</v>
      </c>
      <c r="N44" s="112">
        <f>'  תקציב מינהל תפעול 2025 '!N96</f>
        <v>200000</v>
      </c>
      <c r="O44" s="112">
        <f>'  תקציב מינהל תפעול 2025 '!O96</f>
        <v>2800000</v>
      </c>
      <c r="P44" s="112">
        <f>'  תקציב מינהל תפעול 2025 '!P96</f>
        <v>0</v>
      </c>
      <c r="Q44" s="112">
        <f>'  תקציב מינהל תפעול 2025 '!Q96</f>
        <v>0</v>
      </c>
      <c r="R44" s="112">
        <f>'  תקציב מינהל תפעול 2025 '!R96</f>
        <v>0</v>
      </c>
      <c r="S44" s="112">
        <f>'  תקציב מינהל תפעול 2025 '!S96</f>
        <v>0</v>
      </c>
      <c r="T44" s="112">
        <f>'  תקציב מינהל תפעול 2025 '!T96</f>
        <v>0</v>
      </c>
      <c r="U44" s="112">
        <f>'  תקציב מינהל תפעול 2025 '!U96</f>
        <v>200000</v>
      </c>
      <c r="V44" s="112">
        <f>'  תקציב מינהל תפעול 2025 '!V96</f>
        <v>0</v>
      </c>
      <c r="W44" s="4">
        <f>'  תקציב מינהל תפעול 2025 '!W96</f>
        <v>200000</v>
      </c>
      <c r="X44" s="112">
        <f>'  תקציב מינהל תפעול 2025 '!X96</f>
        <v>0</v>
      </c>
      <c r="Y44" s="112">
        <f>'  תקציב מינהל תפעול 2025 '!Y96</f>
        <v>0</v>
      </c>
      <c r="Z44" s="112">
        <f>'  תקציב מינהל תפעול 2025 '!Z96</f>
        <v>0</v>
      </c>
      <c r="AA44" s="112">
        <f>'  תקציב מינהל תפעול 2025 '!AA96</f>
        <v>0</v>
      </c>
      <c r="AB44" s="202" t="str">
        <f>'  תקציב מינהל תפעול 2025 '!AB96</f>
        <v>הסבת ראשי מערכות השקיה אלו למערכות הנשלטות על ידי המערכת הממוחשבת לניהול ובקרה, תאפשר בקרה וניהול של המערכות.</v>
      </c>
      <c r="AC44" s="3">
        <f>'  תקציב מינהל תפעול 2025 '!AC96</f>
        <v>746000</v>
      </c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48"/>
      <c r="AQ44" s="148"/>
      <c r="AR44" s="148"/>
      <c r="AS44" s="148"/>
      <c r="AT44" s="531"/>
      <c r="AU44" s="123"/>
      <c r="AV44" s="123"/>
      <c r="AW44" s="123"/>
      <c r="AX44" s="123"/>
      <c r="AY44" s="123"/>
      <c r="AZ44" s="123"/>
      <c r="BA44" s="123"/>
      <c r="BB44" s="123"/>
      <c r="BC44" s="256"/>
      <c r="BD44" s="256"/>
      <c r="BE44" s="256"/>
      <c r="BF44" s="256"/>
      <c r="BG44" s="256"/>
      <c r="BH44" s="256"/>
      <c r="BI44" s="256"/>
      <c r="BJ44" s="256"/>
      <c r="BK44" s="256"/>
    </row>
    <row r="45" spans="1:68" s="6" customFormat="1" ht="20.100000000000001" customHeight="1">
      <c r="A45" s="7"/>
      <c r="B45" s="7"/>
      <c r="C45" s="122" t="s">
        <v>1331</v>
      </c>
      <c r="D45" s="130">
        <f>SUM(D20:D44)</f>
        <v>341843866</v>
      </c>
      <c r="E45" s="130">
        <f t="shared" ref="E45:AA45" si="4">SUM(E20:E44)</f>
        <v>308788866</v>
      </c>
      <c r="F45" s="130">
        <f t="shared" si="4"/>
        <v>33055000</v>
      </c>
      <c r="G45" s="130">
        <f t="shared" si="4"/>
        <v>216793366</v>
      </c>
      <c r="H45" s="130">
        <f t="shared" si="4"/>
        <v>188125261.73000002</v>
      </c>
      <c r="I45" s="130">
        <f t="shared" si="4"/>
        <v>0</v>
      </c>
      <c r="J45" s="130">
        <f t="shared" si="4"/>
        <v>23125481.420000002</v>
      </c>
      <c r="K45" s="130">
        <f t="shared" si="4"/>
        <v>23125481.420000002</v>
      </c>
      <c r="L45" s="130">
        <f t="shared" si="4"/>
        <v>211250743.14999998</v>
      </c>
      <c r="M45" s="130">
        <f t="shared" si="4"/>
        <v>7632622.8499999987</v>
      </c>
      <c r="N45" s="130">
        <f t="shared" si="4"/>
        <v>11900000</v>
      </c>
      <c r="O45" s="130">
        <f t="shared" si="4"/>
        <v>111060500</v>
      </c>
      <c r="P45" s="130">
        <f t="shared" si="4"/>
        <v>5542622.8499999987</v>
      </c>
      <c r="Q45" s="130">
        <f t="shared" si="4"/>
        <v>1100000</v>
      </c>
      <c r="R45" s="130">
        <f t="shared" si="4"/>
        <v>990000</v>
      </c>
      <c r="S45" s="130">
        <f t="shared" si="4"/>
        <v>2090000</v>
      </c>
      <c r="T45" s="130">
        <f t="shared" si="4"/>
        <v>0</v>
      </c>
      <c r="U45" s="130">
        <f t="shared" si="4"/>
        <v>11900000</v>
      </c>
      <c r="V45" s="130">
        <f t="shared" si="4"/>
        <v>0</v>
      </c>
      <c r="W45" s="130">
        <f t="shared" si="4"/>
        <v>11900000</v>
      </c>
      <c r="X45" s="130">
        <f t="shared" si="4"/>
        <v>0</v>
      </c>
      <c r="Y45" s="130">
        <f t="shared" si="4"/>
        <v>0</v>
      </c>
      <c r="Z45" s="130">
        <f t="shared" si="4"/>
        <v>0</v>
      </c>
      <c r="AA45" s="130">
        <f t="shared" si="4"/>
        <v>0</v>
      </c>
      <c r="AB45" s="13"/>
      <c r="AC45" s="7"/>
      <c r="AD45" s="678"/>
      <c r="AE45" s="678"/>
      <c r="AF45" s="678"/>
      <c r="AG45" s="678"/>
      <c r="AH45" s="678"/>
      <c r="AI45" s="678"/>
      <c r="AJ45" s="678"/>
      <c r="AK45" s="678"/>
      <c r="AL45" s="678"/>
      <c r="AM45" s="678"/>
      <c r="AN45" s="678"/>
      <c r="AO45" s="678"/>
      <c r="AP45" s="596"/>
      <c r="AQ45" s="596"/>
      <c r="AR45" s="596"/>
      <c r="AS45" s="596"/>
      <c r="AT45" s="523"/>
      <c r="AU45" s="212"/>
      <c r="AV45" s="212"/>
      <c r="AW45" s="212"/>
      <c r="AX45" s="212"/>
      <c r="AY45" s="212"/>
      <c r="AZ45" s="212"/>
      <c r="BA45" s="212"/>
      <c r="BB45" s="212"/>
      <c r="BC45" s="314"/>
      <c r="BD45" s="314"/>
      <c r="BE45" s="314"/>
      <c r="BF45" s="314"/>
      <c r="BG45" s="314"/>
      <c r="BH45" s="314"/>
      <c r="BI45" s="314"/>
      <c r="BJ45" s="314"/>
      <c r="BK45" s="314"/>
    </row>
    <row r="46" spans="1:68" s="6" customFormat="1" ht="20.100000000000001" customHeight="1">
      <c r="A46" s="7"/>
      <c r="B46" s="7"/>
      <c r="C46" s="129">
        <v>747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8"/>
      <c r="X46" s="130"/>
      <c r="Y46" s="130"/>
      <c r="Z46" s="130"/>
      <c r="AA46" s="130"/>
      <c r="AB46" s="13"/>
      <c r="AC46" s="7"/>
      <c r="AD46" s="678"/>
      <c r="AE46" s="678"/>
      <c r="AF46" s="678"/>
      <c r="AG46" s="678"/>
      <c r="AH46" s="678"/>
      <c r="AI46" s="678"/>
      <c r="AJ46" s="678"/>
      <c r="AK46" s="678"/>
      <c r="AL46" s="678"/>
      <c r="AM46" s="678"/>
      <c r="AN46" s="678"/>
      <c r="AO46" s="678"/>
      <c r="AP46" s="596"/>
      <c r="AQ46" s="596"/>
      <c r="AR46" s="596"/>
      <c r="AS46" s="596"/>
      <c r="AT46" s="523"/>
      <c r="AU46" s="212"/>
      <c r="AV46" s="212"/>
      <c r="AW46" s="212"/>
      <c r="AX46" s="212"/>
      <c r="AY46" s="212"/>
      <c r="AZ46" s="212"/>
      <c r="BA46" s="212"/>
      <c r="BB46" s="212"/>
      <c r="BC46" s="314"/>
      <c r="BD46" s="314"/>
      <c r="BE46" s="314"/>
      <c r="BF46" s="314"/>
      <c r="BG46" s="314"/>
      <c r="BH46" s="314"/>
      <c r="BI46" s="314"/>
      <c r="BJ46" s="314"/>
      <c r="BK46" s="314"/>
    </row>
    <row r="47" spans="1:68" ht="45">
      <c r="A47" s="3">
        <f>A44+1</f>
        <v>34</v>
      </c>
      <c r="B47" s="3">
        <f>'  תקציב מינהל תפעול 2025 '!B32</f>
        <v>2043</v>
      </c>
      <c r="C47" s="202" t="str">
        <f>'  תקציב מינהל תפעול 2025 '!C32</f>
        <v>פיתוח חופי רחצה</v>
      </c>
      <c r="D47" s="4">
        <f>'  תקציב מינהל תפעול 2025 '!D32</f>
        <v>26500000</v>
      </c>
      <c r="E47" s="4">
        <f>'  תקציב מינהל תפעול 2025 '!E32</f>
        <v>20500000</v>
      </c>
      <c r="F47" s="4">
        <f>'  תקציב מינהל תפעול 2025 '!F32</f>
        <v>6000000</v>
      </c>
      <c r="G47" s="4">
        <f>'  תקציב מינהל תפעול 2025 '!G32</f>
        <v>20355864</v>
      </c>
      <c r="H47" s="4">
        <f>'  תקציב מינהל תפעול 2025 '!H32</f>
        <v>17308743.210000001</v>
      </c>
      <c r="I47" s="4">
        <f>'  תקציב מינהל תפעול 2025 '!I32</f>
        <v>56624</v>
      </c>
      <c r="J47" s="4">
        <f>'  תקציב מינהל תפעול 2025 '!J32</f>
        <v>2400856.5699999998</v>
      </c>
      <c r="K47" s="4">
        <f>'  תקציב מינהל תפעול 2025 '!K32</f>
        <v>2457480.5699999998</v>
      </c>
      <c r="L47" s="4">
        <f>'  תקציב מינהל תפעול 2025 '!L32</f>
        <v>19766223.780000001</v>
      </c>
      <c r="M47" s="4">
        <f>'  תקציב מינהל תפעול 2025 '!M32</f>
        <v>589640.21999999881</v>
      </c>
      <c r="N47" s="4">
        <f>'  תקציב מינהל תפעול 2025 '!N32</f>
        <v>1500000</v>
      </c>
      <c r="O47" s="4">
        <f>'  תקציב מינהל תפעול 2025 '!O32</f>
        <v>4644136</v>
      </c>
      <c r="P47" s="4">
        <f>'  תקציב מינהל תפעול 2025 '!P32</f>
        <v>589640.21999999881</v>
      </c>
      <c r="Q47" s="4">
        <f>'  תקציב מינהל תפעול 2025 '!Q32</f>
        <v>0</v>
      </c>
      <c r="R47" s="4">
        <f>'  תקציב מינהל תפעול 2025 '!R32</f>
        <v>0</v>
      </c>
      <c r="S47" s="4">
        <f>'  תקציב מינהל תפעול 2025 '!S32</f>
        <v>0</v>
      </c>
      <c r="T47" s="4">
        <f>'  תקציב מינהל תפעול 2025 '!T32</f>
        <v>0</v>
      </c>
      <c r="U47" s="4">
        <f>'  תקציב מינהל תפעול 2025 '!U32</f>
        <v>1500000</v>
      </c>
      <c r="V47" s="4">
        <f>'  תקציב מינהל תפעול 2025 '!V32</f>
        <v>0</v>
      </c>
      <c r="W47" s="4">
        <f>'  תקציב מינהל תפעול 2025 '!W32</f>
        <v>1500000</v>
      </c>
      <c r="X47" s="4">
        <f>'  תקציב מינהל תפעול 2025 '!X32</f>
        <v>0</v>
      </c>
      <c r="Y47" s="4">
        <f>'  תקציב מינהל תפעול 2025 '!Y32</f>
        <v>0</v>
      </c>
      <c r="Z47" s="4">
        <f>'  תקציב מינהל תפעול 2025 '!Z32</f>
        <v>0</v>
      </c>
      <c r="AA47" s="3">
        <f>'  תקציב מינהל תפעול 2025 '!AA32</f>
        <v>0</v>
      </c>
      <c r="AB47" s="202" t="str">
        <f>'  תקציב מינהל תפעול 2025 '!AB32</f>
        <v>סל עבודות פיתוח גידור,שדרוג והיערכות לקראת פתיחת עונת הרחצה ובמהלכה. עפ"י תוכנית שתאושר ע"י הנהלת העיר.</v>
      </c>
      <c r="AC47" s="3">
        <f>'  תקציב מינהל תפעול 2025 '!AC32</f>
        <v>747000</v>
      </c>
    </row>
    <row r="48" spans="1:68" ht="30">
      <c r="A48" s="3">
        <f t="shared" ref="A48:A57" si="5">A47+1</f>
        <v>35</v>
      </c>
      <c r="B48" s="3">
        <f>'  תקציב מינהל תפעול 2025 '!B33</f>
        <v>2047</v>
      </c>
      <c r="C48" s="202" t="str">
        <f>'  תקציב מינהל תפעול 2025 '!C33</f>
        <v>תחנת הצלה חוף הכוכבים 2017</v>
      </c>
      <c r="D48" s="4">
        <f>'  תקציב מינהל תפעול 2025 '!D33</f>
        <v>170000</v>
      </c>
      <c r="E48" s="4">
        <f>'  תקציב מינהל תפעול 2025 '!E33</f>
        <v>170000</v>
      </c>
      <c r="F48" s="4">
        <f>'  תקציב מינהל תפעול 2025 '!F33</f>
        <v>0</v>
      </c>
      <c r="G48" s="4">
        <f>'  תקציב מינהל תפעול 2025 '!G33</f>
        <v>170000</v>
      </c>
      <c r="H48" s="4">
        <f>'  תקציב מינהל תפעול 2025 '!H33</f>
        <v>170000</v>
      </c>
      <c r="I48" s="4">
        <f>'  תקציב מינהל תפעול 2025 '!I33</f>
        <v>0</v>
      </c>
      <c r="J48" s="4">
        <f>'  תקציב מינהל תפעול 2025 '!J33</f>
        <v>0</v>
      </c>
      <c r="K48" s="4">
        <f>'  תקציב מינהל תפעול 2025 '!K33</f>
        <v>0</v>
      </c>
      <c r="L48" s="4">
        <f>'  תקציב מינהל תפעול 2025 '!L33</f>
        <v>170000</v>
      </c>
      <c r="M48" s="4">
        <f>'  תקציב מינהל תפעול 2025 '!M33</f>
        <v>0</v>
      </c>
      <c r="N48" s="4">
        <f>'  תקציב מינהל תפעול 2025 '!N33</f>
        <v>0</v>
      </c>
      <c r="O48" s="4">
        <f>'  תקציב מינהל תפעול 2025 '!O33</f>
        <v>0</v>
      </c>
      <c r="P48" s="4">
        <f>'  תקציב מינהל תפעול 2025 '!P33</f>
        <v>0</v>
      </c>
      <c r="Q48" s="4">
        <f>'  תקציב מינהל תפעול 2025 '!Q33</f>
        <v>0</v>
      </c>
      <c r="R48" s="4">
        <f>'  תקציב מינהל תפעול 2025 '!R33</f>
        <v>0</v>
      </c>
      <c r="S48" s="4">
        <f>'  תקציב מינהל תפעול 2025 '!S33</f>
        <v>0</v>
      </c>
      <c r="T48" s="4">
        <f>'  תקציב מינהל תפעול 2025 '!T33</f>
        <v>0</v>
      </c>
      <c r="U48" s="4">
        <f>'  תקציב מינהל תפעול 2025 '!U33</f>
        <v>0</v>
      </c>
      <c r="V48" s="4">
        <f>'  תקציב מינהל תפעול 2025 '!V33</f>
        <v>0</v>
      </c>
      <c r="W48" s="4">
        <f>'  תקציב מינהל תפעול 2025 '!W33</f>
        <v>0</v>
      </c>
      <c r="X48" s="4">
        <f>'  תקציב מינהל תפעול 2025 '!X33</f>
        <v>0</v>
      </c>
      <c r="Y48" s="4">
        <f>'  תקציב מינהל תפעול 2025 '!Y33</f>
        <v>0</v>
      </c>
      <c r="Z48" s="4">
        <f>'  תקציב מינהל תפעול 2025 '!Z33</f>
        <v>0</v>
      </c>
      <c r="AA48" s="3">
        <f>'  תקציב מינהל תפעול 2025 '!AA33</f>
        <v>0</v>
      </c>
      <c r="AB48" s="202" t="str">
        <f>'  תקציב מינהל תפעול 2025 '!AB33</f>
        <v xml:space="preserve">מימון מ. הפנים. ייסגר עם קבלת תקבול מ. הפנים. </v>
      </c>
      <c r="AC48" s="3">
        <f>'  תקציב מינהל תפעול 2025 '!AC33</f>
        <v>747000</v>
      </c>
    </row>
    <row r="49" spans="1:68" ht="60.75" customHeight="1">
      <c r="A49" s="3">
        <f t="shared" si="5"/>
        <v>36</v>
      </c>
      <c r="B49" s="3">
        <f>'  תקציב מינהל תפעול 2025 '!B46</f>
        <v>2181</v>
      </c>
      <c r="C49" s="202" t="str">
        <f>'  תקציב מינהל תפעול 2025 '!C46</f>
        <v>טיפול במפגעי בטיחות במצוק</v>
      </c>
      <c r="D49" s="4">
        <f>'  תקציב מינהל תפעול 2025 '!D46</f>
        <v>1259000</v>
      </c>
      <c r="E49" s="4">
        <f>'  תקציב מינהל תפעול 2025 '!E46</f>
        <v>1259000</v>
      </c>
      <c r="F49" s="4">
        <f>'  תקציב מינהל תפעול 2025 '!F46</f>
        <v>0</v>
      </c>
      <c r="G49" s="4">
        <f>'  תקציב מינהל תפעול 2025 '!G46</f>
        <v>1259000</v>
      </c>
      <c r="H49" s="4">
        <f>'  תקציב מינהל תפעול 2025 '!H46</f>
        <v>1259000</v>
      </c>
      <c r="I49" s="4">
        <f>'  תקציב מינהל תפעול 2025 '!I46</f>
        <v>0</v>
      </c>
      <c r="J49" s="4">
        <f>'  תקציב מינהל תפעול 2025 '!J46</f>
        <v>0</v>
      </c>
      <c r="K49" s="4">
        <f>'  תקציב מינהל תפעול 2025 '!K46</f>
        <v>0</v>
      </c>
      <c r="L49" s="4">
        <f>'  תקציב מינהל תפעול 2025 '!L46</f>
        <v>1259000</v>
      </c>
      <c r="M49" s="4">
        <f>'  תקציב מינהל תפעול 2025 '!M46</f>
        <v>0</v>
      </c>
      <c r="N49" s="4">
        <f>'  תקציב מינהל תפעול 2025 '!N46</f>
        <v>0</v>
      </c>
      <c r="O49" s="4">
        <f>'  תקציב מינהל תפעול 2025 '!O46</f>
        <v>0</v>
      </c>
      <c r="P49" s="4">
        <f>'  תקציב מינהל תפעול 2025 '!P46</f>
        <v>0</v>
      </c>
      <c r="Q49" s="311">
        <f>'  תקציב מינהל תפעול 2025 '!Q46</f>
        <v>0</v>
      </c>
      <c r="R49" s="4">
        <f>'  תקציב מינהל תפעול 2025 '!R46</f>
        <v>0</v>
      </c>
      <c r="S49" s="4">
        <f>'  תקציב מינהל תפעול 2025 '!S46</f>
        <v>0</v>
      </c>
      <c r="T49" s="4">
        <f>'  תקציב מינהל תפעול 2025 '!T46</f>
        <v>0</v>
      </c>
      <c r="U49" s="4">
        <f>'  תקציב מינהל תפעול 2025 '!U46</f>
        <v>0</v>
      </c>
      <c r="V49" s="4">
        <f>'  תקציב מינהל תפעול 2025 '!V46</f>
        <v>0</v>
      </c>
      <c r="W49" s="4">
        <f>'  תקציב מינהל תפעול 2025 '!W46</f>
        <v>0</v>
      </c>
      <c r="X49" s="4">
        <f>'  תקציב מינהל תפעול 2025 '!X46</f>
        <v>0</v>
      </c>
      <c r="Y49" s="4">
        <f>'  תקציב מינהל תפעול 2025 '!Y46</f>
        <v>0</v>
      </c>
      <c r="Z49" s="4">
        <f>'  תקציב מינהל תפעול 2025 '!Z46</f>
        <v>0</v>
      </c>
      <c r="AA49" s="3">
        <f>'  תקציב מינהל תפעול 2025 '!AA46</f>
        <v>0</v>
      </c>
      <c r="AB49" s="202" t="str">
        <f>'  תקציב מינהל תפעול 2025 '!AB46</f>
        <v xml:space="preserve">ביצוע עבודות לטיפול במפגעי בטיחות במצוק. מימון מ. הפנים. ייסגר עם קבלת תקבול מ. הפנים. </v>
      </c>
      <c r="AC49" s="3">
        <f>'  תקציב מינהל תפעול 2025 '!AC46</f>
        <v>747000</v>
      </c>
    </row>
    <row r="50" spans="1:68" ht="75" customHeight="1">
      <c r="A50" s="3">
        <f t="shared" si="5"/>
        <v>37</v>
      </c>
      <c r="B50" s="3">
        <f>'  תקציב מינהל תפעול 2025 '!B51</f>
        <v>2221</v>
      </c>
      <c r="C50" s="202" t="str">
        <f>'  תקציב מינהל תפעול 2025 '!C51</f>
        <v>ציוד הצלה ובטיחות 2020</v>
      </c>
      <c r="D50" s="4">
        <f>'  תקציב מינהל תפעול 2025 '!D51</f>
        <v>91304</v>
      </c>
      <c r="E50" s="4">
        <f>'  תקציב מינהל תפעול 2025 '!E51</f>
        <v>91304</v>
      </c>
      <c r="F50" s="4">
        <f>'  תקציב מינהל תפעול 2025 '!F51</f>
        <v>0</v>
      </c>
      <c r="G50" s="4">
        <f>'  תקציב מינהל תפעול 2025 '!G51</f>
        <v>91304</v>
      </c>
      <c r="H50" s="4">
        <f>'  תקציב מינהל תפעול 2025 '!H51</f>
        <v>91202</v>
      </c>
      <c r="I50" s="4">
        <f>'  תקציב מינהל תפעול 2025 '!I51</f>
        <v>0</v>
      </c>
      <c r="J50" s="4">
        <f>'  תקציב מינהל תפעול 2025 '!J51</f>
        <v>0</v>
      </c>
      <c r="K50" s="4">
        <f>'  תקציב מינהל תפעול 2025 '!K51</f>
        <v>0</v>
      </c>
      <c r="L50" s="4">
        <f>'  תקציב מינהל תפעול 2025 '!L51</f>
        <v>91202</v>
      </c>
      <c r="M50" s="4">
        <f>'  תקציב מינהל תפעול 2025 '!M51</f>
        <v>102</v>
      </c>
      <c r="N50" s="4">
        <f>'  תקציב מינהל תפעול 2025 '!N51</f>
        <v>0</v>
      </c>
      <c r="O50" s="4">
        <f>'  תקציב מינהל תפעול 2025 '!O51</f>
        <v>0</v>
      </c>
      <c r="P50" s="4">
        <f>'  תקציב מינהל תפעול 2025 '!P51</f>
        <v>102</v>
      </c>
      <c r="Q50" s="311">
        <f>'  תקציב מינהל תפעול 2025 '!Q51</f>
        <v>0</v>
      </c>
      <c r="R50" s="4">
        <f>'  תקציב מינהל תפעול 2025 '!R51</f>
        <v>0</v>
      </c>
      <c r="S50" s="4">
        <f>'  תקציב מינהל תפעול 2025 '!S51</f>
        <v>0</v>
      </c>
      <c r="T50" s="4">
        <f>'  תקציב מינהל תפעול 2025 '!T51</f>
        <v>0</v>
      </c>
      <c r="U50" s="4">
        <f>'  תקציב מינהל תפעול 2025 '!U51</f>
        <v>0</v>
      </c>
      <c r="V50" s="4">
        <f>'  תקציב מינהל תפעול 2025 '!V51</f>
        <v>0</v>
      </c>
      <c r="W50" s="4">
        <f>'  תקציב מינהל תפעול 2025 '!W51</f>
        <v>0</v>
      </c>
      <c r="X50" s="4">
        <f>'  תקציב מינהל תפעול 2025 '!X51</f>
        <v>0</v>
      </c>
      <c r="Y50" s="4">
        <f>'  תקציב מינהל תפעול 2025 '!Y51</f>
        <v>0</v>
      </c>
      <c r="Z50" s="4">
        <f>'  תקציב מינהל תפעול 2025 '!Z51</f>
        <v>0</v>
      </c>
      <c r="AA50" s="3">
        <f>'  תקציב מינהל תפעול 2025 '!AA51</f>
        <v>0</v>
      </c>
      <c r="AB50" s="202" t="str">
        <f>'  תקציב מינהל תפעול 2025 '!AB51</f>
        <v xml:space="preserve">מימון מ. הפנים. ייסגר עם קבלת תקבול מ. הפנים. </v>
      </c>
      <c r="AC50" s="3">
        <f>'  תקציב מינהל תפעול 2025 '!AC51</f>
        <v>747000</v>
      </c>
    </row>
    <row r="51" spans="1:68" s="5" customFormat="1" ht="51" customHeight="1">
      <c r="A51" s="3">
        <f t="shared" si="5"/>
        <v>38</v>
      </c>
      <c r="B51" s="3">
        <f>'  תקציב מינהל תפעול 2025 '!B57</f>
        <v>2238</v>
      </c>
      <c r="C51" s="202" t="str">
        <f>'  תקציב מינהל תפעול 2025 '!C57</f>
        <v>הגנת מצוקי הים</v>
      </c>
      <c r="D51" s="4">
        <f>'  תקציב מינהל תפעול 2025 '!D57</f>
        <v>7300000</v>
      </c>
      <c r="E51" s="4">
        <f>'  תקציב מינהל תפעול 2025 '!E57</f>
        <v>7300000</v>
      </c>
      <c r="F51" s="4">
        <f>'  תקציב מינהל תפעול 2025 '!F57</f>
        <v>0</v>
      </c>
      <c r="G51" s="4">
        <f>'  תקציב מינהל תפעול 2025 '!G57</f>
        <v>7100000</v>
      </c>
      <c r="H51" s="4">
        <f>'  תקציב מינהל תפעול 2025 '!H57</f>
        <v>7084174</v>
      </c>
      <c r="I51" s="4">
        <f>'  תקציב מינהל תפעול 2025 '!I57</f>
        <v>0</v>
      </c>
      <c r="J51" s="4">
        <f>'  תקציב מינהל תפעול 2025 '!J57</f>
        <v>0</v>
      </c>
      <c r="K51" s="4">
        <f>'  תקציב מינהל תפעול 2025 '!K57</f>
        <v>0</v>
      </c>
      <c r="L51" s="4">
        <f>'  תקציב מינהל תפעול 2025 '!L57</f>
        <v>7084174</v>
      </c>
      <c r="M51" s="4">
        <f>'  תקציב מינהל תפעול 2025 '!M57</f>
        <v>215826</v>
      </c>
      <c r="N51" s="4">
        <f>'  תקציב מינהל תפעול 2025 '!N57</f>
        <v>0</v>
      </c>
      <c r="O51" s="4">
        <f>'  תקציב מינהל תפעול 2025 '!O57</f>
        <v>0</v>
      </c>
      <c r="P51" s="4">
        <f>'  תקציב מינהל תפעול 2025 '!P57</f>
        <v>15826</v>
      </c>
      <c r="Q51" s="4">
        <f>'  תקציב מינהל תפעול 2025 '!Q57</f>
        <v>200000</v>
      </c>
      <c r="R51" s="4">
        <f>'  תקציב מינהל תפעול 2025 '!R57</f>
        <v>0</v>
      </c>
      <c r="S51" s="4">
        <f>'  תקציב מינהל תפעול 2025 '!S57</f>
        <v>200000</v>
      </c>
      <c r="T51" s="4">
        <f>'  תקציב מינהל תפעול 2025 '!T57</f>
        <v>0</v>
      </c>
      <c r="U51" s="4">
        <f>'  תקציב מינהל תפעול 2025 '!U57</f>
        <v>0</v>
      </c>
      <c r="V51" s="4">
        <f>'  תקציב מינהל תפעול 2025 '!V57</f>
        <v>0</v>
      </c>
      <c r="W51" s="4">
        <f>'  תקציב מינהל תפעול 2025 '!W57</f>
        <v>0</v>
      </c>
      <c r="X51" s="4">
        <f>'  תקציב מינהל תפעול 2025 '!X57</f>
        <v>0</v>
      </c>
      <c r="Y51" s="4">
        <f>'  תקציב מינהל תפעול 2025 '!Y57</f>
        <v>0</v>
      </c>
      <c r="Z51" s="4">
        <f>'  תקציב מינהל תפעול 2025 '!Z57</f>
        <v>0</v>
      </c>
      <c r="AA51" s="3">
        <f>'  תקציב מינהל תפעול 2025 '!AA57</f>
        <v>0</v>
      </c>
      <c r="AB51" s="202" t="str">
        <f>'  תקציב מינהל תפעול 2025 '!AB57</f>
        <v>עבודות עפר,בטיחות וגידור לטיפול במצוקים בחופי הים.</v>
      </c>
      <c r="AC51" s="3">
        <f>'  תקציב מינהל תפעול 2025 '!AC57</f>
        <v>747000</v>
      </c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48"/>
      <c r="AQ51" s="148"/>
      <c r="AR51" s="148"/>
      <c r="AS51" s="148"/>
      <c r="AT51" s="531"/>
      <c r="AU51" s="531"/>
      <c r="AV51" s="531"/>
      <c r="AW51" s="531"/>
      <c r="AX51" s="531"/>
      <c r="AY51" s="531"/>
      <c r="AZ51" s="531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</row>
    <row r="52" spans="1:68" ht="30">
      <c r="A52" s="3">
        <f t="shared" si="5"/>
        <v>39</v>
      </c>
      <c r="B52" s="3">
        <f>'  תקציב מינהל תפעול 2025 '!B72</f>
        <v>20069</v>
      </c>
      <c r="C52" s="202" t="str">
        <f>'  תקציב מינהל תפעול 2025 '!C72</f>
        <v>ציוד הצלה ובטיחות 2022</v>
      </c>
      <c r="D52" s="4">
        <f>'  תקציב מינהל תפעול 2025 '!D72</f>
        <v>33000</v>
      </c>
      <c r="E52" s="4">
        <f>'  תקציב מינהל תפעול 2025 '!E72</f>
        <v>33000</v>
      </c>
      <c r="F52" s="4">
        <f>'  תקציב מינהל תפעול 2025 '!F72</f>
        <v>0</v>
      </c>
      <c r="G52" s="4">
        <f>'  תקציב מינהל תפעול 2025 '!G72</f>
        <v>33000</v>
      </c>
      <c r="H52" s="4">
        <f>'  תקציב מינהל תפעול 2025 '!H72</f>
        <v>29043</v>
      </c>
      <c r="I52" s="4">
        <f>'  תקציב מינהל תפעול 2025 '!I72</f>
        <v>0</v>
      </c>
      <c r="J52" s="4">
        <f>'  תקציב מינהל תפעול 2025 '!J72</f>
        <v>0</v>
      </c>
      <c r="K52" s="4">
        <f>'  תקציב מינהל תפעול 2025 '!K72</f>
        <v>0</v>
      </c>
      <c r="L52" s="4">
        <f>'  תקציב מינהל תפעול 2025 '!L72</f>
        <v>29043</v>
      </c>
      <c r="M52" s="4">
        <f>'  תקציב מינהל תפעול 2025 '!M72</f>
        <v>3957</v>
      </c>
      <c r="N52" s="4">
        <f>'  תקציב מינהל תפעול 2025 '!N72</f>
        <v>0</v>
      </c>
      <c r="O52" s="4">
        <f>'  תקציב מינהל תפעול 2025 '!O72</f>
        <v>0</v>
      </c>
      <c r="P52" s="4">
        <f>'  תקציב מינהל תפעול 2025 '!P72</f>
        <v>3957</v>
      </c>
      <c r="Q52" s="311">
        <f>'  תקציב מינהל תפעול 2025 '!Q72</f>
        <v>0</v>
      </c>
      <c r="R52" s="4">
        <f>'  תקציב מינהל תפעול 2025 '!R72</f>
        <v>0</v>
      </c>
      <c r="S52" s="4">
        <f>'  תקציב מינהל תפעול 2025 '!S72</f>
        <v>0</v>
      </c>
      <c r="T52" s="4">
        <f>'  תקציב מינהל תפעול 2025 '!T72</f>
        <v>0</v>
      </c>
      <c r="U52" s="4">
        <f>'  תקציב מינהל תפעול 2025 '!U72</f>
        <v>0</v>
      </c>
      <c r="V52" s="4">
        <f>'  תקציב מינהל תפעול 2025 '!V72</f>
        <v>0</v>
      </c>
      <c r="W52" s="4">
        <f>'  תקציב מינהל תפעול 2025 '!W72</f>
        <v>0</v>
      </c>
      <c r="X52" s="4">
        <f>'  תקציב מינהל תפעול 2025 '!X72</f>
        <v>0</v>
      </c>
      <c r="Y52" s="4">
        <f>'  תקציב מינהל תפעול 2025 '!Y72</f>
        <v>0</v>
      </c>
      <c r="Z52" s="4">
        <f>'  תקציב מינהל תפעול 2025 '!Z72</f>
        <v>0</v>
      </c>
      <c r="AA52" s="3">
        <f>'  תקציב מינהל תפעול 2025 '!AA72</f>
        <v>0</v>
      </c>
      <c r="AB52" s="202" t="str">
        <f>'  תקציב מינהל תפעול 2025 '!AB72</f>
        <v xml:space="preserve">מימון מ. הפנים.  ייסגר עם קבלת תקבול מ. הפנים. </v>
      </c>
      <c r="AC52" s="3">
        <f>'  תקציב מינהל תפעול 2025 '!AC72</f>
        <v>747000</v>
      </c>
    </row>
    <row r="53" spans="1:68" ht="53.25" customHeight="1">
      <c r="A53" s="3">
        <f t="shared" si="5"/>
        <v>40</v>
      </c>
      <c r="B53" s="3">
        <f>'  תקציב מינהל תפעול 2025 '!B74</f>
        <v>20071</v>
      </c>
      <c r="C53" s="202" t="str">
        <f>'  תקציב מינהל תפעול 2025 '!C74</f>
        <v>רכישת אופנועי ים</v>
      </c>
      <c r="D53" s="4">
        <f>'  תקציב מינהל תפעול 2025 '!D74</f>
        <v>600000</v>
      </c>
      <c r="E53" s="4">
        <f>'  תקציב מינהל תפעול 2025 '!E74</f>
        <v>600000</v>
      </c>
      <c r="F53" s="4">
        <f>'  תקציב מינהל תפעול 2025 '!F74</f>
        <v>0</v>
      </c>
      <c r="G53" s="4">
        <f>'  תקציב מינהל תפעול 2025 '!G74</f>
        <v>0</v>
      </c>
      <c r="H53" s="4">
        <f>'  תקציב מינהל תפעול 2025 '!H74</f>
        <v>0</v>
      </c>
      <c r="I53" s="4">
        <f>'  תקציב מינהל תפעול 2025 '!I74</f>
        <v>0</v>
      </c>
      <c r="J53" s="4">
        <f>'  תקציב מינהל תפעול 2025 '!J74</f>
        <v>0</v>
      </c>
      <c r="K53" s="4">
        <f>'  תקציב מינהל תפעול 2025 '!K74</f>
        <v>0</v>
      </c>
      <c r="L53" s="4">
        <f>'  תקציב מינהל תפעול 2025 '!L74</f>
        <v>0</v>
      </c>
      <c r="M53" s="4">
        <f>'  תקציב מינהל תפעול 2025 '!M74</f>
        <v>0</v>
      </c>
      <c r="N53" s="4">
        <f>'  תקציב מינהל תפעול 2025 '!N74</f>
        <v>300000</v>
      </c>
      <c r="O53" s="4">
        <f>'  תקציב מינהל תפעול 2025 '!O74</f>
        <v>300000</v>
      </c>
      <c r="P53" s="4">
        <f>'  תקציב מינהל תפעול 2025 '!P74</f>
        <v>0</v>
      </c>
      <c r="Q53" s="311">
        <f>'  תקציב מינהל תפעול 2025 '!Q74</f>
        <v>0</v>
      </c>
      <c r="R53" s="4">
        <f>'  תקציב מינהל תפעול 2025 '!R74</f>
        <v>0</v>
      </c>
      <c r="S53" s="4">
        <f>'  תקציב מינהל תפעול 2025 '!S74</f>
        <v>0</v>
      </c>
      <c r="T53" s="4">
        <f>'  תקציב מינהל תפעול 2025 '!T74</f>
        <v>0</v>
      </c>
      <c r="U53" s="4">
        <f>'  תקציב מינהל תפעול 2025 '!U74</f>
        <v>300000</v>
      </c>
      <c r="V53" s="4">
        <f>'  תקציב מינהל תפעול 2025 '!V74</f>
        <v>0</v>
      </c>
      <c r="W53" s="4">
        <f>'  תקציב מינהל תפעול 2025 '!W74</f>
        <v>300000</v>
      </c>
      <c r="X53" s="4">
        <f>'  תקציב מינהל תפעול 2025 '!X74</f>
        <v>0</v>
      </c>
      <c r="Y53" s="4">
        <f>'  תקציב מינהל תפעול 2025 '!Y74</f>
        <v>0</v>
      </c>
      <c r="Z53" s="4">
        <f>'  תקציב מינהל תפעול 2025 '!Z74</f>
        <v>0</v>
      </c>
      <c r="AA53" s="3">
        <f>'  תקציב מינהל תפעול 2025 '!AA74</f>
        <v>0</v>
      </c>
      <c r="AB53" s="202" t="str">
        <f>'  תקציב מינהל תפעול 2025 '!AB74</f>
        <v>רכישת אופנועי ים.</v>
      </c>
      <c r="AC53" s="3">
        <f>'  תקציב מינהל תפעול 2025 '!AC74</f>
        <v>747000</v>
      </c>
    </row>
    <row r="54" spans="1:68">
      <c r="A54" s="3">
        <f t="shared" si="5"/>
        <v>41</v>
      </c>
      <c r="B54" s="3">
        <f>'  תקציב מינהל תפעול 2025 '!B87</f>
        <v>20118</v>
      </c>
      <c r="C54" s="222" t="str">
        <f>'  תקציב מינהל תפעול 2025 '!C87</f>
        <v xml:space="preserve">שילוט חופי רחצה </v>
      </c>
      <c r="D54" s="112">
        <f>'  תקציב מינהל תפעול 2025 '!D87</f>
        <v>50000</v>
      </c>
      <c r="E54" s="112">
        <f>'  תקציב מינהל תפעול 2025 '!E87</f>
        <v>50000</v>
      </c>
      <c r="F54" s="112">
        <f>'  תקציב מינהל תפעול 2025 '!F87</f>
        <v>0</v>
      </c>
      <c r="G54" s="112">
        <f>'  תקציב מינהל תפעול 2025 '!G87</f>
        <v>50000</v>
      </c>
      <c r="H54" s="112">
        <f>'  תקציב מינהל תפעול 2025 '!H87</f>
        <v>0</v>
      </c>
      <c r="I54" s="112">
        <f>'  תקציב מינהל תפעול 2025 '!I87</f>
        <v>0</v>
      </c>
      <c r="J54" s="112">
        <f>'  תקציב מינהל תפעול 2025 '!J87</f>
        <v>22141.27</v>
      </c>
      <c r="K54" s="112">
        <f>'  תקציב מינהל תפעול 2025 '!K87</f>
        <v>22141.27</v>
      </c>
      <c r="L54" s="112">
        <f>'  תקציב מינהל תפעול 2025 '!L87</f>
        <v>22141.27</v>
      </c>
      <c r="M54" s="4">
        <f>'  תקציב מינהל תפעול 2025 '!M87</f>
        <v>27858.73</v>
      </c>
      <c r="N54" s="112">
        <f>'  תקציב מינהל תפעול 2025 '!N87</f>
        <v>0</v>
      </c>
      <c r="O54" s="112">
        <f>'  תקציב מינהל תפעול 2025 '!O87</f>
        <v>0</v>
      </c>
      <c r="P54" s="112">
        <f>'  תקציב מינהל תפעול 2025 '!P87</f>
        <v>27858.73</v>
      </c>
      <c r="Q54" s="112">
        <f>'  תקציב מינהל תפעול 2025 '!Q87</f>
        <v>0</v>
      </c>
      <c r="R54" s="112">
        <f>'  תקציב מינהל תפעול 2025 '!R87</f>
        <v>0</v>
      </c>
      <c r="S54" s="112">
        <f>'  תקציב מינהל תפעול 2025 '!S87</f>
        <v>0</v>
      </c>
      <c r="T54" s="112">
        <f>'  תקציב מינהל תפעול 2025 '!T87</f>
        <v>0</v>
      </c>
      <c r="U54" s="4">
        <f>'  תקציב מינהל תפעול 2025 '!U87</f>
        <v>0</v>
      </c>
      <c r="V54" s="4">
        <f>'  תקציב מינהל תפעול 2025 '!V87</f>
        <v>0</v>
      </c>
      <c r="W54" s="4">
        <f>'  תקציב מינהל תפעול 2025 '!W87</f>
        <v>0</v>
      </c>
      <c r="X54" s="4">
        <f>'  תקציב מינהל תפעול 2025 '!X87</f>
        <v>0</v>
      </c>
      <c r="Y54" s="4">
        <f>'  תקציב מינהל תפעול 2025 '!Y87</f>
        <v>0</v>
      </c>
      <c r="Z54" s="4">
        <f>'  תקציב מינהל תפעול 2025 '!Z87</f>
        <v>0</v>
      </c>
      <c r="AA54" s="3">
        <f>'  תקציב מינהל תפעול 2025 '!AA87</f>
        <v>0</v>
      </c>
      <c r="AB54" s="202" t="str">
        <f>'  תקציב מינהל תפעול 2025 '!AB87</f>
        <v>מימון מ. הפנים.</v>
      </c>
      <c r="AC54" s="3">
        <f>'  תקציב מינהל תפעול 2025 '!AC87</f>
        <v>747000</v>
      </c>
      <c r="BB54" s="123"/>
      <c r="BC54" s="123"/>
      <c r="BD54" s="123"/>
      <c r="BE54" s="123"/>
      <c r="BF54" s="123"/>
      <c r="BG54" s="123"/>
      <c r="BH54" s="256"/>
      <c r="BI54" s="256"/>
      <c r="BJ54" s="256"/>
      <c r="BK54" s="256"/>
      <c r="BL54" s="256"/>
      <c r="BM54" s="256"/>
      <c r="BN54" s="256"/>
      <c r="BO54" s="256"/>
      <c r="BP54" s="256"/>
    </row>
    <row r="55" spans="1:68" ht="45" customHeight="1">
      <c r="A55" s="3">
        <f t="shared" si="5"/>
        <v>42</v>
      </c>
      <c r="B55" s="3">
        <f>'  תקציב מינהל תפעול 2025 '!B88</f>
        <v>20119</v>
      </c>
      <c r="C55" s="222" t="str">
        <f>'  תקציב מינהל תפעול 2025 '!C88</f>
        <v>טרקטרון 2 פיקוח והצלה</v>
      </c>
      <c r="D55" s="112">
        <f>'  תקציב מינהל תפעול 2025 '!D88</f>
        <v>152000</v>
      </c>
      <c r="E55" s="112">
        <f>'  תקציב מינהל תפעול 2025 '!E88</f>
        <v>152000</v>
      </c>
      <c r="F55" s="112">
        <f>'  תקציב מינהל תפעול 2025 '!F88</f>
        <v>0</v>
      </c>
      <c r="G55" s="112">
        <f>'  תקציב מינהל תפעול 2025 '!G88</f>
        <v>152000</v>
      </c>
      <c r="H55" s="112">
        <f>'  תקציב מינהל תפעול 2025 '!H88</f>
        <v>0</v>
      </c>
      <c r="I55" s="112">
        <f>'  תקציב מינהל תפעול 2025 '!I88</f>
        <v>0</v>
      </c>
      <c r="J55" s="112">
        <f>'  תקציב מינהל תפעול 2025 '!J88</f>
        <v>0</v>
      </c>
      <c r="K55" s="112">
        <f>'  תקציב מינהל תפעול 2025 '!K88</f>
        <v>0</v>
      </c>
      <c r="L55" s="112">
        <f>'  תקציב מינהל תפעול 2025 '!L88</f>
        <v>0</v>
      </c>
      <c r="M55" s="4">
        <f>'  תקציב מינהל תפעול 2025 '!M88</f>
        <v>152000</v>
      </c>
      <c r="N55" s="112">
        <f>'  תקציב מינהל תפעול 2025 '!N88</f>
        <v>0</v>
      </c>
      <c r="O55" s="112">
        <f>'  תקציב מינהל תפעול 2025 '!O88</f>
        <v>0</v>
      </c>
      <c r="P55" s="112">
        <f>'  תקציב מינהל תפעול 2025 '!P88</f>
        <v>152000</v>
      </c>
      <c r="Q55" s="112">
        <f>'  תקציב מינהל תפעול 2025 '!Q88</f>
        <v>0</v>
      </c>
      <c r="R55" s="112">
        <f>'  תקציב מינהל תפעול 2025 '!R88</f>
        <v>0</v>
      </c>
      <c r="S55" s="112">
        <f>'  תקציב מינהל תפעול 2025 '!S88</f>
        <v>0</v>
      </c>
      <c r="T55" s="112">
        <f>'  תקציב מינהל תפעול 2025 '!T88</f>
        <v>0</v>
      </c>
      <c r="U55" s="4">
        <f>'  תקציב מינהל תפעול 2025 '!U88</f>
        <v>0</v>
      </c>
      <c r="V55" s="4">
        <f>'  תקציב מינהל תפעול 2025 '!V88</f>
        <v>0</v>
      </c>
      <c r="W55" s="4">
        <f>'  תקציב מינהל תפעול 2025 '!W88</f>
        <v>0</v>
      </c>
      <c r="X55" s="4">
        <f>'  תקציב מינהל תפעול 2025 '!X88</f>
        <v>0</v>
      </c>
      <c r="Y55" s="4">
        <f>'  תקציב מינהל תפעול 2025 '!Y88</f>
        <v>0</v>
      </c>
      <c r="Z55" s="4">
        <f>'  תקציב מינהל תפעול 2025 '!Z88</f>
        <v>0</v>
      </c>
      <c r="AA55" s="3">
        <f>'  תקציב מינהל תפעול 2025 '!AA88</f>
        <v>0</v>
      </c>
      <c r="AB55" s="202" t="str">
        <f>'  תקציב מינהל תפעול 2025 '!AB88</f>
        <v>מימון מ. הפנים.</v>
      </c>
      <c r="AC55" s="3">
        <f>'  תקציב מינהל תפעול 2025 '!AC88</f>
        <v>747000</v>
      </c>
      <c r="BB55" s="123"/>
      <c r="BC55" s="123"/>
      <c r="BD55" s="123"/>
      <c r="BE55" s="123"/>
      <c r="BF55" s="123"/>
      <c r="BG55" s="123"/>
      <c r="BH55" s="256"/>
      <c r="BI55" s="256"/>
      <c r="BJ55" s="256"/>
      <c r="BK55" s="256"/>
      <c r="BL55" s="256"/>
      <c r="BM55" s="256"/>
      <c r="BN55" s="256"/>
      <c r="BO55" s="256"/>
      <c r="BP55" s="256"/>
    </row>
    <row r="56" spans="1:68">
      <c r="A56" s="3">
        <f t="shared" si="5"/>
        <v>43</v>
      </c>
      <c r="B56" s="3">
        <f>'  תקציב מינהל תפעול 2025 '!B89</f>
        <v>20120</v>
      </c>
      <c r="C56" s="222" t="str">
        <f>'  תקציב מינהל תפעול 2025 '!C89</f>
        <v>ציוד הצלה ובטיחות</v>
      </c>
      <c r="D56" s="112">
        <f>'  תקציב מינהל תפעול 2025 '!D89</f>
        <v>263395</v>
      </c>
      <c r="E56" s="112">
        <f>'  תקציב מינהל תפעול 2025 '!E89</f>
        <v>263395</v>
      </c>
      <c r="F56" s="112">
        <f>'  תקציב מינהל תפעול 2025 '!F89</f>
        <v>0</v>
      </c>
      <c r="G56" s="112">
        <f>'  תקציב מינהל תפעול 2025 '!G89</f>
        <v>263395</v>
      </c>
      <c r="H56" s="112">
        <f>'  תקציב מינהל תפעול 2025 '!H89</f>
        <v>0</v>
      </c>
      <c r="I56" s="112">
        <f>'  תקציב מינהל תפעול 2025 '!I89</f>
        <v>0</v>
      </c>
      <c r="J56" s="112">
        <f>'  תקציב מינהל תפעול 2025 '!J89</f>
        <v>0</v>
      </c>
      <c r="K56" s="112">
        <f>'  תקציב מינהל תפעול 2025 '!K89</f>
        <v>0</v>
      </c>
      <c r="L56" s="112">
        <f>'  תקציב מינהל תפעול 2025 '!L89</f>
        <v>0</v>
      </c>
      <c r="M56" s="4">
        <f>'  תקציב מינהל תפעול 2025 '!M89</f>
        <v>263395</v>
      </c>
      <c r="N56" s="112">
        <f>'  תקציב מינהל תפעול 2025 '!N89</f>
        <v>0</v>
      </c>
      <c r="O56" s="112">
        <f>'  תקציב מינהל תפעול 2025 '!O89</f>
        <v>0</v>
      </c>
      <c r="P56" s="112">
        <f>'  תקציב מינהל תפעול 2025 '!P89</f>
        <v>263395</v>
      </c>
      <c r="Q56" s="112">
        <f>'  תקציב מינהל תפעול 2025 '!Q89</f>
        <v>0</v>
      </c>
      <c r="R56" s="112">
        <f>'  תקציב מינהל תפעול 2025 '!R89</f>
        <v>0</v>
      </c>
      <c r="S56" s="112">
        <f>'  תקציב מינהל תפעול 2025 '!S89</f>
        <v>0</v>
      </c>
      <c r="T56" s="112">
        <f>'  תקציב מינהל תפעול 2025 '!T89</f>
        <v>0</v>
      </c>
      <c r="U56" s="4">
        <f>'  תקציב מינהל תפעול 2025 '!U89</f>
        <v>0</v>
      </c>
      <c r="V56" s="4">
        <f>'  תקציב מינהל תפעול 2025 '!V89</f>
        <v>0</v>
      </c>
      <c r="W56" s="4">
        <f>'  תקציב מינהל תפעול 2025 '!W89</f>
        <v>0</v>
      </c>
      <c r="X56" s="4">
        <f>'  תקציב מינהל תפעול 2025 '!X89</f>
        <v>0</v>
      </c>
      <c r="Y56" s="4">
        <f>'  תקציב מינהל תפעול 2025 '!Y89</f>
        <v>0</v>
      </c>
      <c r="Z56" s="4">
        <f>'  תקציב מינהל תפעול 2025 '!Z89</f>
        <v>0</v>
      </c>
      <c r="AA56" s="3">
        <f>'  תקציב מינהל תפעול 2025 '!AA89</f>
        <v>0</v>
      </c>
      <c r="AB56" s="202" t="str">
        <f>'  תקציב מינהל תפעול 2025 '!AB89</f>
        <v>מימון מ. הפנים.</v>
      </c>
      <c r="AC56" s="3">
        <f>'  תקציב מינהל תפעול 2025 '!AC89</f>
        <v>747000</v>
      </c>
      <c r="BB56" s="123"/>
      <c r="BC56" s="123"/>
      <c r="BD56" s="123"/>
      <c r="BE56" s="123"/>
      <c r="BF56" s="123"/>
      <c r="BG56" s="123"/>
      <c r="BH56" s="256"/>
      <c r="BI56" s="256"/>
      <c r="BJ56" s="256"/>
      <c r="BK56" s="256"/>
      <c r="BL56" s="256"/>
      <c r="BM56" s="256"/>
      <c r="BN56" s="256"/>
      <c r="BO56" s="256"/>
      <c r="BP56" s="256"/>
    </row>
    <row r="57" spans="1:68" ht="30">
      <c r="A57" s="3">
        <f t="shared" si="5"/>
        <v>44</v>
      </c>
      <c r="B57" s="19">
        <f>'  תקציב מינהל תפעול 2025 '!B99</f>
        <v>20164</v>
      </c>
      <c r="C57" s="222" t="str">
        <f>'  תקציב מינהל תפעול 2025 '!C99</f>
        <v>רכישת ציוד והצלה חופי ים</v>
      </c>
      <c r="D57" s="112">
        <f>'  תקציב מינהל תפעול 2025 '!D99</f>
        <v>147362</v>
      </c>
      <c r="E57" s="112">
        <f>'  תקציב מינהל תפעול 2025 '!E99</f>
        <v>0</v>
      </c>
      <c r="F57" s="112">
        <f>'  תקציב מינהל תפעול 2025 '!F99</f>
        <v>147362</v>
      </c>
      <c r="G57" s="112">
        <f>'  תקציב מינהל תפעול 2025 '!G99</f>
        <v>0</v>
      </c>
      <c r="H57" s="112">
        <f>'  תקציב מינהל תפעול 2025 '!H99</f>
        <v>0</v>
      </c>
      <c r="I57" s="112">
        <f>'  תקציב מינהל תפעול 2025 '!I99</f>
        <v>0</v>
      </c>
      <c r="J57" s="112">
        <f>'  תקציב מינהל תפעול 2025 '!J99</f>
        <v>0</v>
      </c>
      <c r="K57" s="112">
        <f>'  תקציב מינהל תפעול 2025 '!K99</f>
        <v>0</v>
      </c>
      <c r="L57" s="112">
        <f>'  תקציב מינהל תפעול 2025 '!L99</f>
        <v>0</v>
      </c>
      <c r="M57" s="112">
        <f>'  תקציב מינהל תפעול 2025 '!M99</f>
        <v>0</v>
      </c>
      <c r="N57" s="112">
        <f>'  תקציב מינהל תפעול 2025 '!N99</f>
        <v>147362</v>
      </c>
      <c r="O57" s="112">
        <f>'  תקציב מינהל תפעול 2025 '!O99</f>
        <v>0</v>
      </c>
      <c r="P57" s="112">
        <f>'  תקציב מינהל תפעול 2025 '!P99</f>
        <v>0</v>
      </c>
      <c r="Q57" s="112">
        <f>'  תקציב מינהל תפעול 2025 '!Q99</f>
        <v>0</v>
      </c>
      <c r="R57" s="112">
        <f>'  תקציב מינהל תפעול 2025 '!R99</f>
        <v>0</v>
      </c>
      <c r="S57" s="112">
        <f>'  תקציב מינהל תפעול 2025 '!S99</f>
        <v>0</v>
      </c>
      <c r="T57" s="112">
        <f>'  תקציב מינהל תפעול 2025 '!T99</f>
        <v>0</v>
      </c>
      <c r="U57" s="112">
        <f>'  תקציב מינהל תפעול 2025 '!U99</f>
        <v>147362</v>
      </c>
      <c r="V57" s="112">
        <f>'  תקציב מינהל תפעול 2025 '!V99</f>
        <v>0</v>
      </c>
      <c r="W57" s="4">
        <f>'  תקציב מינהל תפעול 2025 '!W99</f>
        <v>0</v>
      </c>
      <c r="X57" s="112">
        <f>'  תקציב מינהל תפעול 2025 '!X99</f>
        <v>0</v>
      </c>
      <c r="Y57" s="112">
        <f>'  תקציב מינהל תפעול 2025 '!Y99</f>
        <v>0</v>
      </c>
      <c r="Z57" s="112">
        <f>'  תקציב מינהל תפעול 2025 '!Z99</f>
        <v>0</v>
      </c>
      <c r="AA57" s="112">
        <f>'  תקציב מינהל תפעול 2025 '!AA99</f>
        <v>147362</v>
      </c>
      <c r="AB57" s="202" t="str">
        <f>'  תקציב מינהל תפעול 2025 '!AB99</f>
        <v>אופנוע ים, כולל ציוד. מימון מ. הפנים.</v>
      </c>
      <c r="AC57" s="3">
        <f>'  תקציב מינהל תפעול 2025 '!AC99</f>
        <v>747000</v>
      </c>
      <c r="AU57" s="123"/>
      <c r="AV57" s="123"/>
      <c r="AW57" s="123"/>
      <c r="AX57" s="123"/>
      <c r="AY57" s="123"/>
      <c r="AZ57" s="123"/>
      <c r="BA57" s="123"/>
      <c r="BB57" s="123"/>
      <c r="BC57" s="256"/>
      <c r="BD57" s="256"/>
      <c r="BE57" s="256"/>
      <c r="BF57" s="256"/>
      <c r="BG57" s="256"/>
      <c r="BH57" s="256"/>
      <c r="BI57" s="256"/>
      <c r="BJ57" s="256"/>
      <c r="BK57" s="256"/>
      <c r="BL57" s="5"/>
      <c r="BM57" s="5"/>
      <c r="BN57" s="5"/>
      <c r="BO57" s="5"/>
      <c r="BP57" s="5"/>
    </row>
    <row r="58" spans="1:68" s="596" customFormat="1">
      <c r="A58" s="7"/>
      <c r="B58" s="7"/>
      <c r="C58" s="122" t="s">
        <v>1334</v>
      </c>
      <c r="D58" s="130">
        <f>SUM(D47:D57)</f>
        <v>36566061</v>
      </c>
      <c r="E58" s="130">
        <f t="shared" ref="E58:AA58" si="6">SUM(E47:E57)</f>
        <v>30418699</v>
      </c>
      <c r="F58" s="130">
        <f t="shared" si="6"/>
        <v>6147362</v>
      </c>
      <c r="G58" s="130">
        <f t="shared" si="6"/>
        <v>29474563</v>
      </c>
      <c r="H58" s="130">
        <f t="shared" si="6"/>
        <v>25942162.210000001</v>
      </c>
      <c r="I58" s="130">
        <f t="shared" si="6"/>
        <v>56624</v>
      </c>
      <c r="J58" s="130">
        <f t="shared" si="6"/>
        <v>2422997.84</v>
      </c>
      <c r="K58" s="130">
        <f t="shared" si="6"/>
        <v>2479621.84</v>
      </c>
      <c r="L58" s="130">
        <f t="shared" si="6"/>
        <v>28421784.050000001</v>
      </c>
      <c r="M58" s="130">
        <f t="shared" si="6"/>
        <v>1252778.9499999988</v>
      </c>
      <c r="N58" s="130">
        <f t="shared" si="6"/>
        <v>1947362</v>
      </c>
      <c r="O58" s="130">
        <f t="shared" si="6"/>
        <v>4944136</v>
      </c>
      <c r="P58" s="130">
        <f t="shared" si="6"/>
        <v>1052778.9499999988</v>
      </c>
      <c r="Q58" s="130">
        <f t="shared" si="6"/>
        <v>200000</v>
      </c>
      <c r="R58" s="130">
        <f t="shared" si="6"/>
        <v>0</v>
      </c>
      <c r="S58" s="130">
        <f t="shared" si="6"/>
        <v>200000</v>
      </c>
      <c r="T58" s="130">
        <f t="shared" si="6"/>
        <v>0</v>
      </c>
      <c r="U58" s="130">
        <f t="shared" si="6"/>
        <v>1947362</v>
      </c>
      <c r="V58" s="130">
        <f t="shared" si="6"/>
        <v>0</v>
      </c>
      <c r="W58" s="130">
        <f t="shared" si="6"/>
        <v>1800000</v>
      </c>
      <c r="X58" s="130">
        <f t="shared" si="6"/>
        <v>0</v>
      </c>
      <c r="Y58" s="130">
        <f t="shared" si="6"/>
        <v>0</v>
      </c>
      <c r="Z58" s="130">
        <f t="shared" si="6"/>
        <v>0</v>
      </c>
      <c r="AA58" s="130">
        <f t="shared" si="6"/>
        <v>147362</v>
      </c>
      <c r="AB58" s="13"/>
      <c r="AC58" s="7"/>
      <c r="AD58" s="678"/>
      <c r="AE58" s="678"/>
      <c r="AF58" s="678"/>
      <c r="AG58" s="678"/>
      <c r="AH58" s="678"/>
      <c r="AI58" s="678"/>
      <c r="AJ58" s="678"/>
      <c r="AK58" s="678"/>
      <c r="AL58" s="678"/>
      <c r="AM58" s="678"/>
      <c r="AN58" s="678"/>
      <c r="AO58" s="678"/>
      <c r="AT58" s="523"/>
      <c r="AU58" s="212"/>
      <c r="AV58" s="212"/>
      <c r="AW58" s="212"/>
      <c r="AX58" s="212"/>
      <c r="AY58" s="212"/>
      <c r="AZ58" s="212"/>
      <c r="BA58" s="212"/>
      <c r="BB58" s="212"/>
      <c r="BC58" s="314"/>
      <c r="BD58" s="314"/>
      <c r="BE58" s="314"/>
      <c r="BF58" s="314"/>
      <c r="BG58" s="314"/>
      <c r="BH58" s="314"/>
      <c r="BI58" s="314"/>
      <c r="BJ58" s="314"/>
      <c r="BK58" s="314"/>
      <c r="BL58" s="6"/>
      <c r="BM58" s="6"/>
      <c r="BN58" s="6"/>
      <c r="BO58" s="6"/>
      <c r="BP58" s="6"/>
    </row>
    <row r="59" spans="1:68" s="596" customFormat="1">
      <c r="A59" s="7"/>
      <c r="B59" s="7"/>
      <c r="C59" s="129">
        <v>764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8"/>
      <c r="X59" s="130"/>
      <c r="Y59" s="130"/>
      <c r="Z59" s="130"/>
      <c r="AA59" s="130"/>
      <c r="AB59" s="13"/>
      <c r="AC59" s="7"/>
      <c r="AD59" s="678"/>
      <c r="AE59" s="678"/>
      <c r="AF59" s="678"/>
      <c r="AG59" s="678"/>
      <c r="AH59" s="678"/>
      <c r="AI59" s="678"/>
      <c r="AJ59" s="678"/>
      <c r="AK59" s="678"/>
      <c r="AL59" s="678"/>
      <c r="AM59" s="678"/>
      <c r="AN59" s="678"/>
      <c r="AO59" s="678"/>
      <c r="AT59" s="523"/>
      <c r="AU59" s="212"/>
      <c r="AV59" s="212"/>
      <c r="AW59" s="212"/>
      <c r="AX59" s="212"/>
      <c r="AY59" s="212"/>
      <c r="AZ59" s="212"/>
      <c r="BA59" s="212"/>
      <c r="BB59" s="212"/>
      <c r="BC59" s="314"/>
      <c r="BD59" s="314"/>
      <c r="BE59" s="314"/>
      <c r="BF59" s="314"/>
      <c r="BG59" s="314"/>
      <c r="BH59" s="314"/>
      <c r="BI59" s="314"/>
      <c r="BJ59" s="314"/>
      <c r="BK59" s="314"/>
      <c r="BL59" s="6"/>
      <c r="BM59" s="6"/>
      <c r="BN59" s="6"/>
      <c r="BO59" s="6"/>
      <c r="BP59" s="6"/>
    </row>
    <row r="60" spans="1:68" ht="48.75" customHeight="1">
      <c r="A60" s="3">
        <v>1</v>
      </c>
      <c r="B60" s="3">
        <f>'  תקציב מינהל תפעול 2025 '!B5</f>
        <v>1210</v>
      </c>
      <c r="C60" s="202" t="str">
        <f>'  תקציב מינהל תפעול 2025 '!C5</f>
        <v>חזיתות בתים שיפוץ</v>
      </c>
      <c r="D60" s="4">
        <f>'  תקציב מינהל תפעול 2025 '!D5</f>
        <v>140000000</v>
      </c>
      <c r="E60" s="4">
        <f>'  תקציב מינהל תפעול 2025 '!E5</f>
        <v>130550000</v>
      </c>
      <c r="F60" s="4">
        <f>'  תקציב מינהל תפעול 2025 '!F5</f>
        <v>9450000</v>
      </c>
      <c r="G60" s="4">
        <f>'  תקציב מינהל תפעול 2025 '!G5</f>
        <v>119200000</v>
      </c>
      <c r="H60" s="4">
        <f>'  תקציב מינהל תפעול 2025 '!H5</f>
        <v>112423048</v>
      </c>
      <c r="I60" s="4">
        <f>'  תקציב מינהל תפעול 2025 '!I5</f>
        <v>0</v>
      </c>
      <c r="J60" s="4">
        <f>'  תקציב מינהל תפעול 2025 '!J5</f>
        <v>178000</v>
      </c>
      <c r="K60" s="4">
        <f>'  תקציב מינהל תפעול 2025 '!K5</f>
        <v>178000</v>
      </c>
      <c r="L60" s="4">
        <f>'  תקציב מינהל תפעול 2025 '!L5</f>
        <v>112601048</v>
      </c>
      <c r="M60" s="4">
        <f>'  תקציב מינהל תפעול 2025 '!M5</f>
        <v>6598952</v>
      </c>
      <c r="N60" s="4">
        <f>'  תקציב מינהל תפעול 2025 '!N5</f>
        <v>15000000</v>
      </c>
      <c r="O60" s="4">
        <f>'  תקציב מינהל תפעול 2025 '!O5</f>
        <v>5800000</v>
      </c>
      <c r="P60" s="4">
        <f>'  תקציב מינהל תפעול 2025 '!P5</f>
        <v>6598952</v>
      </c>
      <c r="Q60" s="311">
        <f>'  תקציב מינהל תפעול 2025 '!Q5</f>
        <v>0</v>
      </c>
      <c r="R60" s="4">
        <f>'  תקציב מינהל תפעול 2025 '!R5</f>
        <v>0</v>
      </c>
      <c r="S60" s="4">
        <f>'  תקציב מינהל תפעול 2025 '!S5</f>
        <v>0</v>
      </c>
      <c r="T60" s="4">
        <f>'  תקציב מינהל תפעול 2025 '!T5</f>
        <v>0</v>
      </c>
      <c r="U60" s="4">
        <f>'  תקציב מינהל תפעול 2025 '!U5</f>
        <v>15000000</v>
      </c>
      <c r="V60" s="4">
        <f>'  תקציב מינהל תפעול 2025 '!V5</f>
        <v>0</v>
      </c>
      <c r="W60" s="4">
        <f>'  תקציב מינהל תפעול 2025 '!W5</f>
        <v>0</v>
      </c>
      <c r="X60" s="4">
        <f>'  תקציב מינהל תפעול 2025 '!X5</f>
        <v>0</v>
      </c>
      <c r="Y60" s="4">
        <f>'  תקציב מינהל תפעול 2025 '!Y5</f>
        <v>0</v>
      </c>
      <c r="Z60" s="4">
        <f>'  תקציב מינהל תפעול 2025 '!Z5</f>
        <v>0</v>
      </c>
      <c r="AA60" s="4">
        <f>'  תקציב מינהל תפעול 2025 '!AA5</f>
        <v>15000000</v>
      </c>
      <c r="AB60" s="202" t="str">
        <f>'  תקציב מינהל תפעול 2025 '!AB5</f>
        <v>שיפוץ חזיתות בתים כולל: פיתוח חצרות, חדרי מדרגות, מעלית (רכוש משותף). בשיתוף האגודה לתרבות הדיור.</v>
      </c>
      <c r="AC60" s="3">
        <f>'  תקציב מינהל תפעול 2025 '!AC5</f>
        <v>764000</v>
      </c>
    </row>
    <row r="61" spans="1:68" s="596" customFormat="1" ht="20.100000000000001" customHeight="1">
      <c r="A61" s="7"/>
      <c r="B61" s="7"/>
      <c r="C61" s="13" t="s">
        <v>1344</v>
      </c>
      <c r="D61" s="8">
        <f>SUM(D60)</f>
        <v>140000000</v>
      </c>
      <c r="E61" s="8">
        <f t="shared" ref="E61:AA61" si="7">SUM(E60)</f>
        <v>130550000</v>
      </c>
      <c r="F61" s="8">
        <f t="shared" si="7"/>
        <v>9450000</v>
      </c>
      <c r="G61" s="8">
        <f t="shared" si="7"/>
        <v>119200000</v>
      </c>
      <c r="H61" s="8">
        <f t="shared" si="7"/>
        <v>112423048</v>
      </c>
      <c r="I61" s="8">
        <f t="shared" si="7"/>
        <v>0</v>
      </c>
      <c r="J61" s="8">
        <f t="shared" si="7"/>
        <v>178000</v>
      </c>
      <c r="K61" s="8">
        <f t="shared" si="7"/>
        <v>178000</v>
      </c>
      <c r="L61" s="8">
        <f t="shared" si="7"/>
        <v>112601048</v>
      </c>
      <c r="M61" s="8">
        <f t="shared" si="7"/>
        <v>6598952</v>
      </c>
      <c r="N61" s="8">
        <f t="shared" si="7"/>
        <v>15000000</v>
      </c>
      <c r="O61" s="8">
        <f t="shared" si="7"/>
        <v>5800000</v>
      </c>
      <c r="P61" s="8">
        <f t="shared" si="7"/>
        <v>6598952</v>
      </c>
      <c r="Q61" s="8">
        <f t="shared" si="7"/>
        <v>0</v>
      </c>
      <c r="R61" s="8">
        <f t="shared" si="7"/>
        <v>0</v>
      </c>
      <c r="S61" s="8">
        <f t="shared" si="7"/>
        <v>0</v>
      </c>
      <c r="T61" s="8">
        <f t="shared" si="7"/>
        <v>0</v>
      </c>
      <c r="U61" s="8">
        <f t="shared" si="7"/>
        <v>15000000</v>
      </c>
      <c r="V61" s="8">
        <f t="shared" si="7"/>
        <v>0</v>
      </c>
      <c r="W61" s="8">
        <f t="shared" si="7"/>
        <v>0</v>
      </c>
      <c r="X61" s="8">
        <f t="shared" si="7"/>
        <v>0</v>
      </c>
      <c r="Y61" s="8">
        <f t="shared" si="7"/>
        <v>0</v>
      </c>
      <c r="Z61" s="8">
        <f t="shared" si="7"/>
        <v>0</v>
      </c>
      <c r="AA61" s="8">
        <f t="shared" si="7"/>
        <v>15000000</v>
      </c>
      <c r="AB61" s="13"/>
      <c r="AC61" s="7"/>
      <c r="AD61" s="678"/>
      <c r="AE61" s="678"/>
      <c r="AF61" s="678"/>
      <c r="AG61" s="678"/>
      <c r="AH61" s="678"/>
      <c r="AI61" s="678"/>
      <c r="AJ61" s="678"/>
      <c r="AK61" s="678"/>
      <c r="AL61" s="678"/>
      <c r="AM61" s="678"/>
      <c r="AN61" s="678"/>
      <c r="AO61" s="678"/>
      <c r="AT61" s="523"/>
      <c r="AU61" s="523"/>
      <c r="AV61" s="523"/>
      <c r="AW61" s="523"/>
      <c r="AX61" s="523"/>
      <c r="AY61" s="523"/>
      <c r="AZ61" s="523"/>
    </row>
    <row r="62" spans="1:68" s="596" customFormat="1" ht="20.100000000000001" customHeight="1">
      <c r="A62" s="7"/>
      <c r="B62" s="7"/>
      <c r="C62" s="7">
        <v>81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679"/>
      <c r="R62" s="8"/>
      <c r="S62" s="8"/>
      <c r="T62" s="8"/>
      <c r="U62" s="8"/>
      <c r="V62" s="8"/>
      <c r="W62" s="8"/>
      <c r="X62" s="8"/>
      <c r="Y62" s="8"/>
      <c r="Z62" s="8"/>
      <c r="AA62" s="8"/>
      <c r="AB62" s="13"/>
      <c r="AC62" s="7"/>
      <c r="AD62" s="678"/>
      <c r="AE62" s="678"/>
      <c r="AF62" s="678"/>
      <c r="AG62" s="678"/>
      <c r="AH62" s="678"/>
      <c r="AI62" s="678"/>
      <c r="AJ62" s="678"/>
      <c r="AK62" s="678"/>
      <c r="AL62" s="678"/>
      <c r="AM62" s="678"/>
      <c r="AN62" s="678"/>
      <c r="AO62" s="678"/>
      <c r="AT62" s="523"/>
      <c r="AU62" s="523"/>
      <c r="AV62" s="523"/>
      <c r="AW62" s="523"/>
      <c r="AX62" s="523"/>
      <c r="AY62" s="523"/>
      <c r="AZ62" s="523"/>
    </row>
    <row r="63" spans="1:68" ht="30">
      <c r="A63" s="3">
        <f>A60+1</f>
        <v>2</v>
      </c>
      <c r="B63" s="3">
        <f>'  תקציב מינהל תפעול 2025 '!B13</f>
        <v>1477</v>
      </c>
      <c r="C63" s="202" t="str">
        <f>'  תקציב מינהל תפעול 2025 '!C13</f>
        <v xml:space="preserve">הצללות בי"ס וגנ"י  ומתנס"ים </v>
      </c>
      <c r="D63" s="4">
        <f>'  תקציב מינהל תפעול 2025 '!D13</f>
        <v>9350000</v>
      </c>
      <c r="E63" s="4">
        <f>'  תקציב מינהל תפעול 2025 '!E13</f>
        <v>9350000</v>
      </c>
      <c r="F63" s="4">
        <f>'  תקציב מינהל תפעול 2025 '!F13</f>
        <v>0</v>
      </c>
      <c r="G63" s="4">
        <f>'  תקציב מינהל תפעול 2025 '!G13</f>
        <v>5955000</v>
      </c>
      <c r="H63" s="4">
        <f>'  תקציב מינהל תפעול 2025 '!H13</f>
        <v>5878063</v>
      </c>
      <c r="I63" s="4">
        <f>'  תקציב מינהל תפעול 2025 '!I13</f>
        <v>0</v>
      </c>
      <c r="J63" s="4">
        <f>'  תקציב מינהל תפעול 2025 '!J13</f>
        <v>75396</v>
      </c>
      <c r="K63" s="4">
        <f>'  תקציב מינהל תפעול 2025 '!K13</f>
        <v>75396</v>
      </c>
      <c r="L63" s="4">
        <f>'  תקציב מינהל תפעול 2025 '!L13</f>
        <v>5953459</v>
      </c>
      <c r="M63" s="4">
        <f>'  תקציב מינהל תפעול 2025 '!M13</f>
        <v>1541</v>
      </c>
      <c r="N63" s="4">
        <f>'  תקציב מינהל תפעול 2025 '!N13</f>
        <v>785000</v>
      </c>
      <c r="O63" s="4">
        <f>'  תקציב מינהל תפעול 2025 '!O13</f>
        <v>2610000</v>
      </c>
      <c r="P63" s="4">
        <f>'  תקציב מינהל תפעול 2025 '!P13</f>
        <v>1541</v>
      </c>
      <c r="Q63" s="311">
        <f>'  תקציב מינהל תפעול 2025 '!Q13</f>
        <v>0</v>
      </c>
      <c r="R63" s="4">
        <f>'  תקציב מינהל תפעול 2025 '!R13</f>
        <v>0</v>
      </c>
      <c r="S63" s="4">
        <f>'  תקציב מינהל תפעול 2025 '!S13</f>
        <v>0</v>
      </c>
      <c r="T63" s="4">
        <f>'  תקציב מינהל תפעול 2025 '!T13</f>
        <v>0</v>
      </c>
      <c r="U63" s="4">
        <f>'  תקציב מינהל תפעול 2025 '!U13</f>
        <v>785000</v>
      </c>
      <c r="V63" s="4">
        <f>'  תקציב מינהל תפעול 2025 '!V13</f>
        <v>0</v>
      </c>
      <c r="W63" s="4">
        <f>'  תקציב מינהל תפעול 2025 '!W13</f>
        <v>785000</v>
      </c>
      <c r="X63" s="4">
        <f>'  תקציב מינהל תפעול 2025 '!X13</f>
        <v>0</v>
      </c>
      <c r="Y63" s="4">
        <f>'  תקציב מינהל תפעול 2025 '!Y13</f>
        <v>0</v>
      </c>
      <c r="Z63" s="4">
        <f>'  תקציב מינהל תפעול 2025 '!Z13</f>
        <v>0</v>
      </c>
      <c r="AA63" s="3">
        <f>'  תקציב מינהל תפעול 2025 '!AA13</f>
        <v>0</v>
      </c>
      <c r="AB63" s="676" t="str">
        <f>'  תקציב מינהל תפעול 2025 '!AB13</f>
        <v>הצללות קבועות מעל מגרשי ספורט  עפ"י תוכנית שתאושר ע"י הנהלת העיר.</v>
      </c>
      <c r="AC63" s="290">
        <f>'  תקציב מינהל תפעול 2025 '!AC13</f>
        <v>810000</v>
      </c>
    </row>
    <row r="64" spans="1:68" ht="52.5" customHeight="1">
      <c r="A64" s="3">
        <f t="shared" ref="A64:A89" si="8">A63+1</f>
        <v>3</v>
      </c>
      <c r="B64" s="3">
        <f>'  תקציב מינהל תפעול 2025 '!B20</f>
        <v>1850</v>
      </c>
      <c r="C64" s="202" t="str">
        <f>'  תקציב מינהל תפעול 2025 '!C20</f>
        <v>תיקון ליקויים סקר כיבוי אש מוס"ח  ועיריה</v>
      </c>
      <c r="D64" s="4">
        <f>'  תקציב מינהל תפעול 2025 '!D20</f>
        <v>14600000</v>
      </c>
      <c r="E64" s="4">
        <f>'  תקציב מינהל תפעול 2025 '!E20</f>
        <v>14600000</v>
      </c>
      <c r="F64" s="4">
        <f>'  תקציב מינהל תפעול 2025 '!F20</f>
        <v>0</v>
      </c>
      <c r="G64" s="4">
        <f>'  תקציב מינהל תפעול 2025 '!G20</f>
        <v>7200000</v>
      </c>
      <c r="H64" s="4">
        <f>'  תקציב מינהל תפעול 2025 '!H20</f>
        <v>6678072</v>
      </c>
      <c r="I64" s="4">
        <f>'  תקציב מינהל תפעול 2025 '!I20</f>
        <v>0</v>
      </c>
      <c r="J64" s="4">
        <f>'  תקציב מינהל תפעול 2025 '!J20</f>
        <v>413140</v>
      </c>
      <c r="K64" s="4">
        <f>'  תקציב מינהל תפעול 2025 '!K20</f>
        <v>413140</v>
      </c>
      <c r="L64" s="4">
        <f>'  תקציב מינהל תפעול 2025 '!L20</f>
        <v>7091212</v>
      </c>
      <c r="M64" s="4">
        <f>'  תקציב מינהל תפעול 2025 '!M20</f>
        <v>108788</v>
      </c>
      <c r="N64" s="4">
        <f>'  תקציב מינהל תפעול 2025 '!N20</f>
        <v>500000</v>
      </c>
      <c r="O64" s="4">
        <f>'  תקציב מינהל תפעול 2025 '!O20</f>
        <v>6900000</v>
      </c>
      <c r="P64" s="4">
        <f>'  תקציב מינהל תפעול 2025 '!P20</f>
        <v>108788</v>
      </c>
      <c r="Q64" s="311">
        <f>'  תקציב מינהל תפעול 2025 '!Q20</f>
        <v>0</v>
      </c>
      <c r="R64" s="4">
        <f>'  תקציב מינהל תפעול 2025 '!R20</f>
        <v>0</v>
      </c>
      <c r="S64" s="4">
        <f>'  תקציב מינהל תפעול 2025 '!S20</f>
        <v>0</v>
      </c>
      <c r="T64" s="4">
        <f>'  תקציב מינהל תפעול 2025 '!T20</f>
        <v>0</v>
      </c>
      <c r="U64" s="4">
        <f>'  תקציב מינהל תפעול 2025 '!U20</f>
        <v>500000</v>
      </c>
      <c r="V64" s="4">
        <f>'  תקציב מינהל תפעול 2025 '!V20</f>
        <v>0</v>
      </c>
      <c r="W64" s="4">
        <f>'  תקציב מינהל תפעול 2025 '!W20</f>
        <v>500000</v>
      </c>
      <c r="X64" s="4">
        <f>'  תקציב מינהל תפעול 2025 '!X20</f>
        <v>0</v>
      </c>
      <c r="Y64" s="4">
        <f>'  תקציב מינהל תפעול 2025 '!Y20</f>
        <v>0</v>
      </c>
      <c r="Z64" s="4">
        <f>'  תקציב מינהל תפעול 2025 '!Z20</f>
        <v>0</v>
      </c>
      <c r="AA64" s="3">
        <f>'  תקציב מינהל תפעול 2025 '!AA20</f>
        <v>0</v>
      </c>
      <c r="AB64" s="202" t="str">
        <f>'  תקציב מינהל תפעול 2025 '!AB20</f>
        <v xml:space="preserve">סל לעבודות הסדרת ליקויים כיבוי אש במוס"ח ובמוסדות עיריה  לפי סקר. </v>
      </c>
      <c r="AC64" s="3">
        <f>'  תקציב מינהל תפעול 2025 '!AC20</f>
        <v>810000</v>
      </c>
    </row>
    <row r="65" spans="1:68" ht="59.25" customHeight="1">
      <c r="A65" s="3">
        <f t="shared" si="8"/>
        <v>4</v>
      </c>
      <c r="B65" s="3">
        <f>'  תקציב מינהל תפעול 2025 '!B21</f>
        <v>1883</v>
      </c>
      <c r="C65" s="202" t="str">
        <f>'  תקציב מינהל תפעול 2025 '!C21</f>
        <v>שיפוץ ותוספת בניה בי"ס בר אילן</v>
      </c>
      <c r="D65" s="4">
        <f>'  תקציב מינהל תפעול 2025 '!D21</f>
        <v>26215000</v>
      </c>
      <c r="E65" s="4">
        <f>'  תקציב מינהל תפעול 2025 '!E21</f>
        <v>26215000</v>
      </c>
      <c r="F65" s="4">
        <f>'  תקציב מינהל תפעול 2025 '!F21</f>
        <v>0</v>
      </c>
      <c r="G65" s="4">
        <f>'  תקציב מינהל תפעול 2025 '!G21</f>
        <v>26215000</v>
      </c>
      <c r="H65" s="4">
        <f>'  תקציב מינהל תפעול 2025 '!H21</f>
        <v>26214141</v>
      </c>
      <c r="I65" s="4">
        <f>'  תקציב מינהל תפעול 2025 '!I21</f>
        <v>0</v>
      </c>
      <c r="J65" s="4">
        <f>'  תקציב מינהל תפעול 2025 '!J21</f>
        <v>0</v>
      </c>
      <c r="K65" s="4">
        <f>'  תקציב מינהל תפעול 2025 '!K21</f>
        <v>0</v>
      </c>
      <c r="L65" s="4">
        <f>'  תקציב מינהל תפעול 2025 '!L21</f>
        <v>26214141</v>
      </c>
      <c r="M65" s="4">
        <f>'  תקציב מינהל תפעול 2025 '!M21</f>
        <v>859</v>
      </c>
      <c r="N65" s="4">
        <f>'  תקציב מינהל תפעול 2025 '!N21</f>
        <v>0</v>
      </c>
      <c r="O65" s="4">
        <f>'  תקציב מינהל תפעול 2025 '!O21</f>
        <v>0</v>
      </c>
      <c r="P65" s="4">
        <f>'  תקציב מינהל תפעול 2025 '!P21</f>
        <v>859</v>
      </c>
      <c r="Q65" s="311">
        <f>'  תקציב מינהל תפעול 2025 '!Q21</f>
        <v>0</v>
      </c>
      <c r="R65" s="4">
        <f>'  תקציב מינהל תפעול 2025 '!R21</f>
        <v>0</v>
      </c>
      <c r="S65" s="4">
        <f>'  תקציב מינהל תפעול 2025 '!S21</f>
        <v>0</v>
      </c>
      <c r="T65" s="4">
        <f>'  תקציב מינהל תפעול 2025 '!T21</f>
        <v>0</v>
      </c>
      <c r="U65" s="4">
        <f>'  תקציב מינהל תפעול 2025 '!U21</f>
        <v>0</v>
      </c>
      <c r="V65" s="4">
        <f>'  תקציב מינהל תפעול 2025 '!V21</f>
        <v>0</v>
      </c>
      <c r="W65" s="4">
        <f>'  תקציב מינהל תפעול 2025 '!W21</f>
        <v>0</v>
      </c>
      <c r="X65" s="4">
        <f>'  תקציב מינהל תפעול 2025 '!X21</f>
        <v>0</v>
      </c>
      <c r="Y65" s="4">
        <f>'  תקציב מינהל תפעול 2025 '!Y21</f>
        <v>0</v>
      </c>
      <c r="Z65" s="4">
        <f>'  תקציב מינהל תפעול 2025 '!Z21</f>
        <v>0</v>
      </c>
      <c r="AA65" s="3">
        <f>'  תקציב מינהל תפעול 2025 '!AA21</f>
        <v>0</v>
      </c>
      <c r="AB65" s="202" t="str">
        <f>'  תקציב מינהל תפעול 2025 '!AB21</f>
        <v>משטחי בטיחות, מתקני חצר,גינון, דשא סינטטי. הסתיים. ממתין לתקבול מ. החינוך.</v>
      </c>
      <c r="AC65" s="3">
        <f>'  תקציב מינהל תפעול 2025 '!AC21</f>
        <v>810000</v>
      </c>
    </row>
    <row r="66" spans="1:68" ht="52.5" customHeight="1">
      <c r="A66" s="3">
        <f t="shared" si="8"/>
        <v>5</v>
      </c>
      <c r="B66" s="3">
        <f>'  תקציב מינהל תפעול 2025 '!B22</f>
        <v>1887</v>
      </c>
      <c r="C66" s="202" t="str">
        <f>'  תקציב מינהל תפעול 2025 '!C22</f>
        <v>שיפוץ בי"ס מפתן ארז</v>
      </c>
      <c r="D66" s="4">
        <f>'  תקציב מינהל תפעול 2025 '!D22</f>
        <v>5200000</v>
      </c>
      <c r="E66" s="4">
        <f>'  תקציב מינהל תפעול 2025 '!E22</f>
        <v>5200000</v>
      </c>
      <c r="F66" s="4">
        <f>'  תקציב מינהל תפעול 2025 '!F22</f>
        <v>0</v>
      </c>
      <c r="G66" s="4">
        <f>'  תקציב מינהל תפעול 2025 '!G22</f>
        <v>2385000</v>
      </c>
      <c r="H66" s="4">
        <f>'  תקציב מינהל תפעול 2025 '!H22</f>
        <v>1396187</v>
      </c>
      <c r="I66" s="4">
        <f>'  תקציב מינהל תפעול 2025 '!I22</f>
        <v>88157</v>
      </c>
      <c r="J66" s="4">
        <f>'  תקציב מינהל תפעול 2025 '!J22</f>
        <v>855079</v>
      </c>
      <c r="K66" s="4">
        <f>'  תקציב מינהל תפעול 2025 '!K22</f>
        <v>943236</v>
      </c>
      <c r="L66" s="4">
        <f>'  תקציב מינהל תפעול 2025 '!L22</f>
        <v>2339423</v>
      </c>
      <c r="M66" s="4">
        <f>'  תקציב מינהל תפעול 2025 '!M22</f>
        <v>45577</v>
      </c>
      <c r="N66" s="4">
        <f>'  תקציב מינהל תפעול 2025 '!N22</f>
        <v>0</v>
      </c>
      <c r="O66" s="4">
        <f>'  תקציב מינהל תפעול 2025 '!O22</f>
        <v>2815000</v>
      </c>
      <c r="P66" s="4">
        <f>'  תקציב מינהל תפעול 2025 '!P22</f>
        <v>45577</v>
      </c>
      <c r="Q66" s="311">
        <f>'  תקציב מינהל תפעול 2025 '!Q22</f>
        <v>0</v>
      </c>
      <c r="R66" s="4">
        <f>'  תקציב מינהל תפעול 2025 '!R22</f>
        <v>0</v>
      </c>
      <c r="S66" s="4">
        <f>'  תקציב מינהל תפעול 2025 '!S22</f>
        <v>0</v>
      </c>
      <c r="T66" s="4">
        <f>'  תקציב מינהל תפעול 2025 '!T22</f>
        <v>0</v>
      </c>
      <c r="U66" s="4">
        <f>'  תקציב מינהל תפעול 2025 '!U22</f>
        <v>0</v>
      </c>
      <c r="V66" s="4">
        <f>'  תקציב מינהל תפעול 2025 '!V22</f>
        <v>0</v>
      </c>
      <c r="W66" s="4">
        <f>'  תקציב מינהל תפעול 2025 '!W22</f>
        <v>0</v>
      </c>
      <c r="X66" s="4">
        <f>'  תקציב מינהל תפעול 2025 '!X22</f>
        <v>0</v>
      </c>
      <c r="Y66" s="4">
        <f>'  תקציב מינהל תפעול 2025 '!Y22</f>
        <v>0</v>
      </c>
      <c r="Z66" s="4">
        <f>'  תקציב מינהל תפעול 2025 '!Z22</f>
        <v>0</v>
      </c>
      <c r="AA66" s="3">
        <f>'  תקציב מינהל תפעול 2025 '!AA22</f>
        <v>0</v>
      </c>
      <c r="AB66" s="202" t="str">
        <f>'  תקציב מינהל תפעול 2025 '!AB22</f>
        <v>שלב ב' של עבודות שיפוצים יסודיים כולל עבודות הנגשה, פיר מעלית ומעלית.</v>
      </c>
      <c r="AC66" s="3">
        <f>'  תקציב מינהל תפעול 2025 '!AC22</f>
        <v>810000</v>
      </c>
    </row>
    <row r="67" spans="1:68" ht="45">
      <c r="A67" s="3">
        <f t="shared" si="8"/>
        <v>6</v>
      </c>
      <c r="B67" s="3">
        <f>'  תקציב מינהל תפעול 2025 '!B23</f>
        <v>1900</v>
      </c>
      <c r="C67" s="202" t="str">
        <f>'  תקציב מינהל תפעול 2025 '!C23</f>
        <v>התקנת מעלית בי"ס שז"ר</v>
      </c>
      <c r="D67" s="4">
        <f>'  תקציב מינהל תפעול 2025 '!D23</f>
        <v>573000</v>
      </c>
      <c r="E67" s="4">
        <f>'  תקציב מינהל תפעול 2025 '!E23</f>
        <v>600000</v>
      </c>
      <c r="F67" s="4">
        <f>'  תקציב מינהל תפעול 2025 '!F23</f>
        <v>-27000</v>
      </c>
      <c r="G67" s="4">
        <f>'  תקציב מינהל תפעול 2025 '!G23</f>
        <v>573000</v>
      </c>
      <c r="H67" s="4">
        <f>'  תקציב מינהל תפעול 2025 '!H23</f>
        <v>572915</v>
      </c>
      <c r="I67" s="4">
        <f>'  תקציב מינהל תפעול 2025 '!I23</f>
        <v>0</v>
      </c>
      <c r="J67" s="4">
        <f>'  תקציב מינהל תפעול 2025 '!J23</f>
        <v>0</v>
      </c>
      <c r="K67" s="4">
        <f>'  תקציב מינהל תפעול 2025 '!K23</f>
        <v>0</v>
      </c>
      <c r="L67" s="4">
        <f>'  תקציב מינהל תפעול 2025 '!L23</f>
        <v>572915</v>
      </c>
      <c r="M67" s="4">
        <f>'  תקציב מינהל תפעול 2025 '!M23</f>
        <v>85</v>
      </c>
      <c r="N67" s="4">
        <f>'  תקציב מינהל תפעול 2025 '!N23</f>
        <v>0</v>
      </c>
      <c r="O67" s="4">
        <f>'  תקציב מינהל תפעול 2025 '!O23</f>
        <v>0</v>
      </c>
      <c r="P67" s="4">
        <f>'  תקציב מינהל תפעול 2025 '!P23</f>
        <v>85</v>
      </c>
      <c r="Q67" s="311">
        <f>'  תקציב מינהל תפעול 2025 '!Q23</f>
        <v>0</v>
      </c>
      <c r="R67" s="4">
        <f>'  תקציב מינהל תפעול 2025 '!R23</f>
        <v>0</v>
      </c>
      <c r="S67" s="4">
        <f>'  תקציב מינהל תפעול 2025 '!S23</f>
        <v>0</v>
      </c>
      <c r="T67" s="4">
        <f>'  תקציב מינהל תפעול 2025 '!T23</f>
        <v>0</v>
      </c>
      <c r="U67" s="4">
        <f>'  תקציב מינהל תפעול 2025 '!U23</f>
        <v>0</v>
      </c>
      <c r="V67" s="4">
        <f>'  תקציב מינהל תפעול 2025 '!V23</f>
        <v>0</v>
      </c>
      <c r="W67" s="4">
        <f>'  תקציב מינהל תפעול 2025 '!W23</f>
        <v>0</v>
      </c>
      <c r="X67" s="4">
        <f>'  תקציב מינהל תפעול 2025 '!X23</f>
        <v>0</v>
      </c>
      <c r="Y67" s="4">
        <f>'  תקציב מינהל תפעול 2025 '!Y23</f>
        <v>0</v>
      </c>
      <c r="Z67" s="4">
        <f>'  תקציב מינהל תפעול 2025 '!Z23</f>
        <v>0</v>
      </c>
      <c r="AA67" s="3">
        <f>'  תקציב מינהל תפעול 2025 '!AA23</f>
        <v>0</v>
      </c>
      <c r="AB67" s="202" t="str">
        <f>'  תקציב מינהל תפעול 2025 '!AB23</f>
        <v>התקנת מעלית . מימון חלקי של משרד החינוך.הסתיים. ממתין לתקבול מ. החינוך.</v>
      </c>
      <c r="AC67" s="3">
        <f>'  תקציב מינהל תפעול 2025 '!AC23</f>
        <v>810000</v>
      </c>
    </row>
    <row r="68" spans="1:68" ht="65.25" customHeight="1">
      <c r="A68" s="3">
        <f t="shared" si="8"/>
        <v>7</v>
      </c>
      <c r="B68" s="3">
        <f>'  תקציב מינהל תפעול 2025 '!B25</f>
        <v>1967</v>
      </c>
      <c r="C68" s="202" t="str">
        <f>'  תקציב מינהל תפעול 2025 '!C25</f>
        <v>התאמות נגישות מוסדות חינוך</v>
      </c>
      <c r="D68" s="4">
        <f>'  תקציב מינהל תפעול 2025 '!D25</f>
        <v>16629000</v>
      </c>
      <c r="E68" s="4">
        <f>'  תקציב מינהל תפעול 2025 '!E25</f>
        <v>16629000</v>
      </c>
      <c r="F68" s="4">
        <f>'  תקציב מינהל תפעול 2025 '!F25</f>
        <v>0</v>
      </c>
      <c r="G68" s="4">
        <f>'  תקציב מינהל תפעול 2025 '!G25</f>
        <v>14479000</v>
      </c>
      <c r="H68" s="4">
        <f>'  תקציב מינהל תפעול 2025 '!H25</f>
        <v>11619240</v>
      </c>
      <c r="I68" s="4">
        <f>'  תקציב מינהל תפעול 2025 '!I25</f>
        <v>0</v>
      </c>
      <c r="J68" s="4">
        <f>'  תקציב מינהל תפעול 2025 '!J25</f>
        <v>1477587</v>
      </c>
      <c r="K68" s="4">
        <f>'  תקציב מינהל תפעול 2025 '!K25</f>
        <v>1477587</v>
      </c>
      <c r="L68" s="4">
        <f>'  תקציב מינהל תפעול 2025 '!L25</f>
        <v>13096827</v>
      </c>
      <c r="M68" s="4">
        <f>'  תקציב מינהל תפעול 2025 '!M25</f>
        <v>1382173</v>
      </c>
      <c r="N68" s="4">
        <f>'  תקציב מינהל תפעול 2025 '!N25</f>
        <v>200000</v>
      </c>
      <c r="O68" s="4">
        <f>'  תקציב מינהל תפעול 2025 '!O25</f>
        <v>1950000</v>
      </c>
      <c r="P68" s="4">
        <f>'  תקציב מינהל תפעול 2025 '!P25</f>
        <v>1382173</v>
      </c>
      <c r="Q68" s="311">
        <f>'  תקציב מינהל תפעול 2025 '!Q25</f>
        <v>0</v>
      </c>
      <c r="R68" s="4">
        <f>'  תקציב מינהל תפעול 2025 '!R25</f>
        <v>0</v>
      </c>
      <c r="S68" s="4">
        <f>'  תקציב מינהל תפעול 2025 '!S25</f>
        <v>0</v>
      </c>
      <c r="T68" s="4">
        <f>'  תקציב מינהל תפעול 2025 '!T25</f>
        <v>0</v>
      </c>
      <c r="U68" s="4">
        <f>'  תקציב מינהל תפעול 2025 '!U25</f>
        <v>200000</v>
      </c>
      <c r="V68" s="4">
        <f>'  תקציב מינהל תפעול 2025 '!V25</f>
        <v>0</v>
      </c>
      <c r="W68" s="4">
        <f>'  תקציב מינהל תפעול 2025 '!W25</f>
        <v>200000</v>
      </c>
      <c r="X68" s="4">
        <f>'  תקציב מינהל תפעול 2025 '!X25</f>
        <v>0</v>
      </c>
      <c r="Y68" s="4">
        <f>'  תקציב מינהל תפעול 2025 '!Y25</f>
        <v>0</v>
      </c>
      <c r="Z68" s="4">
        <f>'  תקציב מינהל תפעול 2025 '!Z25</f>
        <v>0</v>
      </c>
      <c r="AA68" s="3">
        <f>'  תקציב מינהל תפעול 2025 '!AA25</f>
        <v>0</v>
      </c>
      <c r="AB68" s="202" t="str">
        <f>'  תקציב מינהל תפעול 2025 '!AB25</f>
        <v xml:space="preserve">התקנת מעליות, שרותים ,רמפות בבי"ס עפ"י תוכנית רב שנתית.  </v>
      </c>
      <c r="AC68" s="3">
        <f>'  תקציב מינהל תפעול 2025 '!AC25</f>
        <v>810000</v>
      </c>
    </row>
    <row r="69" spans="1:68" ht="45">
      <c r="A69" s="3">
        <f t="shared" si="8"/>
        <v>8</v>
      </c>
      <c r="B69" s="3">
        <f>'  תקציב מינהל תפעול 2025 '!B26</f>
        <v>1970</v>
      </c>
      <c r="C69" s="202" t="str">
        <f>'  תקציב מינהל תפעול 2025 '!C26</f>
        <v xml:space="preserve">שיפוצים שונים מוס"ח </v>
      </c>
      <c r="D69" s="4">
        <f>'  תקציב מינהל תפעול 2025 '!D26</f>
        <v>32500000</v>
      </c>
      <c r="E69" s="4">
        <f>'  תקציב מינהל תפעול 2025 '!E26</f>
        <v>32500000</v>
      </c>
      <c r="F69" s="4">
        <f>'  תקציב מינהל תפעול 2025 '!F26</f>
        <v>0</v>
      </c>
      <c r="G69" s="4">
        <f>'  תקציב מינהל תפעול 2025 '!G26</f>
        <v>32500000</v>
      </c>
      <c r="H69" s="4">
        <f>'  תקציב מינהל תפעול 2025 '!H26</f>
        <v>32499902</v>
      </c>
      <c r="I69" s="4">
        <f>'  תקציב מינהל תפעול 2025 '!I26</f>
        <v>0</v>
      </c>
      <c r="J69" s="4">
        <f>'  תקציב מינהל תפעול 2025 '!J26</f>
        <v>0</v>
      </c>
      <c r="K69" s="4">
        <f>'  תקציב מינהל תפעול 2025 '!K26</f>
        <v>0</v>
      </c>
      <c r="L69" s="4">
        <f>'  תקציב מינהל תפעול 2025 '!L26</f>
        <v>32499902</v>
      </c>
      <c r="M69" s="4">
        <f>'  תקציב מינהל תפעול 2025 '!M26</f>
        <v>98</v>
      </c>
      <c r="N69" s="4">
        <f>'  תקציב מינהל תפעול 2025 '!N26</f>
        <v>0</v>
      </c>
      <c r="O69" s="4">
        <f>'  תקציב מינהל תפעול 2025 '!O26</f>
        <v>0</v>
      </c>
      <c r="P69" s="4">
        <f>'  תקציב מינהל תפעול 2025 '!P26</f>
        <v>98</v>
      </c>
      <c r="Q69" s="311">
        <f>'  תקציב מינהל תפעול 2025 '!Q26</f>
        <v>0</v>
      </c>
      <c r="R69" s="4">
        <f>'  תקציב מינהל תפעול 2025 '!R26</f>
        <v>0</v>
      </c>
      <c r="S69" s="4">
        <f>'  תקציב מינהל תפעול 2025 '!S26</f>
        <v>0</v>
      </c>
      <c r="T69" s="4">
        <f>'  תקציב מינהל תפעול 2025 '!T26</f>
        <v>0</v>
      </c>
      <c r="U69" s="4">
        <f>'  תקציב מינהל תפעול 2025 '!U26</f>
        <v>0</v>
      </c>
      <c r="V69" s="4">
        <f>'  תקציב מינהל תפעול 2025 '!V26</f>
        <v>0</v>
      </c>
      <c r="W69" s="4">
        <f>'  תקציב מינהל תפעול 2025 '!W26</f>
        <v>0</v>
      </c>
      <c r="X69" s="4">
        <f>'  תקציב מינהל תפעול 2025 '!X26</f>
        <v>0</v>
      </c>
      <c r="Y69" s="4">
        <f>'  תקציב מינהל תפעול 2025 '!Y26</f>
        <v>0</v>
      </c>
      <c r="Z69" s="4">
        <f>'  תקציב מינהל תפעול 2025 '!Z26</f>
        <v>0</v>
      </c>
      <c r="AA69" s="3">
        <f>'  תקציב מינהל תפעול 2025 '!AA26</f>
        <v>0</v>
      </c>
      <c r="AB69" s="202" t="str">
        <f>'  תקציב מינהל תפעול 2025 '!AB26</f>
        <v>סל עבודות שיפוצים במוס"ח  והתאמת מבנים גנ"י. ייסגר עם קבלת תקבול מ. החינוך יביל יד גיורא.</v>
      </c>
      <c r="AC69" s="3">
        <f>'  תקציב מינהל תפעול 2025 '!AC26</f>
        <v>810000</v>
      </c>
    </row>
    <row r="70" spans="1:68" ht="51" customHeight="1">
      <c r="A70" s="3">
        <f t="shared" si="8"/>
        <v>9</v>
      </c>
      <c r="B70" s="3">
        <f>'  תקציב מינהל תפעול 2025 '!B28</f>
        <v>2030</v>
      </c>
      <c r="C70" s="202" t="str">
        <f>'  תקציב מינהל תפעול 2025 '!C28</f>
        <v>תיכון ראשונים</v>
      </c>
      <c r="D70" s="4">
        <f>'  תקציב מינהל תפעול 2025 '!D28</f>
        <v>46821977</v>
      </c>
      <c r="E70" s="4">
        <f>'  תקציב מינהל תפעול 2025 '!E28</f>
        <v>46821977</v>
      </c>
      <c r="F70" s="4">
        <f>'  תקציב מינהל תפעול 2025 '!F28</f>
        <v>0</v>
      </c>
      <c r="G70" s="4">
        <f>'  תקציב מינהל תפעול 2025 '!G28</f>
        <v>11821977</v>
      </c>
      <c r="H70" s="4">
        <f>'  תקציב מינהל תפעול 2025 '!H28</f>
        <v>11578434</v>
      </c>
      <c r="I70" s="4">
        <f>'  תקציב מינהל תפעול 2025 '!I28</f>
        <v>164458</v>
      </c>
      <c r="J70" s="4">
        <f>'  תקציב מינהל תפעול 2025 '!J28</f>
        <v>11641</v>
      </c>
      <c r="K70" s="4">
        <f>'  תקציב מינהל תפעול 2025 '!K28</f>
        <v>176099</v>
      </c>
      <c r="L70" s="4">
        <f>'  תקציב מינהל תפעול 2025 '!L28</f>
        <v>11754533</v>
      </c>
      <c r="M70" s="4">
        <f>'  תקציב מינהל תפעול 2025 '!M28</f>
        <v>567444</v>
      </c>
      <c r="N70" s="4">
        <f>'  תקציב מינהל תפעול 2025 '!N28</f>
        <v>2525000</v>
      </c>
      <c r="O70" s="4">
        <f>'  תקציב מינהל תפעול 2025 '!O28</f>
        <v>31975000</v>
      </c>
      <c r="P70" s="4">
        <f>'  תקציב מינהל תפעול 2025 '!P28</f>
        <v>67444</v>
      </c>
      <c r="Q70" s="311">
        <f>'  תקציב מינהל תפעול 2025 '!Q28</f>
        <v>0</v>
      </c>
      <c r="R70" s="4">
        <f>'  תקציב מינהל תפעול 2025 '!R28</f>
        <v>500000</v>
      </c>
      <c r="S70" s="4">
        <f>'  תקציב מינהל תפעול 2025 '!S28</f>
        <v>500000</v>
      </c>
      <c r="T70" s="4">
        <f>'  תקציב מינהל תפעול 2025 '!T28</f>
        <v>0</v>
      </c>
      <c r="U70" s="4">
        <f>'  תקציב מינהל תפעול 2025 '!U28</f>
        <v>2525000</v>
      </c>
      <c r="V70" s="4">
        <f>'  תקציב מינהל תפעול 2025 '!V28</f>
        <v>0</v>
      </c>
      <c r="W70" s="4">
        <f>'  תקציב מינהל תפעול 2025 '!W28</f>
        <v>2525000</v>
      </c>
      <c r="X70" s="4">
        <f>'  תקציב מינהל תפעול 2025 '!X28</f>
        <v>0</v>
      </c>
      <c r="Y70" s="4">
        <f>'  תקציב מינהל תפעול 2025 '!Y28</f>
        <v>0</v>
      </c>
      <c r="Z70" s="4">
        <f>'  תקציב מינהל תפעול 2025 '!Z28</f>
        <v>0</v>
      </c>
      <c r="AA70" s="3">
        <f>'  תקציב מינהל תפעול 2025 '!AA28</f>
        <v>0</v>
      </c>
      <c r="AB70" s="202" t="str">
        <f>'  תקציב מינהל תפעול 2025 '!AB28</f>
        <v xml:space="preserve">פרויקט  בניית אודיטוריום ,תוספת 6 כתות ו-2 ממ"דים ,שיפוץ כללי ומעלית כולל איטום גג אולם ספורט. שיפוץ חזיתות והצטיידות. </v>
      </c>
      <c r="AC70" s="3">
        <f>'  תקציב מינהל תפעול 2025 '!AC28</f>
        <v>810000</v>
      </c>
    </row>
    <row r="71" spans="1:68" ht="75">
      <c r="A71" s="3">
        <f t="shared" si="8"/>
        <v>10</v>
      </c>
      <c r="B71" s="3">
        <f>'  תקציב מינהל תפעול 2025 '!B30</f>
        <v>2038</v>
      </c>
      <c r="C71" s="202" t="str">
        <f>'  תקציב מינהל תפעול 2025 '!C30</f>
        <v xml:space="preserve">הסדרת שטחי מוס"ח ברחבי העיר </v>
      </c>
      <c r="D71" s="4">
        <f>'  תקציב מינהל תפעול 2025 '!D30</f>
        <v>12000000</v>
      </c>
      <c r="E71" s="4">
        <f>'  תקציב מינהל תפעול 2025 '!E30</f>
        <v>7500000</v>
      </c>
      <c r="F71" s="4">
        <f>'  תקציב מינהל תפעול 2025 '!F30</f>
        <v>4500000</v>
      </c>
      <c r="G71" s="4">
        <f>'  תקציב מינהל תפעול 2025 '!G30</f>
        <v>5950000</v>
      </c>
      <c r="H71" s="4">
        <f>'  תקציב מינהל תפעול 2025 '!H30</f>
        <v>5381912.8499999996</v>
      </c>
      <c r="I71" s="4">
        <f>'  תקציב מינהל תפעול 2025 '!I30</f>
        <v>0</v>
      </c>
      <c r="J71" s="4">
        <f>'  תקציב מינהל תפעול 2025 '!J30</f>
        <v>567517.09</v>
      </c>
      <c r="K71" s="4">
        <f>'  תקציב מינהל תפעול 2025 '!K30</f>
        <v>567517.09</v>
      </c>
      <c r="L71" s="4">
        <f>'  תקציב מינהל תפעול 2025 '!L30</f>
        <v>5949429.9399999995</v>
      </c>
      <c r="M71" s="4">
        <f>'  תקציב מינהל תפעול 2025 '!M30</f>
        <v>570.06000000052154</v>
      </c>
      <c r="N71" s="4">
        <f>'  תקציב מינהל תפעול 2025 '!N30</f>
        <v>1000000</v>
      </c>
      <c r="O71" s="4">
        <f>'  תקציב מינהל תפעול 2025 '!O30</f>
        <v>5050000</v>
      </c>
      <c r="P71" s="4">
        <f>'  תקציב מינהל תפעול 2025 '!P30</f>
        <v>570.06000000052154</v>
      </c>
      <c r="Q71" s="311">
        <f>'  תקציב מינהל תפעול 2025 '!Q30</f>
        <v>0</v>
      </c>
      <c r="R71" s="4">
        <f>'  תקציב מינהל תפעול 2025 '!R30</f>
        <v>0</v>
      </c>
      <c r="S71" s="4">
        <f>'  תקציב מינהל תפעול 2025 '!S30</f>
        <v>0</v>
      </c>
      <c r="T71" s="4">
        <f>'  תקציב מינהל תפעול 2025 '!T30</f>
        <v>0</v>
      </c>
      <c r="U71" s="4">
        <f>'  תקציב מינהל תפעול 2025 '!U30</f>
        <v>1000000</v>
      </c>
      <c r="V71" s="4">
        <f>'  תקציב מינהל תפעול 2025 '!V30</f>
        <v>0</v>
      </c>
      <c r="W71" s="4">
        <f>'  תקציב מינהל תפעול 2025 '!W30</f>
        <v>1000000</v>
      </c>
      <c r="X71" s="4">
        <f>'  תקציב מינהל תפעול 2025 '!X30</f>
        <v>0</v>
      </c>
      <c r="Y71" s="4">
        <f>'  תקציב מינהל תפעול 2025 '!Y30</f>
        <v>0</v>
      </c>
      <c r="Z71" s="4">
        <f>'  תקציב מינהל תפעול 2025 '!Z30</f>
        <v>0</v>
      </c>
      <c r="AA71" s="3">
        <f>'  תקציב מינהל תפעול 2025 '!AA30</f>
        <v>0</v>
      </c>
      <c r="AB71" s="202" t="str">
        <f>'  תקציב מינהל תפעול 2025 '!AB30</f>
        <v xml:space="preserve">המשך הסדרת שטחי בי"ס ,תוספת הסדרת שטחי גנ"י כולל: עצי הצללה, דשא סינטטי, מערכות השקייה חסכוניות במים והסדרת שטחים מוזנחים. עפ"י תוכנית עבודה שתאושר ע"י הנהלת עיר. </v>
      </c>
      <c r="AC71" s="3">
        <f>'  תקציב מינהל תפעול 2025 '!AC30</f>
        <v>810000</v>
      </c>
    </row>
    <row r="72" spans="1:68" ht="33" customHeight="1">
      <c r="A72" s="3">
        <f t="shared" si="8"/>
        <v>11</v>
      </c>
      <c r="B72" s="3">
        <f>'  תקציב מינהל תפעול 2025 '!B34</f>
        <v>2063</v>
      </c>
      <c r="C72" s="202" t="str">
        <f>'  תקציב מינהל תפעול 2025 '!C34</f>
        <v>תוספת כיתות /חדרי ספח ברנדיס</v>
      </c>
      <c r="D72" s="4">
        <f>'  תקציב מינהל תפעול 2025 '!D34</f>
        <v>4000000</v>
      </c>
      <c r="E72" s="4">
        <f>'  תקציב מינהל תפעול 2025 '!E34</f>
        <v>3100000</v>
      </c>
      <c r="F72" s="4">
        <f>'  תקציב מינהל תפעול 2025 '!F34</f>
        <v>900000</v>
      </c>
      <c r="G72" s="4">
        <f>'  תקציב מינהל תפעול 2025 '!G34</f>
        <v>3000000</v>
      </c>
      <c r="H72" s="4">
        <f>'  תקציב מינהל תפעול 2025 '!H34</f>
        <v>664045</v>
      </c>
      <c r="I72" s="4">
        <f>'  תקציב מינהל תפעול 2025 '!I34</f>
        <v>0</v>
      </c>
      <c r="J72" s="4">
        <f>'  תקציב מינהל תפעול 2025 '!J34</f>
        <v>1554999</v>
      </c>
      <c r="K72" s="4">
        <f>'  תקציב מינהל תפעול 2025 '!K34</f>
        <v>1554999</v>
      </c>
      <c r="L72" s="4">
        <f>'  תקציב מינהל תפעול 2025 '!L34</f>
        <v>2219044</v>
      </c>
      <c r="M72" s="4">
        <f>'  תקציב מינהל תפעול 2025 '!M34</f>
        <v>780956</v>
      </c>
      <c r="N72" s="4">
        <f>'  תקציב מינהל תפעול 2025 '!N34</f>
        <v>0</v>
      </c>
      <c r="O72" s="4">
        <f>'  תקציב מינהל תפעול 2025 '!O34</f>
        <v>1000000</v>
      </c>
      <c r="P72" s="4">
        <f>'  תקציב מינהל תפעול 2025 '!P34</f>
        <v>780956</v>
      </c>
      <c r="Q72" s="4">
        <f>'  תקציב מינהל תפעול 2025 '!Q34</f>
        <v>0</v>
      </c>
      <c r="R72" s="4">
        <f>'  תקציב מינהל תפעול 2025 '!R34</f>
        <v>0</v>
      </c>
      <c r="S72" s="4">
        <f>'  תקציב מינהל תפעול 2025 '!S34</f>
        <v>0</v>
      </c>
      <c r="T72" s="4">
        <f>'  תקציב מינהל תפעול 2025 '!T34</f>
        <v>0</v>
      </c>
      <c r="U72" s="4">
        <f>'  תקציב מינהל תפעול 2025 '!U34</f>
        <v>0</v>
      </c>
      <c r="V72" s="4">
        <f>'  תקציב מינהל תפעול 2025 '!V34</f>
        <v>0</v>
      </c>
      <c r="W72" s="4">
        <f>'  תקציב מינהל תפעול 2025 '!W34</f>
        <v>0</v>
      </c>
      <c r="X72" s="4">
        <f>'  תקציב מינהל תפעול 2025 '!X34</f>
        <v>0</v>
      </c>
      <c r="Y72" s="4">
        <f>'  תקציב מינהל תפעול 2025 '!Y34</f>
        <v>0</v>
      </c>
      <c r="Z72" s="4">
        <f>'  תקציב מינהל תפעול 2025 '!Z34</f>
        <v>0</v>
      </c>
      <c r="AA72" s="3">
        <f>'  תקציב מינהל תפעול 2025 '!AA34</f>
        <v>0</v>
      </c>
      <c r="AB72" s="202" t="str">
        <f>'  תקציב מינהל תפעול 2025 '!AB34</f>
        <v xml:space="preserve">תוספת כיתות וחדרי ספח בקומת המסד בבי"ס ברנדיס. </v>
      </c>
      <c r="AC72" s="3">
        <f>'  תקציב מינהל תפעול 2025 '!AC34</f>
        <v>810000</v>
      </c>
    </row>
    <row r="73" spans="1:68" ht="30">
      <c r="A73" s="3">
        <f t="shared" si="8"/>
        <v>12</v>
      </c>
      <c r="B73" s="3">
        <f>'  תקציב מינהל תפעול 2025 '!B35</f>
        <v>2071</v>
      </c>
      <c r="C73" s="202" t="str">
        <f>'  תקציב מינהל תפעול 2025 '!C35</f>
        <v>נגישות אקוסטית מ.החינוך 2017</v>
      </c>
      <c r="D73" s="4">
        <f>'  תקציב מינהל תפעול 2025 '!D35</f>
        <v>278080</v>
      </c>
      <c r="E73" s="4">
        <f>'  תקציב מינהל תפעול 2025 '!E35</f>
        <v>278080</v>
      </c>
      <c r="F73" s="4">
        <f>'  תקציב מינהל תפעול 2025 '!F35</f>
        <v>0</v>
      </c>
      <c r="G73" s="4">
        <f>'  תקציב מינהל תפעול 2025 '!G35</f>
        <v>278080</v>
      </c>
      <c r="H73" s="4">
        <f>'  תקציב מינהל תפעול 2025 '!H35</f>
        <v>278080</v>
      </c>
      <c r="I73" s="4">
        <f>'  תקציב מינהל תפעול 2025 '!I35</f>
        <v>0</v>
      </c>
      <c r="J73" s="4">
        <f>'  תקציב מינהל תפעול 2025 '!J35</f>
        <v>0</v>
      </c>
      <c r="K73" s="4">
        <f>'  תקציב מינהל תפעול 2025 '!K35</f>
        <v>0</v>
      </c>
      <c r="L73" s="4">
        <f>'  תקציב מינהל תפעול 2025 '!L35</f>
        <v>278080</v>
      </c>
      <c r="M73" s="4">
        <f>'  תקציב מינהל תפעול 2025 '!M35</f>
        <v>0</v>
      </c>
      <c r="N73" s="4">
        <f>'  תקציב מינהל תפעול 2025 '!N35</f>
        <v>0</v>
      </c>
      <c r="O73" s="4">
        <f>'  תקציב מינהל תפעול 2025 '!O35</f>
        <v>0</v>
      </c>
      <c r="P73" s="4">
        <f>'  תקציב מינהל תפעול 2025 '!P35</f>
        <v>0</v>
      </c>
      <c r="Q73" s="4">
        <f>'  תקציב מינהל תפעול 2025 '!Q35</f>
        <v>0</v>
      </c>
      <c r="R73" s="4">
        <f>'  תקציב מינהל תפעול 2025 '!R35</f>
        <v>0</v>
      </c>
      <c r="S73" s="4">
        <f>'  תקציב מינהל תפעול 2025 '!S35</f>
        <v>0</v>
      </c>
      <c r="T73" s="4">
        <f>'  תקציב מינהל תפעול 2025 '!T35</f>
        <v>0</v>
      </c>
      <c r="U73" s="4">
        <f>'  תקציב מינהל תפעול 2025 '!U35</f>
        <v>0</v>
      </c>
      <c r="V73" s="4">
        <f>'  תקציב מינהל תפעול 2025 '!V35</f>
        <v>0</v>
      </c>
      <c r="W73" s="4">
        <f>'  תקציב מינהל תפעול 2025 '!W35</f>
        <v>0</v>
      </c>
      <c r="X73" s="4">
        <f>'  תקציב מינהל תפעול 2025 '!X35</f>
        <v>0</v>
      </c>
      <c r="Y73" s="4">
        <f>'  תקציב מינהל תפעול 2025 '!Y35</f>
        <v>0</v>
      </c>
      <c r="Z73" s="4">
        <f>'  תקציב מינהל תפעול 2025 '!Z35</f>
        <v>0</v>
      </c>
      <c r="AA73" s="3">
        <f>'  תקציב מינהל תפעול 2025 '!AA35</f>
        <v>0</v>
      </c>
      <c r="AB73" s="202" t="str">
        <f>'  תקציב מינהל תפעול 2025 '!AB35</f>
        <v>מימון מ. החינוך. ממתין לתקבול סופי.</v>
      </c>
      <c r="AC73" s="3">
        <f>'  תקציב מינהל תפעול 2025 '!AC35</f>
        <v>810000</v>
      </c>
    </row>
    <row r="74" spans="1:68" ht="53.25" customHeight="1">
      <c r="A74" s="3">
        <f t="shared" si="8"/>
        <v>13</v>
      </c>
      <c r="B74" s="3">
        <f>'  תקציב מינהל תפעול 2025 '!B36</f>
        <v>2091</v>
      </c>
      <c r="C74" s="202" t="str">
        <f>'  תקציב מינהל תפעול 2025 '!C36</f>
        <v>מרחבי למידה</v>
      </c>
      <c r="D74" s="4">
        <f>'  תקציב מינהל תפעול 2025 '!D36</f>
        <v>1360000</v>
      </c>
      <c r="E74" s="4">
        <f>'  תקציב מינהל תפעול 2025 '!E36</f>
        <v>1360000</v>
      </c>
      <c r="F74" s="4">
        <f>'  תקציב מינהל תפעול 2025 '!F36</f>
        <v>0</v>
      </c>
      <c r="G74" s="4">
        <f>'  תקציב מינהל תפעול 2025 '!G36</f>
        <v>240000</v>
      </c>
      <c r="H74" s="4">
        <f>'  תקציב מינהל תפעול 2025 '!H36</f>
        <v>160000</v>
      </c>
      <c r="I74" s="4">
        <f>'  תקציב מינהל תפעול 2025 '!I36</f>
        <v>0</v>
      </c>
      <c r="J74" s="4">
        <f>'  תקציב מינהל תפעול 2025 '!J36</f>
        <v>80000</v>
      </c>
      <c r="K74" s="4">
        <f>'  תקציב מינהל תפעול 2025 '!K36</f>
        <v>80000</v>
      </c>
      <c r="L74" s="4">
        <f>'  תקציב מינהל תפעול 2025 '!L36</f>
        <v>240000</v>
      </c>
      <c r="M74" s="4">
        <f>'  תקציב מינהל תפעול 2025 '!M36</f>
        <v>0</v>
      </c>
      <c r="N74" s="4">
        <f>'  תקציב מינהל תפעול 2025 '!N36</f>
        <v>0</v>
      </c>
      <c r="O74" s="4">
        <f>'  תקציב מינהל תפעול 2025 '!O36</f>
        <v>1120000</v>
      </c>
      <c r="P74" s="4">
        <f>'  תקציב מינהל תפעול 2025 '!P36</f>
        <v>0</v>
      </c>
      <c r="Q74" s="4">
        <f>'  תקציב מינהל תפעול 2025 '!Q36</f>
        <v>0</v>
      </c>
      <c r="R74" s="4">
        <f>'  תקציב מינהל תפעול 2025 '!R36</f>
        <v>0</v>
      </c>
      <c r="S74" s="4">
        <f>'  תקציב מינהל תפעול 2025 '!S36</f>
        <v>0</v>
      </c>
      <c r="T74" s="4">
        <f>'  תקציב מינהל תפעול 2025 '!T36</f>
        <v>0</v>
      </c>
      <c r="U74" s="4">
        <f>'  תקציב מינהל תפעול 2025 '!U36</f>
        <v>0</v>
      </c>
      <c r="V74" s="4">
        <f>'  תקציב מינהל תפעול 2025 '!V36</f>
        <v>0</v>
      </c>
      <c r="W74" s="4">
        <f>'  תקציב מינהל תפעול 2025 '!W36</f>
        <v>0</v>
      </c>
      <c r="X74" s="4">
        <f>'  תקציב מינהל תפעול 2025 '!X36</f>
        <v>0</v>
      </c>
      <c r="Y74" s="4">
        <f>'  תקציב מינהל תפעול 2025 '!Y36</f>
        <v>0</v>
      </c>
      <c r="Z74" s="4">
        <f>'  תקציב מינהל תפעול 2025 '!Z36</f>
        <v>0</v>
      </c>
      <c r="AA74" s="3">
        <f>'  תקציב מינהל תפעול 2025 '!AA36</f>
        <v>0</v>
      </c>
      <c r="AB74" s="202" t="str">
        <f>'  תקציב מינהל תפעול 2025 '!AB36</f>
        <v>בניית מרחבי למידה  ב - 17 בי"ס . מימון מלא מ. החינוך.</v>
      </c>
      <c r="AC74" s="3">
        <f>'  תקציב מינהל תפעול 2025 '!AC36</f>
        <v>810000</v>
      </c>
      <c r="BA74" s="16"/>
      <c r="BB74" s="16"/>
      <c r="BC74" s="16"/>
      <c r="BD74" s="16"/>
      <c r="BE74" s="16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</row>
    <row r="75" spans="1:68" ht="45.75" customHeight="1">
      <c r="A75" s="3">
        <f t="shared" si="8"/>
        <v>14</v>
      </c>
      <c r="B75" s="3">
        <f>'  תקציב מינהל תפעול 2025 '!B39</f>
        <v>2140</v>
      </c>
      <c r="C75" s="202" t="str">
        <f>'  תקציב מינהל תפעול 2025 '!C39</f>
        <v>נגישות אקוסטית 2019 מ. החינוך</v>
      </c>
      <c r="D75" s="4">
        <f>'  תקציב מינהל תפעול 2025 '!D39</f>
        <v>283122</v>
      </c>
      <c r="E75" s="4">
        <f>'  תקציב מינהל תפעול 2025 '!E39</f>
        <v>360000</v>
      </c>
      <c r="F75" s="4">
        <f>'  תקציב מינהל תפעול 2025 '!F39</f>
        <v>-76878</v>
      </c>
      <c r="G75" s="4">
        <f>'  תקציב מינהל תפעול 2025 '!G39</f>
        <v>283122</v>
      </c>
      <c r="H75" s="4">
        <f>'  תקציב מינהל תפעול 2025 '!H39</f>
        <v>283122</v>
      </c>
      <c r="I75" s="4">
        <f>'  תקציב מינהל תפעול 2025 '!I39</f>
        <v>0</v>
      </c>
      <c r="J75" s="4">
        <f>'  תקציב מינהל תפעול 2025 '!J39</f>
        <v>0</v>
      </c>
      <c r="K75" s="4">
        <f>'  תקציב מינהל תפעול 2025 '!K39</f>
        <v>0</v>
      </c>
      <c r="L75" s="4">
        <f>'  תקציב מינהל תפעול 2025 '!L39</f>
        <v>283122</v>
      </c>
      <c r="M75" s="4">
        <f>'  תקציב מינהל תפעול 2025 '!M39</f>
        <v>0</v>
      </c>
      <c r="N75" s="4">
        <f>'  תקציב מינהל תפעול 2025 '!N39</f>
        <v>0</v>
      </c>
      <c r="O75" s="4">
        <f>'  תקציב מינהל תפעול 2025 '!O39</f>
        <v>0</v>
      </c>
      <c r="P75" s="4">
        <f>'  תקציב מינהל תפעול 2025 '!P39</f>
        <v>0</v>
      </c>
      <c r="Q75" s="4">
        <f>'  תקציב מינהל תפעול 2025 '!Q39</f>
        <v>0</v>
      </c>
      <c r="R75" s="4">
        <f>'  תקציב מינהל תפעול 2025 '!R39</f>
        <v>0</v>
      </c>
      <c r="S75" s="4">
        <f>'  תקציב מינהל תפעול 2025 '!S39</f>
        <v>0</v>
      </c>
      <c r="T75" s="4">
        <f>'  תקציב מינהל תפעול 2025 '!T39</f>
        <v>0</v>
      </c>
      <c r="U75" s="4">
        <f>'  תקציב מינהל תפעול 2025 '!U39</f>
        <v>0</v>
      </c>
      <c r="V75" s="4">
        <f>'  תקציב מינהל תפעול 2025 '!V39</f>
        <v>0</v>
      </c>
      <c r="W75" s="4">
        <f>'  תקציב מינהל תפעול 2025 '!W39</f>
        <v>0</v>
      </c>
      <c r="X75" s="4">
        <f>'  תקציב מינהל תפעול 2025 '!X39</f>
        <v>0</v>
      </c>
      <c r="Y75" s="4">
        <f>'  תקציב מינהל תפעול 2025 '!Y39</f>
        <v>0</v>
      </c>
      <c r="Z75" s="4">
        <f>'  תקציב מינהל תפעול 2025 '!Z39</f>
        <v>0</v>
      </c>
      <c r="AA75" s="3">
        <f>'  תקציב מינהל תפעול 2025 '!AA39</f>
        <v>0</v>
      </c>
      <c r="AB75" s="202" t="str">
        <f>'  תקציב מינהל תפעול 2025 '!AB39</f>
        <v xml:space="preserve">מימון מ. החינוך.  ייסגר עם קבלת תקבול מ. החינוך. </v>
      </c>
      <c r="AC75" s="3">
        <f>'  תקציב מינהל תפעול 2025 '!AC39</f>
        <v>810000</v>
      </c>
    </row>
    <row r="76" spans="1:68" ht="53.25" customHeight="1">
      <c r="A76" s="3">
        <f t="shared" si="8"/>
        <v>15</v>
      </c>
      <c r="B76" s="3">
        <f>'  תקציב מינהל תפעול 2025 '!B41</f>
        <v>2160</v>
      </c>
      <c r="C76" s="202" t="str">
        <f>'  תקציב מינהל תפעול 2025 '!C41</f>
        <v xml:space="preserve">עיצוב חדשני של כיתות האם </v>
      </c>
      <c r="D76" s="4">
        <f>'  תקציב מינהל תפעול 2025 '!D41</f>
        <v>210000</v>
      </c>
      <c r="E76" s="4">
        <f>'  תקציב מינהל תפעול 2025 '!E41</f>
        <v>210000</v>
      </c>
      <c r="F76" s="4">
        <f>'  תקציב מינהל תפעול 2025 '!F41</f>
        <v>0</v>
      </c>
      <c r="G76" s="4">
        <f>'  תקציב מינהל תפעול 2025 '!G41</f>
        <v>210000</v>
      </c>
      <c r="H76" s="4">
        <f>'  תקציב מינהל תפעול 2025 '!H41</f>
        <v>0</v>
      </c>
      <c r="I76" s="4">
        <f>'  תקציב מינהל תפעול 2025 '!I41</f>
        <v>0</v>
      </c>
      <c r="J76" s="4">
        <f>'  תקציב מינהל תפעול 2025 '!J41</f>
        <v>208441</v>
      </c>
      <c r="K76" s="4">
        <f>'  תקציב מינהל תפעול 2025 '!K41</f>
        <v>208441</v>
      </c>
      <c r="L76" s="4">
        <f>'  תקציב מינהל תפעול 2025 '!L41</f>
        <v>208441</v>
      </c>
      <c r="M76" s="4">
        <f>'  תקציב מינהל תפעול 2025 '!M41</f>
        <v>1559</v>
      </c>
      <c r="N76" s="4">
        <f>'  תקציב מינהל תפעול 2025 '!N41</f>
        <v>0</v>
      </c>
      <c r="O76" s="4">
        <f>'  תקציב מינהל תפעול 2025 '!O41</f>
        <v>0</v>
      </c>
      <c r="P76" s="4">
        <f>'  תקציב מינהל תפעול 2025 '!P41</f>
        <v>1559</v>
      </c>
      <c r="Q76" s="311">
        <f>'  תקציב מינהל תפעול 2025 '!Q41</f>
        <v>0</v>
      </c>
      <c r="R76" s="4">
        <f>'  תקציב מינהל תפעול 2025 '!R41</f>
        <v>0</v>
      </c>
      <c r="S76" s="4">
        <f>'  תקציב מינהל תפעול 2025 '!S41</f>
        <v>0</v>
      </c>
      <c r="T76" s="4">
        <f>'  תקציב מינהל תפעול 2025 '!T41</f>
        <v>0</v>
      </c>
      <c r="U76" s="4">
        <f>'  תקציב מינהל תפעול 2025 '!U41</f>
        <v>0</v>
      </c>
      <c r="V76" s="4">
        <f>'  תקציב מינהל תפעול 2025 '!V41</f>
        <v>0</v>
      </c>
      <c r="W76" s="4">
        <f>'  תקציב מינהל תפעול 2025 '!W41</f>
        <v>0</v>
      </c>
      <c r="X76" s="4">
        <f>'  תקציב מינהל תפעול 2025 '!X41</f>
        <v>0</v>
      </c>
      <c r="Y76" s="4">
        <f>'  תקציב מינהל תפעול 2025 '!Y41</f>
        <v>0</v>
      </c>
      <c r="Z76" s="4">
        <f>'  תקציב מינהל תפעול 2025 '!Z41</f>
        <v>0</v>
      </c>
      <c r="AA76" s="3">
        <f>'  תקציב מינהל תפעול 2025 '!AA41</f>
        <v>0</v>
      </c>
      <c r="AB76" s="202" t="str">
        <f>'  תקציב מינהל תפעול 2025 '!AB41</f>
        <v>הקמת מרחבי למידה חדשניים בשכבת כיתות ז' בחט"ב רעות הכולל ריהוט ועיצוב פנים. התב"ר לסגירה. עבר ממינהל חינוך.</v>
      </c>
      <c r="AC76" s="3">
        <f>'  תקציב מינהל תפעול 2025 '!AC41</f>
        <v>810000</v>
      </c>
      <c r="BA76" s="16"/>
      <c r="BB76" s="16"/>
      <c r="BC76" s="16"/>
      <c r="BD76" s="16"/>
      <c r="BE76" s="16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</row>
    <row r="77" spans="1:68" ht="45">
      <c r="A77" s="3">
        <f t="shared" si="8"/>
        <v>16</v>
      </c>
      <c r="B77" s="3">
        <f>'  תקציב מינהל תפעול 2025 '!B45</f>
        <v>2177</v>
      </c>
      <c r="C77" s="202" t="str">
        <f>'  תקציב מינהל תפעול 2025 '!C45</f>
        <v>תוכ. אב רב שנתית שיפוצים מוס"ח 2021  ואילך.</v>
      </c>
      <c r="D77" s="4">
        <f>'  תקציב מינהל תפעול 2025 '!D45</f>
        <v>12500000</v>
      </c>
      <c r="E77" s="4">
        <f>'  תקציב מינהל תפעול 2025 '!E45</f>
        <v>12500000</v>
      </c>
      <c r="F77" s="4">
        <f>'  תקציב מינהל תפעול 2025 '!F45</f>
        <v>0</v>
      </c>
      <c r="G77" s="4">
        <f>'  תקציב מינהל תפעול 2025 '!G45</f>
        <v>12500000</v>
      </c>
      <c r="H77" s="4">
        <f>'  תקציב מינהל תפעול 2025 '!H45</f>
        <v>12273451</v>
      </c>
      <c r="I77" s="4">
        <f>'  תקציב מינהל תפעול 2025 '!I45</f>
        <v>0</v>
      </c>
      <c r="J77" s="4">
        <f>'  תקציב מינהל תפעול 2025 '!J45</f>
        <v>226000</v>
      </c>
      <c r="K77" s="4">
        <f>'  תקציב מינהל תפעול 2025 '!K45</f>
        <v>226000</v>
      </c>
      <c r="L77" s="4">
        <f>'  תקציב מינהל תפעול 2025 '!L45</f>
        <v>12499451</v>
      </c>
      <c r="M77" s="4">
        <f>'  תקציב מינהל תפעול 2025 '!M45</f>
        <v>549</v>
      </c>
      <c r="N77" s="4">
        <f>'  תקציב מינהל תפעול 2025 '!N45</f>
        <v>0</v>
      </c>
      <c r="O77" s="4">
        <f>'  תקציב מינהל תפעול 2025 '!O45</f>
        <v>0</v>
      </c>
      <c r="P77" s="4">
        <f>'  תקציב מינהל תפעול 2025 '!P45</f>
        <v>549</v>
      </c>
      <c r="Q77" s="311">
        <f>'  תקציב מינהל תפעול 2025 '!Q45</f>
        <v>0</v>
      </c>
      <c r="R77" s="4">
        <f>'  תקציב מינהל תפעול 2025 '!R45</f>
        <v>0</v>
      </c>
      <c r="S77" s="4">
        <f>'  תקציב מינהל תפעול 2025 '!S45</f>
        <v>0</v>
      </c>
      <c r="T77" s="4">
        <f>'  תקציב מינהל תפעול 2025 '!T45</f>
        <v>0</v>
      </c>
      <c r="U77" s="4">
        <f>'  תקציב מינהל תפעול 2025 '!U45</f>
        <v>0</v>
      </c>
      <c r="V77" s="4">
        <f>'  תקציב מינהל תפעול 2025 '!V45</f>
        <v>0</v>
      </c>
      <c r="W77" s="4">
        <f>'  תקציב מינהל תפעול 2025 '!W45</f>
        <v>0</v>
      </c>
      <c r="X77" s="4">
        <f>'  תקציב מינהל תפעול 2025 '!X45</f>
        <v>0</v>
      </c>
      <c r="Y77" s="4">
        <f>'  תקציב מינהל תפעול 2025 '!Y45</f>
        <v>0</v>
      </c>
      <c r="Z77" s="4">
        <f>'  תקציב מינהל תפעול 2025 '!Z45</f>
        <v>0</v>
      </c>
      <c r="AA77" s="3">
        <f>'  תקציב מינהל תפעול 2025 '!AA45</f>
        <v>0</v>
      </c>
      <c r="AB77" s="202" t="str">
        <f>'  תקציב מינהל תפעול 2025 '!AB45</f>
        <v>סל עבודות במוס"ח לרבות שיפוצים יסודיים , התאמת מבנים ושדרוג גנ"י . לקראת סיום.</v>
      </c>
      <c r="AC77" s="3">
        <f>'  תקציב מינהל תפעול 2025 '!AC45</f>
        <v>810000</v>
      </c>
    </row>
    <row r="78" spans="1:68" ht="30">
      <c r="A78" s="3">
        <f t="shared" si="8"/>
        <v>17</v>
      </c>
      <c r="B78" s="3">
        <f>'  תקציב מינהל תפעול 2025 '!B48</f>
        <v>2187</v>
      </c>
      <c r="C78" s="202" t="str">
        <f>'  תקציב מינהל תפעול 2025 '!C48</f>
        <v>בי"ס חלופי בפארק הרצליה</v>
      </c>
      <c r="D78" s="4">
        <f>'  תקציב מינהל תפעול 2025 '!D48</f>
        <v>9900000</v>
      </c>
      <c r="E78" s="4">
        <f>'  תקציב מינהל תפעול 2025 '!E48</f>
        <v>9900000</v>
      </c>
      <c r="F78" s="4">
        <f>'  תקציב מינהל תפעול 2025 '!F48</f>
        <v>0</v>
      </c>
      <c r="G78" s="4">
        <f>'  תקציב מינהל תפעול 2025 '!G48</f>
        <v>9900000</v>
      </c>
      <c r="H78" s="4">
        <f>'  תקציב מינהל תפעול 2025 '!H48</f>
        <v>9895014</v>
      </c>
      <c r="I78" s="4">
        <f>'  תקציב מינהל תפעול 2025 '!I48</f>
        <v>0</v>
      </c>
      <c r="J78" s="4">
        <f>'  תקציב מינהל תפעול 2025 '!J48</f>
        <v>0</v>
      </c>
      <c r="K78" s="4">
        <f>'  תקציב מינהל תפעול 2025 '!K48</f>
        <v>0</v>
      </c>
      <c r="L78" s="4">
        <f>'  תקציב מינהל תפעול 2025 '!L48</f>
        <v>9895014</v>
      </c>
      <c r="M78" s="4">
        <f>'  תקציב מינהל תפעול 2025 '!M48</f>
        <v>4986</v>
      </c>
      <c r="N78" s="4">
        <f>'  תקציב מינהל תפעול 2025 '!N48</f>
        <v>0</v>
      </c>
      <c r="O78" s="4">
        <f>'  תקציב מינהל תפעול 2025 '!O48</f>
        <v>0</v>
      </c>
      <c r="P78" s="4">
        <f>'  תקציב מינהל תפעול 2025 '!P48</f>
        <v>4986</v>
      </c>
      <c r="Q78" s="311">
        <f>'  תקציב מינהל תפעול 2025 '!Q48</f>
        <v>0</v>
      </c>
      <c r="R78" s="4">
        <f>'  תקציב מינהל תפעול 2025 '!R48</f>
        <v>0</v>
      </c>
      <c r="S78" s="4">
        <f>'  תקציב מינהל תפעול 2025 '!S48</f>
        <v>0</v>
      </c>
      <c r="T78" s="4">
        <f>'  תקציב מינהל תפעול 2025 '!T48</f>
        <v>0</v>
      </c>
      <c r="U78" s="4">
        <f>'  תקציב מינהל תפעול 2025 '!U48</f>
        <v>0</v>
      </c>
      <c r="V78" s="4">
        <f>'  תקציב מינהל תפעול 2025 '!V48</f>
        <v>0</v>
      </c>
      <c r="W78" s="4">
        <f>'  תקציב מינהל תפעול 2025 '!W48</f>
        <v>0</v>
      </c>
      <c r="X78" s="4">
        <f>'  תקציב מינהל תפעול 2025 '!X48</f>
        <v>0</v>
      </c>
      <c r="Y78" s="4">
        <f>'  תקציב מינהל תפעול 2025 '!Y48</f>
        <v>0</v>
      </c>
      <c r="Z78" s="4">
        <f>'  תקציב מינהל תפעול 2025 '!Z48</f>
        <v>0</v>
      </c>
      <c r="AA78" s="3">
        <f>'  תקציב מינהל תפעול 2025 '!AA48</f>
        <v>0</v>
      </c>
      <c r="AB78" s="202" t="str">
        <f>'  תקציב מינהל תפעול 2025 '!AB48</f>
        <v>השלמת תכנון וביצוע הקמת בי"ס חלופי בפארק. מימון מ. החינוך.חן סופיים.</v>
      </c>
      <c r="AC78" s="3">
        <f>'  תקציב מינהל תפעול 2025 '!AC48</f>
        <v>810000</v>
      </c>
    </row>
    <row r="79" spans="1:68" ht="30">
      <c r="A79" s="3">
        <f t="shared" si="8"/>
        <v>18</v>
      </c>
      <c r="B79" s="3">
        <f>'  תקציב מינהל תפעול 2025 '!B49</f>
        <v>2215</v>
      </c>
      <c r="C79" s="202" t="str">
        <f>'  תקציב מינהל תפעול 2025 '!C49</f>
        <v>נגישות אקוסטית 2020 מ. החינוך</v>
      </c>
      <c r="D79" s="4">
        <f>'  תקציב מינהל תפעול 2025 '!D49</f>
        <v>396410</v>
      </c>
      <c r="E79" s="4">
        <f>'  תקציב מינהל תפעול 2025 '!E49</f>
        <v>420000</v>
      </c>
      <c r="F79" s="4">
        <f>'  תקציב מינהל תפעול 2025 '!F49</f>
        <v>-23590</v>
      </c>
      <c r="G79" s="4">
        <f>'  תקציב מינהל תפעול 2025 '!G49</f>
        <v>396410</v>
      </c>
      <c r="H79" s="4">
        <f>'  תקציב מינהל תפעול 2025 '!H49</f>
        <v>396410</v>
      </c>
      <c r="I79" s="4">
        <f>'  תקציב מינהל תפעול 2025 '!I49</f>
        <v>0</v>
      </c>
      <c r="J79" s="4">
        <f>'  תקציב מינהל תפעול 2025 '!J49</f>
        <v>0</v>
      </c>
      <c r="K79" s="4">
        <f>'  תקציב מינהל תפעול 2025 '!K49</f>
        <v>0</v>
      </c>
      <c r="L79" s="4">
        <f>'  תקציב מינהל תפעול 2025 '!L49</f>
        <v>396410</v>
      </c>
      <c r="M79" s="4">
        <f>'  תקציב מינהל תפעול 2025 '!M49</f>
        <v>0</v>
      </c>
      <c r="N79" s="4">
        <f>'  תקציב מינהל תפעול 2025 '!N49</f>
        <v>0</v>
      </c>
      <c r="O79" s="4">
        <f>'  תקציב מינהל תפעול 2025 '!O49</f>
        <v>0</v>
      </c>
      <c r="P79" s="4">
        <f>'  תקציב מינהל תפעול 2025 '!P49</f>
        <v>0</v>
      </c>
      <c r="Q79" s="311">
        <f>'  תקציב מינהל תפעול 2025 '!Q49</f>
        <v>0</v>
      </c>
      <c r="R79" s="4">
        <f>'  תקציב מינהל תפעול 2025 '!R49</f>
        <v>0</v>
      </c>
      <c r="S79" s="4">
        <f>'  תקציב מינהל תפעול 2025 '!S49</f>
        <v>0</v>
      </c>
      <c r="T79" s="4">
        <f>'  תקציב מינהל תפעול 2025 '!T49</f>
        <v>0</v>
      </c>
      <c r="U79" s="4">
        <f>'  תקציב מינהל תפעול 2025 '!U49</f>
        <v>0</v>
      </c>
      <c r="V79" s="4">
        <f>'  תקציב מינהל תפעול 2025 '!V49</f>
        <v>0</v>
      </c>
      <c r="W79" s="4">
        <f>'  תקציב מינהל תפעול 2025 '!W49</f>
        <v>0</v>
      </c>
      <c r="X79" s="4">
        <f>'  תקציב מינהל תפעול 2025 '!X49</f>
        <v>0</v>
      </c>
      <c r="Y79" s="4">
        <f>'  תקציב מינהל תפעול 2025 '!Y49</f>
        <v>0</v>
      </c>
      <c r="Z79" s="4">
        <f>'  תקציב מינהל תפעול 2025 '!Z49</f>
        <v>0</v>
      </c>
      <c r="AA79" s="3">
        <f>'  תקציב מינהל תפעול 2025 '!AA49</f>
        <v>0</v>
      </c>
      <c r="AB79" s="202" t="str">
        <f>'  תקציב מינהל תפעול 2025 '!AB49</f>
        <v xml:space="preserve">נגישות אקוסטית גנ"י וכיתות בי"ס . מימון מ.החינוך. </v>
      </c>
      <c r="AC79" s="3">
        <f>'  תקציב מינהל תפעול 2025 '!AC49</f>
        <v>810000</v>
      </c>
    </row>
    <row r="80" spans="1:68" ht="27.75" customHeight="1">
      <c r="A80" s="3">
        <f t="shared" si="8"/>
        <v>19</v>
      </c>
      <c r="B80" s="3">
        <f>'  תקציב מינהל תפעול 2025 '!B50</f>
        <v>2216</v>
      </c>
      <c r="C80" s="202" t="str">
        <f>'  תקציב מינהל תפעול 2025 '!C50</f>
        <v>שיקום מבנה החינוך הימי במרינה</v>
      </c>
      <c r="D80" s="4">
        <f>'  תקציב מינהל תפעול 2025 '!D50</f>
        <v>7850000</v>
      </c>
      <c r="E80" s="4">
        <f>'  תקציב מינהל תפעול 2025 '!E50</f>
        <v>7850000</v>
      </c>
      <c r="F80" s="4">
        <f>'  תקציב מינהל תפעול 2025 '!F50</f>
        <v>0</v>
      </c>
      <c r="G80" s="4">
        <f>'  תקציב מינהל תפעול 2025 '!G50</f>
        <v>7500000</v>
      </c>
      <c r="H80" s="4">
        <f>'  תקציב מינהל תפעול 2025 '!H50</f>
        <v>7465720</v>
      </c>
      <c r="I80" s="4">
        <f>'  תקציב מינהל תפעול 2025 '!I50</f>
        <v>0</v>
      </c>
      <c r="J80" s="4">
        <f>'  תקציב מינהל תפעול 2025 '!J50</f>
        <v>32875</v>
      </c>
      <c r="K80" s="4">
        <f>'  תקציב מינהל תפעול 2025 '!K50</f>
        <v>32875</v>
      </c>
      <c r="L80" s="4">
        <f>'  תקציב מינהל תפעול 2025 '!L50</f>
        <v>7498595</v>
      </c>
      <c r="M80" s="4">
        <f>'  תקציב מינהל תפעול 2025 '!M50</f>
        <v>351405</v>
      </c>
      <c r="N80" s="4">
        <f>'  תקציב מינהל תפעול 2025 '!N50</f>
        <v>0</v>
      </c>
      <c r="O80" s="4">
        <f>'  תקציב מינהל תפעול 2025 '!O50</f>
        <v>0</v>
      </c>
      <c r="P80" s="4">
        <f>'  תקציב מינהל תפעול 2025 '!P50</f>
        <v>1405</v>
      </c>
      <c r="Q80" s="311">
        <f>'  תקציב מינהל תפעול 2025 '!Q50</f>
        <v>0</v>
      </c>
      <c r="R80" s="4">
        <f>'  תקציב מינהל תפעול 2025 '!R50</f>
        <v>350000</v>
      </c>
      <c r="S80" s="4">
        <f>'  תקציב מינהל תפעול 2025 '!S50</f>
        <v>350000</v>
      </c>
      <c r="T80" s="4">
        <f>'  תקציב מינהל תפעול 2025 '!T50</f>
        <v>0</v>
      </c>
      <c r="U80" s="4">
        <f>'  תקציב מינהל תפעול 2025 '!U50</f>
        <v>0</v>
      </c>
      <c r="V80" s="4">
        <f>'  תקציב מינהל תפעול 2025 '!V50</f>
        <v>0</v>
      </c>
      <c r="W80" s="4">
        <f>'  תקציב מינהל תפעול 2025 '!W50</f>
        <v>0</v>
      </c>
      <c r="X80" s="4">
        <f>'  תקציב מינהל תפעול 2025 '!X50</f>
        <v>0</v>
      </c>
      <c r="Y80" s="4">
        <f>'  תקציב מינהל תפעול 2025 '!Y50</f>
        <v>0</v>
      </c>
      <c r="Z80" s="4">
        <f>'  תקציב מינהל תפעול 2025 '!Z50</f>
        <v>0</v>
      </c>
      <c r="AA80" s="3">
        <f>'  תקציב מינהל תפעול 2025 '!AA50</f>
        <v>0</v>
      </c>
      <c r="AB80" s="202" t="str">
        <f>'  תקציב מינהל תפעול 2025 '!AB50</f>
        <v>שיקום המבנה גג המבנה, שרותים ועבודות פיתוח.</v>
      </c>
      <c r="AC80" s="3">
        <f>'  תקציב מינהל תפעול 2025 '!AC50</f>
        <v>810000</v>
      </c>
    </row>
    <row r="81" spans="1:68" ht="73.5" customHeight="1">
      <c r="A81" s="3">
        <f t="shared" si="8"/>
        <v>20</v>
      </c>
      <c r="B81" s="3">
        <f>'  תקציב מינהל תפעול 2025 '!B52</f>
        <v>2225</v>
      </c>
      <c r="C81" s="202" t="str">
        <f>'  תקציב מינהל תפעול 2025 '!C52</f>
        <v>נגישות אקוסטית 2020 מ. החינוך</v>
      </c>
      <c r="D81" s="4">
        <f>'  תקציב מינהל תפעול 2025 '!D52</f>
        <v>90000</v>
      </c>
      <c r="E81" s="4">
        <f>'  תקציב מינהל תפעול 2025 '!E52</f>
        <v>150000</v>
      </c>
      <c r="F81" s="4">
        <f>'  תקציב מינהל תפעול 2025 '!F52</f>
        <v>-60000</v>
      </c>
      <c r="G81" s="4">
        <f>'  תקציב מינהל תפעול 2025 '!G52</f>
        <v>90000</v>
      </c>
      <c r="H81" s="4">
        <f>'  תקציב מינהל תפעול 2025 '!H52</f>
        <v>73365</v>
      </c>
      <c r="I81" s="4">
        <f>'  תקציב מינהל תפעול 2025 '!I52</f>
        <v>0</v>
      </c>
      <c r="J81" s="4">
        <f>'  תקציב מינהל תפעול 2025 '!J52</f>
        <v>0</v>
      </c>
      <c r="K81" s="4">
        <f>'  תקציב מינהל תפעול 2025 '!K52</f>
        <v>0</v>
      </c>
      <c r="L81" s="4">
        <f>'  תקציב מינהל תפעול 2025 '!L52</f>
        <v>73365</v>
      </c>
      <c r="M81" s="4">
        <f>'  תקציב מינהל תפעול 2025 '!M52</f>
        <v>16635</v>
      </c>
      <c r="N81" s="4">
        <f>'  תקציב מינהל תפעול 2025 '!N52</f>
        <v>0</v>
      </c>
      <c r="O81" s="4">
        <f>'  תקציב מינהל תפעול 2025 '!O52</f>
        <v>0</v>
      </c>
      <c r="P81" s="4">
        <f>'  תקציב מינהל תפעול 2025 '!P52</f>
        <v>16635</v>
      </c>
      <c r="Q81" s="311">
        <f>'  תקציב מינהל תפעול 2025 '!Q52</f>
        <v>0</v>
      </c>
      <c r="R81" s="4">
        <f>'  תקציב מינהל תפעול 2025 '!R52</f>
        <v>0</v>
      </c>
      <c r="S81" s="4">
        <f>'  תקציב מינהל תפעול 2025 '!S52</f>
        <v>0</v>
      </c>
      <c r="T81" s="4">
        <f>'  תקציב מינהל תפעול 2025 '!T52</f>
        <v>0</v>
      </c>
      <c r="U81" s="4">
        <f>'  תקציב מינהל תפעול 2025 '!U52</f>
        <v>0</v>
      </c>
      <c r="V81" s="4">
        <f>'  תקציב מינהל תפעול 2025 '!V52</f>
        <v>0</v>
      </c>
      <c r="W81" s="4">
        <f>'  תקציב מינהל תפעול 2025 '!W52</f>
        <v>0</v>
      </c>
      <c r="X81" s="4">
        <f>'  תקציב מינהל תפעול 2025 '!X52</f>
        <v>0</v>
      </c>
      <c r="Y81" s="4">
        <f>'  תקציב מינהל תפעול 2025 '!Y52</f>
        <v>0</v>
      </c>
      <c r="Z81" s="4">
        <f>'  תקציב מינהל תפעול 2025 '!Z52</f>
        <v>0</v>
      </c>
      <c r="AA81" s="3">
        <f>'  תקציב מינהל תפעול 2025 '!AA52</f>
        <v>0</v>
      </c>
      <c r="AB81" s="202" t="str">
        <f>'  תקציב מינהל תפעול 2025 '!AB52</f>
        <v>נגישות אקוסטית כיתות בי"ס בו צבי, ראשונים,ברנר . מימון מ.החינוך.</v>
      </c>
      <c r="AC81" s="3">
        <f>'  תקציב מינהל תפעול 2025 '!AC52</f>
        <v>810000</v>
      </c>
    </row>
    <row r="82" spans="1:68" ht="30">
      <c r="A82" s="3">
        <f t="shared" si="8"/>
        <v>21</v>
      </c>
      <c r="B82" s="3">
        <f>'  תקציב מינהל תפעול 2025 '!B53</f>
        <v>2234</v>
      </c>
      <c r="C82" s="202" t="str">
        <f>'  תקציב מינהל תפעול 2025 '!C53</f>
        <v>נגישות אקוסטית 2021 מ.החינוך</v>
      </c>
      <c r="D82" s="4">
        <f>'  תקציב מינהל תפעול 2025 '!D53</f>
        <v>270000</v>
      </c>
      <c r="E82" s="4">
        <f>'  תקציב מינהל תפעול 2025 '!E53</f>
        <v>270000</v>
      </c>
      <c r="F82" s="4">
        <f>'  תקציב מינהל תפעול 2025 '!F53</f>
        <v>0</v>
      </c>
      <c r="G82" s="4">
        <f>'  תקציב מינהל תפעול 2025 '!G53</f>
        <v>270000</v>
      </c>
      <c r="H82" s="4">
        <f>'  תקציב מינהל תפעול 2025 '!H53</f>
        <v>197586</v>
      </c>
      <c r="I82" s="4">
        <f>'  תקציב מינהל תפעול 2025 '!I53</f>
        <v>0</v>
      </c>
      <c r="J82" s="4">
        <f>'  תקציב מינהל תפעול 2025 '!J53</f>
        <v>0</v>
      </c>
      <c r="K82" s="4">
        <f>'  תקציב מינהל תפעול 2025 '!K53</f>
        <v>0</v>
      </c>
      <c r="L82" s="4">
        <f>'  תקציב מינהל תפעול 2025 '!L53</f>
        <v>197586</v>
      </c>
      <c r="M82" s="4">
        <f>'  תקציב מינהל תפעול 2025 '!M53</f>
        <v>72414</v>
      </c>
      <c r="N82" s="4">
        <f>'  תקציב מינהל תפעול 2025 '!N53</f>
        <v>0</v>
      </c>
      <c r="O82" s="4">
        <f>'  תקציב מינהל תפעול 2025 '!O53</f>
        <v>0</v>
      </c>
      <c r="P82" s="4">
        <f>'  תקציב מינהל תפעול 2025 '!P53</f>
        <v>72414</v>
      </c>
      <c r="Q82" s="4">
        <f>'  תקציב מינהל תפעול 2025 '!Q53</f>
        <v>0</v>
      </c>
      <c r="R82" s="4">
        <f>'  תקציב מינהל תפעול 2025 '!R53</f>
        <v>0</v>
      </c>
      <c r="S82" s="4">
        <f>'  תקציב מינהל תפעול 2025 '!S53</f>
        <v>0</v>
      </c>
      <c r="T82" s="4">
        <f>'  תקציב מינהל תפעול 2025 '!T53</f>
        <v>0</v>
      </c>
      <c r="U82" s="4">
        <f>'  תקציב מינהל תפעול 2025 '!U53</f>
        <v>0</v>
      </c>
      <c r="V82" s="4">
        <f>'  תקציב מינהל תפעול 2025 '!V53</f>
        <v>0</v>
      </c>
      <c r="W82" s="4">
        <f>'  תקציב מינהל תפעול 2025 '!W53</f>
        <v>0</v>
      </c>
      <c r="X82" s="4">
        <f>'  תקציב מינהל תפעול 2025 '!X53</f>
        <v>0</v>
      </c>
      <c r="Y82" s="4">
        <f>'  תקציב מינהל תפעול 2025 '!Y53</f>
        <v>0</v>
      </c>
      <c r="Z82" s="4">
        <f>'  תקציב מינהל תפעול 2025 '!Z53</f>
        <v>0</v>
      </c>
      <c r="AA82" s="3">
        <f>'  תקציב מינהל תפעול 2025 '!AA53</f>
        <v>0</v>
      </c>
      <c r="AB82" s="202" t="str">
        <f>'  תקציב מינהל תפעול 2025 '!AB53</f>
        <v>נגישות אקוסטית 9 כיתות. מימון מ. החינוך.</v>
      </c>
      <c r="AC82" s="3">
        <f>'  תקציב מינהל תפעול 2025 '!AC53</f>
        <v>810000</v>
      </c>
    </row>
    <row r="83" spans="1:68" ht="30">
      <c r="A83" s="3">
        <f t="shared" si="8"/>
        <v>22</v>
      </c>
      <c r="B83" s="3">
        <f>'  תקציב מינהל תפעול 2025 '!B55</f>
        <v>2236</v>
      </c>
      <c r="C83" s="202" t="str">
        <f>'  תקציב מינהל תפעול 2025 '!C55</f>
        <v>נגישות אקוסטית 2021 מ.החינוך</v>
      </c>
      <c r="D83" s="4">
        <f>'  תקציב מינהל תפעול 2025 '!D55</f>
        <v>180000</v>
      </c>
      <c r="E83" s="4">
        <f>'  תקציב מינהל תפעול 2025 '!E55</f>
        <v>180000</v>
      </c>
      <c r="F83" s="4">
        <f>'  תקציב מינהל תפעול 2025 '!F55</f>
        <v>0</v>
      </c>
      <c r="G83" s="4">
        <f>'  תקציב מינהל תפעול 2025 '!G55</f>
        <v>180000</v>
      </c>
      <c r="H83" s="4">
        <f>'  תקציב מינהל תפעול 2025 '!H55</f>
        <v>116522</v>
      </c>
      <c r="I83" s="4">
        <f>'  תקציב מינהל תפעול 2025 '!I55</f>
        <v>0</v>
      </c>
      <c r="J83" s="4">
        <f>'  תקציב מינהל תפעול 2025 '!J55</f>
        <v>0</v>
      </c>
      <c r="K83" s="4">
        <f>'  תקציב מינהל תפעול 2025 '!K55</f>
        <v>0</v>
      </c>
      <c r="L83" s="4">
        <f>'  תקציב מינהל תפעול 2025 '!L55</f>
        <v>116522</v>
      </c>
      <c r="M83" s="4">
        <f>'  תקציב מינהל תפעול 2025 '!M55</f>
        <v>63478</v>
      </c>
      <c r="N83" s="4">
        <f>'  תקציב מינהל תפעול 2025 '!N55</f>
        <v>0</v>
      </c>
      <c r="O83" s="4">
        <f>'  תקציב מינהל תפעול 2025 '!O55</f>
        <v>0</v>
      </c>
      <c r="P83" s="4">
        <f>'  תקציב מינהל תפעול 2025 '!P55</f>
        <v>63478</v>
      </c>
      <c r="Q83" s="4">
        <f>'  תקציב מינהל תפעול 2025 '!Q55</f>
        <v>0</v>
      </c>
      <c r="R83" s="4">
        <f>'  תקציב מינהל תפעול 2025 '!R55</f>
        <v>0</v>
      </c>
      <c r="S83" s="4">
        <f>'  תקציב מינהל תפעול 2025 '!S55</f>
        <v>0</v>
      </c>
      <c r="T83" s="4">
        <f>'  תקציב מינהל תפעול 2025 '!T55</f>
        <v>0</v>
      </c>
      <c r="U83" s="4">
        <f>'  תקציב מינהל תפעול 2025 '!U55</f>
        <v>0</v>
      </c>
      <c r="V83" s="4">
        <f>'  תקציב מינהל תפעול 2025 '!V55</f>
        <v>0</v>
      </c>
      <c r="W83" s="4">
        <f>'  תקציב מינהל תפעול 2025 '!W55</f>
        <v>0</v>
      </c>
      <c r="X83" s="4">
        <f>'  תקציב מינהל תפעול 2025 '!X55</f>
        <v>0</v>
      </c>
      <c r="Y83" s="4">
        <f>'  תקציב מינהל תפעול 2025 '!Y55</f>
        <v>0</v>
      </c>
      <c r="Z83" s="4">
        <f>'  תקציב מינהל תפעול 2025 '!Z55</f>
        <v>0</v>
      </c>
      <c r="AA83" s="3">
        <f>'  תקציב מינהל תפעול 2025 '!AA55</f>
        <v>0</v>
      </c>
      <c r="AB83" s="202" t="str">
        <f>'  תקציב מינהל תפעול 2025 '!AB55</f>
        <v xml:space="preserve">נגישות אקוסטית .מימון מ. החינוך. </v>
      </c>
      <c r="AC83" s="3">
        <f>'  תקציב מינהל תפעול 2025 '!AC55</f>
        <v>810000</v>
      </c>
    </row>
    <row r="84" spans="1:68" ht="29.25" customHeight="1">
      <c r="A84" s="3">
        <f t="shared" si="8"/>
        <v>23</v>
      </c>
      <c r="B84" s="3">
        <f>'  תקציב מינהל תפעול 2025 '!B60</f>
        <v>2242</v>
      </c>
      <c r="C84" s="202" t="str">
        <f>'  תקציב מינהל תפעול 2025 '!C60</f>
        <v>נגישות אקוסטית 2021</v>
      </c>
      <c r="D84" s="4">
        <f>'  תקציב מינהל תפעול 2025 '!D60</f>
        <v>93079</v>
      </c>
      <c r="E84" s="4">
        <f>'  תקציב מינהל תפעול 2025 '!E60</f>
        <v>93079</v>
      </c>
      <c r="F84" s="4">
        <f>'  תקציב מינהל תפעול 2025 '!F60</f>
        <v>0</v>
      </c>
      <c r="G84" s="4">
        <f>'  תקציב מינהל תפעול 2025 '!G60</f>
        <v>93079</v>
      </c>
      <c r="H84" s="4">
        <f>'  תקציב מינהל תפעול 2025 '!H60</f>
        <v>17667</v>
      </c>
      <c r="I84" s="4">
        <f>'  תקציב מינהל תפעול 2025 '!I60</f>
        <v>0</v>
      </c>
      <c r="J84" s="4">
        <f>'  תקציב מינהל תפעול 2025 '!J60</f>
        <v>0</v>
      </c>
      <c r="K84" s="4">
        <f>'  תקציב מינהל תפעול 2025 '!K60</f>
        <v>0</v>
      </c>
      <c r="L84" s="4">
        <f>'  תקציב מינהל תפעול 2025 '!L60</f>
        <v>17667</v>
      </c>
      <c r="M84" s="4">
        <f>'  תקציב מינהל תפעול 2025 '!M60</f>
        <v>75412</v>
      </c>
      <c r="N84" s="4">
        <f>'  תקציב מינהל תפעול 2025 '!N60</f>
        <v>0</v>
      </c>
      <c r="O84" s="4">
        <f>'  תקציב מינהל תפעול 2025 '!O60</f>
        <v>0</v>
      </c>
      <c r="P84" s="4">
        <f>'  תקציב מינהל תפעול 2025 '!P60</f>
        <v>75412</v>
      </c>
      <c r="Q84" s="311">
        <f>'  תקציב מינהל תפעול 2025 '!Q60</f>
        <v>0</v>
      </c>
      <c r="R84" s="4">
        <f>'  תקציב מינהל תפעול 2025 '!R60</f>
        <v>0</v>
      </c>
      <c r="S84" s="4">
        <f>'  תקציב מינהל תפעול 2025 '!S60</f>
        <v>0</v>
      </c>
      <c r="T84" s="4">
        <f>'  תקציב מינהל תפעול 2025 '!T60</f>
        <v>0</v>
      </c>
      <c r="U84" s="4">
        <f>'  תקציב מינהל תפעול 2025 '!U60</f>
        <v>0</v>
      </c>
      <c r="V84" s="4">
        <f>'  תקציב מינהל תפעול 2025 '!V60</f>
        <v>0</v>
      </c>
      <c r="W84" s="4">
        <f>'  תקציב מינהל תפעול 2025 '!W60</f>
        <v>0</v>
      </c>
      <c r="X84" s="4">
        <f>'  תקציב מינהל תפעול 2025 '!X60</f>
        <v>0</v>
      </c>
      <c r="Y84" s="4">
        <f>'  תקציב מינהל תפעול 2025 '!Y60</f>
        <v>0</v>
      </c>
      <c r="Z84" s="4">
        <f>'  תקציב מינהל תפעול 2025 '!Z60</f>
        <v>0</v>
      </c>
      <c r="AA84" s="3">
        <f>'  תקציב מינהל תפעול 2025 '!AA60</f>
        <v>0</v>
      </c>
      <c r="AB84" s="202" t="str">
        <f>'  תקציב מינהל תפעול 2025 '!AB60</f>
        <v>גנ"י זרובבל גליל ים אגמית. מימון  מ. החינוך.</v>
      </c>
      <c r="AC84" s="3">
        <f>'  תקציב מינהל תפעול 2025 '!AC60</f>
        <v>810000</v>
      </c>
    </row>
    <row r="85" spans="1:68" ht="60">
      <c r="A85" s="3">
        <f t="shared" si="8"/>
        <v>24</v>
      </c>
      <c r="B85" s="3">
        <f>'  תקציב מינהל תפעול 2025 '!B64</f>
        <v>20030</v>
      </c>
      <c r="C85" s="202" t="str">
        <f>'  תקציב מינהל תפעול 2025 '!C64</f>
        <v>שיפוצי מוס"ח ע"פ סקרים והערכות לפתיחת שנה"ל</v>
      </c>
      <c r="D85" s="4">
        <f>'  תקציב מינהל תפעול 2025 '!D64</f>
        <v>71669543</v>
      </c>
      <c r="E85" s="4">
        <f>'  תקציב מינהל תפעול 2025 '!E64</f>
        <v>55050000</v>
      </c>
      <c r="F85" s="4">
        <f>'  תקציב מינהל תפעול 2025 '!F64</f>
        <v>16619543</v>
      </c>
      <c r="G85" s="4">
        <f>'  תקציב מינהל תפעול 2025 '!G64</f>
        <v>51669543</v>
      </c>
      <c r="H85" s="4">
        <f>'  תקציב מינהל תפעול 2025 '!H64</f>
        <v>46443660</v>
      </c>
      <c r="I85" s="4">
        <f>'  תקציב מינהל תפעול 2025 '!I64</f>
        <v>0</v>
      </c>
      <c r="J85" s="4">
        <f>'  תקציב מינהל תפעול 2025 '!J64</f>
        <v>4806091</v>
      </c>
      <c r="K85" s="4">
        <f>'  תקציב מינהל תפעול 2025 '!K64</f>
        <v>4806091</v>
      </c>
      <c r="L85" s="4">
        <f>'  תקציב מינהל תפעול 2025 '!L64</f>
        <v>51249751</v>
      </c>
      <c r="M85" s="4">
        <f>'  תקציב מינהל תפעול 2025 '!M64</f>
        <v>419792</v>
      </c>
      <c r="N85" s="360">
        <f>'  תקציב מינהל תפעול 2025 '!N64</f>
        <v>5000000</v>
      </c>
      <c r="O85" s="4">
        <f>'  תקציב מינהל תפעול 2025 '!O64</f>
        <v>15000000</v>
      </c>
      <c r="P85" s="4">
        <f>'  תקציב מינהל תפעול 2025 '!P64</f>
        <v>419792</v>
      </c>
      <c r="Q85" s="361">
        <f>'  תקציב מינהל תפעול 2025 '!Q64</f>
        <v>0</v>
      </c>
      <c r="R85" s="360">
        <f>'  תקציב מינהל תפעול 2025 '!R64</f>
        <v>0</v>
      </c>
      <c r="S85" s="360">
        <f>'  תקציב מינהל תפעול 2025 '!S64</f>
        <v>0</v>
      </c>
      <c r="T85" s="360">
        <f>'  תקציב מינהל תפעול 2025 '!T64</f>
        <v>0</v>
      </c>
      <c r="U85" s="4">
        <f>'  תקציב מינהל תפעול 2025 '!U64</f>
        <v>5000000</v>
      </c>
      <c r="V85" s="4">
        <f>'  תקציב מינהל תפעול 2025 '!V64</f>
        <v>0</v>
      </c>
      <c r="W85" s="4">
        <f>'  תקציב מינהל תפעול 2025 '!W64</f>
        <v>5000000</v>
      </c>
      <c r="X85" s="4">
        <f>'  תקציב מינהל תפעול 2025 '!X64</f>
        <v>0</v>
      </c>
      <c r="Y85" s="4">
        <f>'  תקציב מינהל תפעול 2025 '!Y64</f>
        <v>0</v>
      </c>
      <c r="Z85" s="4">
        <f>'  תקציב מינהל תפעול 2025 '!Z64</f>
        <v>0</v>
      </c>
      <c r="AA85" s="3">
        <f>'  תקציב מינהל תפעול 2025 '!AA64</f>
        <v>0</v>
      </c>
      <c r="AB85" s="202" t="str">
        <f>'  תקציב מינהל תפעול 2025 '!AB64</f>
        <v xml:space="preserve">תקציב מסגרת של עבודות במוס"ח לרבות שיפוצים יסודיים , התאמת מבנים ושדרוג גנ"י על פי תוכנית שתאושר ע"י הנהלת העיר. </v>
      </c>
      <c r="AC85" s="3">
        <f>'  תקציב מינהל תפעול 2025 '!AC64</f>
        <v>810000</v>
      </c>
    </row>
    <row r="86" spans="1:68" ht="63.75" customHeight="1">
      <c r="A86" s="3">
        <f t="shared" si="8"/>
        <v>25</v>
      </c>
      <c r="B86" s="3">
        <f>'  תקציב מינהל תפעול 2025 '!B69</f>
        <v>20054</v>
      </c>
      <c r="C86" s="202" t="str">
        <f>'  תקציב מינהל תפעול 2025 '!C69</f>
        <v>בניית כיתת חינוך מיוחד</v>
      </c>
      <c r="D86" s="4">
        <f>'  תקציב מינהל תפעול 2025 '!D69</f>
        <v>1260000</v>
      </c>
      <c r="E86" s="4">
        <f>'  תקציב מינהל תפעול 2025 '!E69</f>
        <v>1260000</v>
      </c>
      <c r="F86" s="4">
        <f>'  תקציב מינהל תפעול 2025 '!F69</f>
        <v>0</v>
      </c>
      <c r="G86" s="4">
        <f>'  תקציב מינהל תפעול 2025 '!G69</f>
        <v>1260000</v>
      </c>
      <c r="H86" s="4">
        <f>'  תקציב מינהל תפעול 2025 '!H69</f>
        <v>1251321</v>
      </c>
      <c r="I86" s="4">
        <f>'  תקציב מינהל תפעול 2025 '!I69</f>
        <v>0</v>
      </c>
      <c r="J86" s="4">
        <f>'  תקציב מינהל תפעול 2025 '!J69</f>
        <v>0</v>
      </c>
      <c r="K86" s="4">
        <f>'  תקציב מינהל תפעול 2025 '!K69</f>
        <v>0</v>
      </c>
      <c r="L86" s="4">
        <f>'  תקציב מינהל תפעול 2025 '!L69</f>
        <v>1251321</v>
      </c>
      <c r="M86" s="4">
        <f>'  תקציב מינהל תפעול 2025 '!M69</f>
        <v>8679</v>
      </c>
      <c r="N86" s="4">
        <f>'  תקציב מינהל תפעול 2025 '!N69</f>
        <v>0</v>
      </c>
      <c r="O86" s="4">
        <f>'  תקציב מינהל תפעול 2025 '!O69</f>
        <v>0</v>
      </c>
      <c r="P86" s="4">
        <f>'  תקציב מינהל תפעול 2025 '!P69</f>
        <v>8679</v>
      </c>
      <c r="Q86" s="311">
        <f>'  תקציב מינהל תפעול 2025 '!Q69</f>
        <v>0</v>
      </c>
      <c r="R86" s="4">
        <f>'  תקציב מינהל תפעול 2025 '!R69</f>
        <v>0</v>
      </c>
      <c r="S86" s="4">
        <f>'  תקציב מינהל תפעול 2025 '!S69</f>
        <v>0</v>
      </c>
      <c r="T86" s="4">
        <f>'  תקציב מינהל תפעול 2025 '!T69</f>
        <v>0</v>
      </c>
      <c r="U86" s="4">
        <f>'  תקציב מינהל תפעול 2025 '!U69</f>
        <v>0</v>
      </c>
      <c r="V86" s="4">
        <f>'  תקציב מינהל תפעול 2025 '!V69</f>
        <v>0</v>
      </c>
      <c r="W86" s="4">
        <f>'  תקציב מינהל תפעול 2025 '!W69</f>
        <v>0</v>
      </c>
      <c r="X86" s="4">
        <f>'  תקציב מינהל תפעול 2025 '!X69</f>
        <v>0</v>
      </c>
      <c r="Y86" s="4">
        <f>'  תקציב מינהל תפעול 2025 '!Y69</f>
        <v>0</v>
      </c>
      <c r="Z86" s="4">
        <f>'  תקציב מינהל תפעול 2025 '!Z69</f>
        <v>0</v>
      </c>
      <c r="AA86" s="3">
        <f>'  תקציב מינהל תפעול 2025 '!AA69</f>
        <v>0</v>
      </c>
      <c r="AB86" s="202" t="str">
        <f>'  תקציב מינהל תפעול 2025 '!AB69</f>
        <v xml:space="preserve">הסבת מבנה גנים לכיתות בי"ס ח"מ כולל הצטיידות. מימון חלקי מ. החינוך.  ייסגר עם קבלת תקבול מ. החינוך. </v>
      </c>
      <c r="AC86" s="3">
        <f>'  תקציב מינהל תפעול 2025 '!AC69</f>
        <v>810000</v>
      </c>
    </row>
    <row r="87" spans="1:68" ht="30">
      <c r="A87" s="3">
        <f t="shared" si="8"/>
        <v>26</v>
      </c>
      <c r="B87" s="3">
        <f>'  תקציב מינהל תפעול 2025 '!B75</f>
        <v>20073</v>
      </c>
      <c r="C87" s="202" t="str">
        <f>'  תקציב מינהל תפעול 2025 '!C75</f>
        <v>נגישות אקוסטית 2022</v>
      </c>
      <c r="D87" s="4">
        <f>'  תקציב מינהל תפעול 2025 '!D75</f>
        <v>300000</v>
      </c>
      <c r="E87" s="4">
        <f>'  תקציב מינהל תפעול 2025 '!E75</f>
        <v>300000</v>
      </c>
      <c r="F87" s="4">
        <f>'  תקציב מינהל תפעול 2025 '!F75</f>
        <v>0</v>
      </c>
      <c r="G87" s="4">
        <f>'  תקציב מינהל תפעול 2025 '!G75</f>
        <v>300000</v>
      </c>
      <c r="H87" s="4">
        <f>'  תקציב מינהל תפעול 2025 '!H75</f>
        <v>59989</v>
      </c>
      <c r="I87" s="4">
        <f>'  תקציב מינהל תפעול 2025 '!I75</f>
        <v>0</v>
      </c>
      <c r="J87" s="4">
        <f>'  תקציב מינהל תפעול 2025 '!J75</f>
        <v>0</v>
      </c>
      <c r="K87" s="4">
        <f>'  תקציב מינהל תפעול 2025 '!K75</f>
        <v>0</v>
      </c>
      <c r="L87" s="4">
        <f>'  תקציב מינהל תפעול 2025 '!L75</f>
        <v>59989</v>
      </c>
      <c r="M87" s="4">
        <f>'  תקציב מינהל תפעול 2025 '!M75</f>
        <v>240011</v>
      </c>
      <c r="N87" s="4">
        <f>'  תקציב מינהל תפעול 2025 '!N75</f>
        <v>0</v>
      </c>
      <c r="O87" s="4">
        <f>'  תקציב מינהל תפעול 2025 '!O75</f>
        <v>0</v>
      </c>
      <c r="P87" s="4">
        <f>'  תקציב מינהל תפעול 2025 '!P75</f>
        <v>240011</v>
      </c>
      <c r="Q87" s="311">
        <f>'  תקציב מינהל תפעול 2025 '!Q75</f>
        <v>0</v>
      </c>
      <c r="R87" s="4">
        <f>'  תקציב מינהל תפעול 2025 '!R75</f>
        <v>0</v>
      </c>
      <c r="S87" s="4">
        <f>'  תקציב מינהל תפעול 2025 '!S75</f>
        <v>0</v>
      </c>
      <c r="T87" s="4">
        <f>'  תקציב מינהל תפעול 2025 '!T75</f>
        <v>0</v>
      </c>
      <c r="U87" s="4">
        <f>'  תקציב מינהל תפעול 2025 '!U75</f>
        <v>0</v>
      </c>
      <c r="V87" s="4">
        <f>'  תקציב מינהל תפעול 2025 '!V75</f>
        <v>0</v>
      </c>
      <c r="W87" s="4">
        <f>'  תקציב מינהל תפעול 2025 '!W75</f>
        <v>0</v>
      </c>
      <c r="X87" s="4">
        <f>'  תקציב מינהל תפעול 2025 '!X75</f>
        <v>0</v>
      </c>
      <c r="Y87" s="4">
        <f>'  תקציב מינהל תפעול 2025 '!Y75</f>
        <v>0</v>
      </c>
      <c r="Z87" s="4">
        <f>'  תקציב מינהל תפעול 2025 '!Z75</f>
        <v>0</v>
      </c>
      <c r="AA87" s="3">
        <f>'  תקציב מינהל תפעול 2025 '!AA75</f>
        <v>0</v>
      </c>
      <c r="AB87" s="202" t="str">
        <f>'  תקציב מינהל תפעול 2025 '!AB75</f>
        <v>מימון מ. החינוך.</v>
      </c>
      <c r="AC87" s="3">
        <f>'  תקציב מינהל תפעול 2025 '!AC75</f>
        <v>810000</v>
      </c>
    </row>
    <row r="88" spans="1:68" ht="30">
      <c r="A88" s="3">
        <f t="shared" si="8"/>
        <v>27</v>
      </c>
      <c r="B88" s="3">
        <f>'  תקציב מינהל תפעול 2025 '!B77</f>
        <v>20086</v>
      </c>
      <c r="C88" s="202" t="str">
        <f>'  תקציב מינהל תפעול 2025 '!C77</f>
        <v>נגישות אקוסטית 2022</v>
      </c>
      <c r="D88" s="4">
        <f>'  תקציב מינהל תפעול 2025 '!D77</f>
        <v>60000</v>
      </c>
      <c r="E88" s="4">
        <f>'  תקציב מינהל תפעול 2025 '!E77</f>
        <v>60000</v>
      </c>
      <c r="F88" s="4">
        <f>'  תקציב מינהל תפעול 2025 '!F77</f>
        <v>0</v>
      </c>
      <c r="G88" s="4">
        <f>'  תקציב מינהל תפעול 2025 '!G77</f>
        <v>60000</v>
      </c>
      <c r="H88" s="4">
        <f>'  תקציב מינהל תפעול 2025 '!H77</f>
        <v>0</v>
      </c>
      <c r="I88" s="4">
        <f>'  תקציב מינהל תפעול 2025 '!I77</f>
        <v>0</v>
      </c>
      <c r="J88" s="4">
        <f>'  תקציב מינהל תפעול 2025 '!J77</f>
        <v>0</v>
      </c>
      <c r="K88" s="4">
        <f>'  תקציב מינהל תפעול 2025 '!K77</f>
        <v>0</v>
      </c>
      <c r="L88" s="4">
        <f>'  תקציב מינהל תפעול 2025 '!L77</f>
        <v>0</v>
      </c>
      <c r="M88" s="4">
        <f>'  תקציב מינהל תפעול 2025 '!M77</f>
        <v>60000</v>
      </c>
      <c r="N88" s="4">
        <f>'  תקציב מינהל תפעול 2025 '!N77</f>
        <v>0</v>
      </c>
      <c r="O88" s="4">
        <f>'  תקציב מינהל תפעול 2025 '!O77</f>
        <v>0</v>
      </c>
      <c r="P88" s="4">
        <f>'  תקציב מינהל תפעול 2025 '!P77</f>
        <v>60000</v>
      </c>
      <c r="Q88" s="311">
        <f>'  תקציב מינהל תפעול 2025 '!Q77</f>
        <v>0</v>
      </c>
      <c r="R88" s="4">
        <f>'  תקציב מינהל תפעול 2025 '!R77</f>
        <v>0</v>
      </c>
      <c r="S88" s="4">
        <f>'  תקציב מינהל תפעול 2025 '!S77</f>
        <v>0</v>
      </c>
      <c r="T88" s="4">
        <f>'  תקציב מינהל תפעול 2025 '!T77</f>
        <v>0</v>
      </c>
      <c r="U88" s="4">
        <f>'  תקציב מינהל תפעול 2025 '!U77</f>
        <v>0</v>
      </c>
      <c r="V88" s="4">
        <f>'  תקציב מינהל תפעול 2025 '!V77</f>
        <v>0</v>
      </c>
      <c r="W88" s="4">
        <f>'  תקציב מינהל תפעול 2025 '!W77</f>
        <v>0</v>
      </c>
      <c r="X88" s="4">
        <f>'  תקציב מינהל תפעול 2025 '!X77</f>
        <v>0</v>
      </c>
      <c r="Y88" s="4">
        <f>'  תקציב מינהל תפעול 2025 '!Y77</f>
        <v>0</v>
      </c>
      <c r="Z88" s="4">
        <f>'  תקציב מינהל תפעול 2025 '!Z77</f>
        <v>0</v>
      </c>
      <c r="AA88" s="3">
        <f>'  תקציב מינהל תפעול 2025 '!AA77</f>
        <v>0</v>
      </c>
      <c r="AB88" s="202" t="str">
        <f>'  תקציב מינהל תפעול 2025 '!AB77</f>
        <v>נגישות אקוסטית כיתות בנעמי שמר ולב טוב. מימון מ. החינוך.</v>
      </c>
      <c r="AC88" s="3">
        <f>'  תקציב מינהל תפעול 2025 '!AC77</f>
        <v>810000</v>
      </c>
    </row>
    <row r="89" spans="1:68" ht="51.75" customHeight="1">
      <c r="A89" s="3">
        <f t="shared" si="8"/>
        <v>28</v>
      </c>
      <c r="B89" s="3">
        <f>'  תקציב מינהל תפעול 2025 '!B78</f>
        <v>20088</v>
      </c>
      <c r="C89" s="202" t="str">
        <f>'  תקציב מינהל תפעול 2025 '!C78</f>
        <v>נגישות אקוסטית 2023 הנדסאים הרצליה</v>
      </c>
      <c r="D89" s="4">
        <f>'  תקציב מינהל תפעול 2025 '!D78</f>
        <v>30000</v>
      </c>
      <c r="E89" s="4">
        <f>'  תקציב מינהל תפעול 2025 '!E78</f>
        <v>30000</v>
      </c>
      <c r="F89" s="4">
        <f>'  תקציב מינהל תפעול 2025 '!F78</f>
        <v>0</v>
      </c>
      <c r="G89" s="4">
        <f>'  תקציב מינהל תפעול 2025 '!G78</f>
        <v>30000</v>
      </c>
      <c r="H89" s="4">
        <f>'  תקציב מינהל תפעול 2025 '!H78</f>
        <v>0</v>
      </c>
      <c r="I89" s="4">
        <f>'  תקציב מינהל תפעול 2025 '!I78</f>
        <v>0</v>
      </c>
      <c r="J89" s="4">
        <f>'  תקציב מינהל תפעול 2025 '!J78</f>
        <v>0</v>
      </c>
      <c r="K89" s="4">
        <f>'  תקציב מינהל תפעול 2025 '!K78</f>
        <v>0</v>
      </c>
      <c r="L89" s="4">
        <f>'  תקציב מינהל תפעול 2025 '!L78</f>
        <v>0</v>
      </c>
      <c r="M89" s="4">
        <f>'  תקציב מינהל תפעול 2025 '!M78</f>
        <v>30000</v>
      </c>
      <c r="N89" s="4">
        <f>'  תקציב מינהל תפעול 2025 '!N78</f>
        <v>0</v>
      </c>
      <c r="O89" s="4">
        <f>'  תקציב מינהל תפעול 2025 '!O78</f>
        <v>0</v>
      </c>
      <c r="P89" s="4">
        <f>'  תקציב מינהל תפעול 2025 '!P78</f>
        <v>30000</v>
      </c>
      <c r="Q89" s="311">
        <f>'  תקציב מינהל תפעול 2025 '!Q78</f>
        <v>0</v>
      </c>
      <c r="R89" s="4">
        <f>'  תקציב מינהל תפעול 2025 '!R78</f>
        <v>0</v>
      </c>
      <c r="S89" s="4">
        <f>'  תקציב מינהל תפעול 2025 '!S78</f>
        <v>0</v>
      </c>
      <c r="T89" s="4">
        <f>'  תקציב מינהל תפעול 2025 '!T78</f>
        <v>0</v>
      </c>
      <c r="U89" s="4">
        <f>'  תקציב מינהל תפעול 2025 '!U78</f>
        <v>0</v>
      </c>
      <c r="V89" s="4">
        <f>'  תקציב מינהל תפעול 2025 '!V78</f>
        <v>0</v>
      </c>
      <c r="W89" s="4">
        <f>'  תקציב מינהל תפעול 2025 '!W78</f>
        <v>0</v>
      </c>
      <c r="X89" s="4">
        <f>'  תקציב מינהל תפעול 2025 '!X78</f>
        <v>0</v>
      </c>
      <c r="Y89" s="4">
        <f>'  תקציב מינהל תפעול 2025 '!Y78</f>
        <v>0</v>
      </c>
      <c r="Z89" s="4">
        <f>'  תקציב מינהל תפעול 2025 '!Z78</f>
        <v>0</v>
      </c>
      <c r="AA89" s="3">
        <f>'  תקציב מינהל תפעול 2025 '!AA78</f>
        <v>0</v>
      </c>
      <c r="AB89" s="202" t="str">
        <f>'  תקציב מינהל תפעול 2025 '!AB78</f>
        <v>נגישות אקוסטית מימון מ. החינוך.</v>
      </c>
      <c r="AC89" s="3">
        <f>'  תקציב מינהל תפעול 2025 '!AC78</f>
        <v>810000</v>
      </c>
    </row>
    <row r="90" spans="1:68" s="596" customFormat="1" ht="20.100000000000001" customHeight="1">
      <c r="A90" s="7"/>
      <c r="B90" s="7"/>
      <c r="C90" s="13" t="s">
        <v>1335</v>
      </c>
      <c r="D90" s="8">
        <f>SUM(D63:D89)</f>
        <v>274619211</v>
      </c>
      <c r="E90" s="8">
        <f t="shared" ref="E90:AA90" si="9">SUM(E63:E89)</f>
        <v>252787136</v>
      </c>
      <c r="F90" s="8">
        <f t="shared" si="9"/>
        <v>21832075</v>
      </c>
      <c r="G90" s="8">
        <f t="shared" si="9"/>
        <v>195339211</v>
      </c>
      <c r="H90" s="8">
        <f t="shared" si="9"/>
        <v>181394818.84999999</v>
      </c>
      <c r="I90" s="8">
        <f t="shared" si="9"/>
        <v>252615</v>
      </c>
      <c r="J90" s="8">
        <f t="shared" si="9"/>
        <v>10308766.09</v>
      </c>
      <c r="K90" s="8">
        <f t="shared" si="9"/>
        <v>10561381.09</v>
      </c>
      <c r="L90" s="8">
        <f t="shared" si="9"/>
        <v>191956199.94</v>
      </c>
      <c r="M90" s="8">
        <f t="shared" si="9"/>
        <v>4233011.0600000005</v>
      </c>
      <c r="N90" s="8">
        <f t="shared" si="9"/>
        <v>10010000</v>
      </c>
      <c r="O90" s="8">
        <f t="shared" si="9"/>
        <v>68420000</v>
      </c>
      <c r="P90" s="8">
        <f t="shared" si="9"/>
        <v>3383011.0600000005</v>
      </c>
      <c r="Q90" s="8">
        <f t="shared" si="9"/>
        <v>0</v>
      </c>
      <c r="R90" s="8">
        <f t="shared" si="9"/>
        <v>850000</v>
      </c>
      <c r="S90" s="8">
        <f t="shared" si="9"/>
        <v>850000</v>
      </c>
      <c r="T90" s="8">
        <f t="shared" si="9"/>
        <v>0</v>
      </c>
      <c r="U90" s="8">
        <f t="shared" si="9"/>
        <v>10010000</v>
      </c>
      <c r="V90" s="8">
        <f t="shared" si="9"/>
        <v>0</v>
      </c>
      <c r="W90" s="8">
        <f t="shared" si="9"/>
        <v>10010000</v>
      </c>
      <c r="X90" s="8">
        <f t="shared" si="9"/>
        <v>0</v>
      </c>
      <c r="Y90" s="8">
        <f t="shared" si="9"/>
        <v>0</v>
      </c>
      <c r="Z90" s="8">
        <f t="shared" si="9"/>
        <v>0</v>
      </c>
      <c r="AA90" s="8">
        <f t="shared" si="9"/>
        <v>0</v>
      </c>
      <c r="AB90" s="13"/>
      <c r="AC90" s="7"/>
      <c r="AD90" s="678"/>
      <c r="AE90" s="678"/>
      <c r="AF90" s="678"/>
      <c r="AG90" s="678"/>
      <c r="AH90" s="678"/>
      <c r="AI90" s="678"/>
      <c r="AJ90" s="678"/>
      <c r="AK90" s="678"/>
      <c r="AL90" s="678"/>
      <c r="AM90" s="678"/>
      <c r="AN90" s="678"/>
      <c r="AO90" s="678"/>
      <c r="AT90" s="523"/>
      <c r="AU90" s="523"/>
      <c r="AV90" s="523"/>
      <c r="AW90" s="523"/>
      <c r="AX90" s="523"/>
      <c r="AY90" s="523"/>
      <c r="AZ90" s="523"/>
    </row>
    <row r="91" spans="1:68" s="596" customFormat="1" ht="20.100000000000001" customHeight="1">
      <c r="A91" s="7"/>
      <c r="B91" s="7"/>
      <c r="C91" s="7">
        <v>82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679"/>
      <c r="R91" s="8"/>
      <c r="S91" s="8"/>
      <c r="T91" s="8"/>
      <c r="U91" s="8"/>
      <c r="V91" s="8"/>
      <c r="W91" s="8"/>
      <c r="X91" s="8"/>
      <c r="Y91" s="8"/>
      <c r="Z91" s="8"/>
      <c r="AA91" s="7"/>
      <c r="AB91" s="13"/>
      <c r="AC91" s="7"/>
      <c r="AD91" s="678"/>
      <c r="AE91" s="678"/>
      <c r="AF91" s="678"/>
      <c r="AG91" s="678"/>
      <c r="AH91" s="678"/>
      <c r="AI91" s="678"/>
      <c r="AJ91" s="678"/>
      <c r="AK91" s="678"/>
      <c r="AL91" s="678"/>
      <c r="AM91" s="678"/>
      <c r="AN91" s="678"/>
      <c r="AO91" s="678"/>
      <c r="AT91" s="523"/>
      <c r="AU91" s="523"/>
      <c r="AV91" s="523"/>
      <c r="AW91" s="523"/>
      <c r="AX91" s="523"/>
      <c r="AY91" s="523"/>
      <c r="AZ91" s="523"/>
    </row>
    <row r="92" spans="1:68" ht="45">
      <c r="A92" s="3">
        <f>A89+1</f>
        <v>29</v>
      </c>
      <c r="B92" s="3">
        <f>'  תקציב מינהל תפעול 2025 '!B70</f>
        <v>20065</v>
      </c>
      <c r="C92" s="202" t="str">
        <f>'  תקציב מינהל תפעול 2025 '!C70</f>
        <v>מתנס נוף ים</v>
      </c>
      <c r="D92" s="4">
        <f>'  תקציב מינהל תפעול 2025 '!D70</f>
        <v>10600000</v>
      </c>
      <c r="E92" s="4">
        <f>'  תקציב מינהל תפעול 2025 '!E70</f>
        <v>7600000</v>
      </c>
      <c r="F92" s="4">
        <f>'  תקציב מינהל תפעול 2025 '!F70</f>
        <v>3000000</v>
      </c>
      <c r="G92" s="4">
        <f>'  תקציב מינהל תפעול 2025 '!G70</f>
        <v>7600000</v>
      </c>
      <c r="H92" s="4">
        <f>'  תקציב מינהל תפעול 2025 '!H70</f>
        <v>3108076</v>
      </c>
      <c r="I92" s="4">
        <f>'  תקציב מינהל תפעול 2025 '!I70</f>
        <v>0</v>
      </c>
      <c r="J92" s="4">
        <f>'  תקציב מינהל תפעול 2025 '!J70</f>
        <v>4342964</v>
      </c>
      <c r="K92" s="4">
        <f>'  תקציב מינהל תפעול 2025 '!K70</f>
        <v>4342964</v>
      </c>
      <c r="L92" s="4">
        <f>'  תקציב מינהל תפעול 2025 '!L70</f>
        <v>7451040</v>
      </c>
      <c r="M92" s="4">
        <f>'  תקציב מינהל תפעול 2025 '!M70</f>
        <v>148960</v>
      </c>
      <c r="N92" s="4">
        <f>'  תקציב מינהל תפעול 2025 '!N70</f>
        <v>0</v>
      </c>
      <c r="O92" s="4">
        <f>'  תקציב מינהל תפעול 2025 '!O70</f>
        <v>3000000</v>
      </c>
      <c r="P92" s="4">
        <f>'  תקציב מינהל תפעול 2025 '!P70</f>
        <v>148960</v>
      </c>
      <c r="Q92" s="311">
        <f>'  תקציב מינהל תפעול 2025 '!Q70</f>
        <v>0</v>
      </c>
      <c r="R92" s="4">
        <f>'  תקציב מינהל תפעול 2025 '!R70</f>
        <v>0</v>
      </c>
      <c r="S92" s="4">
        <f>'  תקציב מינהל תפעול 2025 '!S70</f>
        <v>0</v>
      </c>
      <c r="T92" s="4">
        <f>'  תקציב מינהל תפעול 2025 '!T70</f>
        <v>0</v>
      </c>
      <c r="U92" s="4">
        <f>'  תקציב מינהל תפעול 2025 '!U70</f>
        <v>0</v>
      </c>
      <c r="V92" s="4">
        <f>'  תקציב מינהל תפעול 2025 '!V70</f>
        <v>0</v>
      </c>
      <c r="W92" s="4">
        <f>'  תקציב מינהל תפעול 2025 '!W70</f>
        <v>0</v>
      </c>
      <c r="X92" s="4">
        <f>'  תקציב מינהל תפעול 2025 '!X70</f>
        <v>0</v>
      </c>
      <c r="Y92" s="4">
        <f>'  תקציב מינהל תפעול 2025 '!Y70</f>
        <v>0</v>
      </c>
      <c r="Z92" s="4">
        <f>'  תקציב מינהל תפעול 2025 '!Z70</f>
        <v>0</v>
      </c>
      <c r="AA92" s="3">
        <f>'  תקציב מינהל תפעול 2025 '!AA70</f>
        <v>0</v>
      </c>
      <c r="AB92" s="202" t="str">
        <f>'  תקציב מינהל תפעול 2025 '!AB70</f>
        <v>עבודות שיפוץ המתנס הכולל שיפוץ קומה א' וב' , הנגשה , חיפוי חדש חוץ המבנה והצטיידות.</v>
      </c>
      <c r="AC92" s="3">
        <f>'  תקציב מינהל תפעול 2025 '!AC70</f>
        <v>824000</v>
      </c>
    </row>
    <row r="93" spans="1:68" ht="30">
      <c r="A93" s="3">
        <f t="shared" ref="A93:A104" si="10">A92+1</f>
        <v>30</v>
      </c>
      <c r="B93" s="19">
        <f>'  תקציב מינהל תפעול 2025 '!B97</f>
        <v>20162</v>
      </c>
      <c r="C93" s="222" t="str">
        <f>'  תקציב מינהל תפעול 2025 '!C97</f>
        <v>שיפוץ מתנ"ס יד התשעה</v>
      </c>
      <c r="D93" s="112">
        <f>'  תקציב מינהל תפעול 2025 '!D97</f>
        <v>6000000</v>
      </c>
      <c r="E93" s="112">
        <f>'  תקציב מינהל תפעול 2025 '!E97</f>
        <v>0</v>
      </c>
      <c r="F93" s="112">
        <f>'  תקציב מינהל תפעול 2025 '!F97</f>
        <v>6000000</v>
      </c>
      <c r="G93" s="112">
        <f>'  תקציב מינהל תפעול 2025 '!G97</f>
        <v>0</v>
      </c>
      <c r="H93" s="112">
        <f>'  תקציב מינהל תפעול 2025 '!H97</f>
        <v>0</v>
      </c>
      <c r="I93" s="112">
        <f>'  תקציב מינהל תפעול 2025 '!I97</f>
        <v>0</v>
      </c>
      <c r="J93" s="112">
        <f>'  תקציב מינהל תפעול 2025 '!J97</f>
        <v>0</v>
      </c>
      <c r="K93" s="112">
        <f>'  תקציב מינהל תפעול 2025 '!K97</f>
        <v>0</v>
      </c>
      <c r="L93" s="112">
        <f>'  תקציב מינהל תפעול 2025 '!L97</f>
        <v>0</v>
      </c>
      <c r="M93" s="112">
        <f>'  תקציב מינהל תפעול 2025 '!M97</f>
        <v>0</v>
      </c>
      <c r="N93" s="112">
        <f>'  תקציב מינהל תפעול 2025 '!N97</f>
        <v>1000000</v>
      </c>
      <c r="O93" s="112">
        <f>'  תקציב מינהל תפעול 2025 '!O97</f>
        <v>5000000</v>
      </c>
      <c r="P93" s="112">
        <f>'  תקציב מינהל תפעול 2025 '!P97</f>
        <v>0</v>
      </c>
      <c r="Q93" s="112">
        <f>'  תקציב מינהל תפעול 2025 '!Q97</f>
        <v>0</v>
      </c>
      <c r="R93" s="112">
        <f>'  תקציב מינהל תפעול 2025 '!R97</f>
        <v>0</v>
      </c>
      <c r="S93" s="112">
        <f>'  תקציב מינהל תפעול 2025 '!S97</f>
        <v>0</v>
      </c>
      <c r="T93" s="112">
        <f>'  תקציב מינהל תפעול 2025 '!T97</f>
        <v>0</v>
      </c>
      <c r="U93" s="112">
        <f>'  תקציב מינהל תפעול 2025 '!U97</f>
        <v>1000000</v>
      </c>
      <c r="V93" s="112">
        <f>'  תקציב מינהל תפעול 2025 '!V97</f>
        <v>0</v>
      </c>
      <c r="W93" s="4">
        <f>'  תקציב מינהל תפעול 2025 '!W97</f>
        <v>1000000</v>
      </c>
      <c r="X93" s="112">
        <f>'  תקציב מינהל תפעול 2025 '!X97</f>
        <v>0</v>
      </c>
      <c r="Y93" s="112">
        <f>'  תקציב מינהל תפעול 2025 '!Y97</f>
        <v>0</v>
      </c>
      <c r="Z93" s="112">
        <f>'  תקציב מינהל תפעול 2025 '!Z97</f>
        <v>0</v>
      </c>
      <c r="AA93" s="112">
        <f>'  תקציב מינהל תפעול 2025 '!AA97</f>
        <v>0</v>
      </c>
      <c r="AB93" s="202" t="str">
        <f>'  תקציב מינהל תפעול 2025 '!AB97</f>
        <v>עבודות שיפוץ מתנ"ס ביד התשעה.</v>
      </c>
      <c r="AC93" s="3">
        <f>'  תקציב מינהל תפעול 2025 '!AC97</f>
        <v>824000</v>
      </c>
      <c r="AU93" s="123"/>
      <c r="AV93" s="123"/>
      <c r="AW93" s="123"/>
      <c r="AX93" s="123"/>
      <c r="AY93" s="123"/>
      <c r="AZ93" s="123"/>
      <c r="BA93" s="123"/>
      <c r="BB93" s="123"/>
      <c r="BC93" s="256"/>
      <c r="BD93" s="256"/>
      <c r="BE93" s="256"/>
      <c r="BF93" s="256"/>
      <c r="BG93" s="256"/>
      <c r="BH93" s="256"/>
      <c r="BI93" s="256"/>
      <c r="BJ93" s="256"/>
      <c r="BK93" s="256"/>
      <c r="BL93" s="5"/>
      <c r="BM93" s="5"/>
      <c r="BN93" s="5"/>
      <c r="BO93" s="5"/>
      <c r="BP93" s="5"/>
    </row>
    <row r="94" spans="1:68" ht="30">
      <c r="A94" s="3">
        <f t="shared" si="10"/>
        <v>31</v>
      </c>
      <c r="B94" s="19">
        <f>'  תקציב מינהל תפעול 2025 '!B101</f>
        <v>20166</v>
      </c>
      <c r="C94" s="222" t="str">
        <f>'  תקציב מינהל תפעול 2025 '!C101</f>
        <v>עבודות שיפוץ אשכול פיס זאב</v>
      </c>
      <c r="D94" s="112">
        <f>'  תקציב מינהל תפעול 2025 '!D101</f>
        <v>720000</v>
      </c>
      <c r="E94" s="112">
        <f>'  תקציב מינהל תפעול 2025 '!E101</f>
        <v>0</v>
      </c>
      <c r="F94" s="112">
        <f>'  תקציב מינהל תפעול 2025 '!F101</f>
        <v>720000</v>
      </c>
      <c r="G94" s="112">
        <f>'  תקציב מינהל תפעול 2025 '!G101</f>
        <v>0</v>
      </c>
      <c r="H94" s="112">
        <f>'  תקציב מינהל תפעול 2025 '!H101</f>
        <v>0</v>
      </c>
      <c r="I94" s="112">
        <f>'  תקציב מינהל תפעול 2025 '!I101</f>
        <v>0</v>
      </c>
      <c r="J94" s="112">
        <f>'  תקציב מינהל תפעול 2025 '!J101</f>
        <v>0</v>
      </c>
      <c r="K94" s="112">
        <f>'  תקציב מינהל תפעול 2025 '!K101</f>
        <v>0</v>
      </c>
      <c r="L94" s="112">
        <f>'  תקציב מינהל תפעול 2025 '!L101</f>
        <v>0</v>
      </c>
      <c r="M94" s="112">
        <f>'  תקציב מינהל תפעול 2025 '!M101</f>
        <v>0</v>
      </c>
      <c r="N94" s="112">
        <f>'  תקציב מינהל תפעול 2025 '!N101</f>
        <v>720000</v>
      </c>
      <c r="O94" s="112">
        <f>'  תקציב מינהל תפעול 2025 '!O101</f>
        <v>0</v>
      </c>
      <c r="P94" s="112">
        <f>'  תקציב מינהל תפעול 2025 '!P101</f>
        <v>0</v>
      </c>
      <c r="Q94" s="112">
        <f>'  תקציב מינהל תפעול 2025 '!Q101</f>
        <v>0</v>
      </c>
      <c r="R94" s="112">
        <f>'  תקציב מינהל תפעול 2025 '!R101</f>
        <v>0</v>
      </c>
      <c r="S94" s="112">
        <f>'  תקציב מינהל תפעול 2025 '!S101</f>
        <v>0</v>
      </c>
      <c r="T94" s="112">
        <f>'  תקציב מינהל תפעול 2025 '!T101</f>
        <v>0</v>
      </c>
      <c r="U94" s="112">
        <f>'  תקציב מינהל תפעול 2025 '!U101</f>
        <v>720000</v>
      </c>
      <c r="V94" s="112">
        <f>'  תקציב מינהל תפעול 2025 '!V101</f>
        <v>0</v>
      </c>
      <c r="W94" s="4">
        <f>'  תקציב מינהל תפעול 2025 '!W101</f>
        <v>720000</v>
      </c>
      <c r="X94" s="112">
        <f>'  תקציב מינהל תפעול 2025 '!X101</f>
        <v>0</v>
      </c>
      <c r="Y94" s="112">
        <f>'  תקציב מינהל תפעול 2025 '!Y101</f>
        <v>0</v>
      </c>
      <c r="Z94" s="112">
        <f>'  תקציב מינהל תפעול 2025 '!Z101</f>
        <v>0</v>
      </c>
      <c r="AA94" s="112">
        <f>'  תקציב מינהל תפעול 2025 '!AA101</f>
        <v>0</v>
      </c>
      <c r="AB94" s="202" t="str">
        <f>'  תקציב מינהל תפעול 2025 '!AB101</f>
        <v>עבודות שיפוץ אשכול פיס "זאב".</v>
      </c>
      <c r="AC94" s="3">
        <f>'  תקציב מינהל תפעול 2025 '!AC101</f>
        <v>824000</v>
      </c>
      <c r="AU94" s="123"/>
      <c r="AV94" s="123"/>
      <c r="AW94" s="123"/>
      <c r="AX94" s="123"/>
      <c r="AY94" s="123"/>
      <c r="AZ94" s="123"/>
      <c r="BA94" s="123"/>
      <c r="BB94" s="123"/>
      <c r="BC94" s="256"/>
      <c r="BD94" s="256"/>
      <c r="BE94" s="256"/>
      <c r="BF94" s="256"/>
      <c r="BG94" s="256"/>
      <c r="BH94" s="256"/>
      <c r="BI94" s="256"/>
      <c r="BJ94" s="256"/>
      <c r="BK94" s="256"/>
      <c r="BL94" s="5"/>
      <c r="BM94" s="5"/>
      <c r="BN94" s="5"/>
      <c r="BO94" s="5"/>
      <c r="BP94" s="5"/>
    </row>
    <row r="95" spans="1:68" ht="60">
      <c r="A95" s="3">
        <f t="shared" si="10"/>
        <v>32</v>
      </c>
      <c r="B95" s="3">
        <f>'  תקציב מינהל תפעול 2025 '!B67</f>
        <v>20037</v>
      </c>
      <c r="C95" s="202" t="str">
        <f>'  תקציב מינהל תפעול 2025 '!C67</f>
        <v>שיפוץ הקונסרבטוריון יד התשעה</v>
      </c>
      <c r="D95" s="4">
        <f>'  תקציב מינהל תפעול 2025 '!D67</f>
        <v>2200000</v>
      </c>
      <c r="E95" s="4">
        <f>'  תקציב מינהל תפעול 2025 '!E67</f>
        <v>2200000</v>
      </c>
      <c r="F95" s="4">
        <f>'  תקציב מינהל תפעול 2025 '!F67</f>
        <v>0</v>
      </c>
      <c r="G95" s="4">
        <f>'  תקציב מינהל תפעול 2025 '!G67</f>
        <v>2200000</v>
      </c>
      <c r="H95" s="4">
        <f>'  תקציב מינהל תפעול 2025 '!H67</f>
        <v>2199700</v>
      </c>
      <c r="I95" s="4">
        <f>'  תקציב מינהל תפעול 2025 '!I67</f>
        <v>0</v>
      </c>
      <c r="J95" s="4">
        <f>'  תקציב מינהל תפעול 2025 '!J67</f>
        <v>0</v>
      </c>
      <c r="K95" s="4">
        <f>'  תקציב מינהל תפעול 2025 '!K67</f>
        <v>0</v>
      </c>
      <c r="L95" s="4">
        <f>'  תקציב מינהל תפעול 2025 '!L67</f>
        <v>2199700</v>
      </c>
      <c r="M95" s="4">
        <f>'  תקציב מינהל תפעול 2025 '!M67</f>
        <v>300</v>
      </c>
      <c r="N95" s="4">
        <f>'  תקציב מינהל תפעול 2025 '!N67</f>
        <v>0</v>
      </c>
      <c r="O95" s="4">
        <f>'  תקציב מינהל תפעול 2025 '!O67</f>
        <v>0</v>
      </c>
      <c r="P95" s="4">
        <f>'  תקציב מינהל תפעול 2025 '!P67</f>
        <v>300</v>
      </c>
      <c r="Q95" s="311">
        <f>'  תקציב מינהל תפעול 2025 '!Q67</f>
        <v>0</v>
      </c>
      <c r="R95" s="4">
        <f>'  תקציב מינהל תפעול 2025 '!R67</f>
        <v>0</v>
      </c>
      <c r="S95" s="4">
        <f>'  תקציב מינהל תפעול 2025 '!S67</f>
        <v>0</v>
      </c>
      <c r="T95" s="4">
        <f>'  תקציב מינהל תפעול 2025 '!T67</f>
        <v>0</v>
      </c>
      <c r="U95" s="4">
        <f>'  תקציב מינהל תפעול 2025 '!U67</f>
        <v>0</v>
      </c>
      <c r="V95" s="4">
        <f>'  תקציב מינהל תפעול 2025 '!V67</f>
        <v>0</v>
      </c>
      <c r="W95" s="4">
        <f>'  תקציב מינהל תפעול 2025 '!W67</f>
        <v>0</v>
      </c>
      <c r="X95" s="4">
        <f>'  תקציב מינהל תפעול 2025 '!X67</f>
        <v>0</v>
      </c>
      <c r="Y95" s="4">
        <f>'  תקציב מינהל תפעול 2025 '!Y67</f>
        <v>0</v>
      </c>
      <c r="Z95" s="4">
        <f>'  תקציב מינהל תפעול 2025 '!Z67</f>
        <v>0</v>
      </c>
      <c r="AA95" s="3">
        <f>'  תקציב מינהל תפעול 2025 '!AA67</f>
        <v>0</v>
      </c>
      <c r="AB95" s="202" t="str">
        <f>'  תקציב מינהל תפעול 2025 '!AB67</f>
        <v>עבודות שיפוץ הקונסבטוריון כ- 1,000מ"ר ב-2 קומות בשכונת יד התשעה .מימון מ. הפיס. הסתיים. ייסגר עם קבלת  תקבול מ. הפיס.</v>
      </c>
      <c r="AC95" s="3">
        <f>'  תקציב מינהל תפעול 2025 '!AC67</f>
        <v>826000</v>
      </c>
    </row>
    <row r="96" spans="1:68" ht="42.75" customHeight="1">
      <c r="A96" s="3">
        <f t="shared" si="10"/>
        <v>33</v>
      </c>
      <c r="B96" s="3">
        <f>'  תקציב מינהל תפעול 2025 '!B91</f>
        <v>20122</v>
      </c>
      <c r="C96" s="222" t="str">
        <f>'  תקציב מינהל תפעול 2025 '!C91</f>
        <v>שיפוץ בית ראשונים</v>
      </c>
      <c r="D96" s="112">
        <f>'  תקציב מינהל תפעול 2025 '!D91</f>
        <v>2400000</v>
      </c>
      <c r="E96" s="112">
        <f>'  תקציב מינהל תפעול 2025 '!E91</f>
        <v>600000</v>
      </c>
      <c r="F96" s="112">
        <f>'  תקציב מינהל תפעול 2025 '!F91</f>
        <v>1800000</v>
      </c>
      <c r="G96" s="112">
        <f>'  תקציב מינהל תפעול 2025 '!G91</f>
        <v>0</v>
      </c>
      <c r="H96" s="112">
        <f>'  תקציב מינהל תפעול 2025 '!H91</f>
        <v>0</v>
      </c>
      <c r="I96" s="112">
        <f>'  תקציב מינהל תפעול 2025 '!I91</f>
        <v>0</v>
      </c>
      <c r="J96" s="112">
        <f>'  תקציב מינהל תפעול 2025 '!J91</f>
        <v>0</v>
      </c>
      <c r="K96" s="112">
        <f>'  תקציב מינהל תפעול 2025 '!K91</f>
        <v>0</v>
      </c>
      <c r="L96" s="112">
        <f>'  תקציב מינהל תפעול 2025 '!L91</f>
        <v>0</v>
      </c>
      <c r="M96" s="4">
        <f>'  תקציב מינהל תפעול 2025 '!M91</f>
        <v>0</v>
      </c>
      <c r="N96" s="112">
        <f>'  תקציב מינהל תפעול 2025 '!N91</f>
        <v>0</v>
      </c>
      <c r="O96" s="112">
        <f>'  תקציב מינהל תפעול 2025 '!O91</f>
        <v>2400000</v>
      </c>
      <c r="P96" s="112">
        <f>'  תקציב מינהל תפעול 2025 '!P91</f>
        <v>0</v>
      </c>
      <c r="Q96" s="112">
        <f>'  תקציב מינהל תפעול 2025 '!Q91</f>
        <v>0</v>
      </c>
      <c r="R96" s="112">
        <f>'  תקציב מינהל תפעול 2025 '!R91</f>
        <v>0</v>
      </c>
      <c r="S96" s="112">
        <f>'  תקציב מינהל תפעול 2025 '!S91</f>
        <v>0</v>
      </c>
      <c r="T96" s="112">
        <f>'  תקציב מינהל תפעול 2025 '!T91</f>
        <v>0</v>
      </c>
      <c r="U96" s="4">
        <f>'  תקציב מינהל תפעול 2025 '!U91</f>
        <v>0</v>
      </c>
      <c r="V96" s="4">
        <f>'  תקציב מינהל תפעול 2025 '!V91</f>
        <v>0</v>
      </c>
      <c r="W96" s="4">
        <f>'  תקציב מינהל תפעול 2025 '!W91</f>
        <v>0</v>
      </c>
      <c r="X96" s="4">
        <f>'  תקציב מינהל תפעול 2025 '!X91</f>
        <v>0</v>
      </c>
      <c r="Y96" s="4">
        <f>'  תקציב מינהל תפעול 2025 '!Y91</f>
        <v>0</v>
      </c>
      <c r="Z96" s="4">
        <f>'  תקציב מינהל תפעול 2025 '!Z91</f>
        <v>0</v>
      </c>
      <c r="AA96" s="3">
        <f>'  תקציב מינהל תפעול 2025 '!AA91</f>
        <v>0</v>
      </c>
      <c r="AB96" s="202" t="str">
        <f>'  תקציב מינהל תפעול 2025 '!AB91</f>
        <v>שיפוץ המבנה כולל הצטיידות.</v>
      </c>
      <c r="AC96" s="3">
        <f>'  תקציב מינהל תפעול 2025 '!AC91</f>
        <v>826000</v>
      </c>
      <c r="BB96" s="123"/>
      <c r="BC96" s="123"/>
      <c r="BD96" s="123"/>
      <c r="BE96" s="123"/>
      <c r="BF96" s="123"/>
      <c r="BG96" s="123"/>
      <c r="BH96" s="256"/>
      <c r="BI96" s="256"/>
      <c r="BJ96" s="256"/>
      <c r="BK96" s="256"/>
      <c r="BL96" s="256"/>
      <c r="BM96" s="256"/>
      <c r="BN96" s="256"/>
      <c r="BO96" s="256"/>
      <c r="BP96" s="256"/>
    </row>
    <row r="97" spans="1:68" ht="30">
      <c r="A97" s="3">
        <f t="shared" si="10"/>
        <v>34</v>
      </c>
      <c r="B97" s="3">
        <f>'  תקציב מינהל תפעול 2025 '!B95</f>
        <v>20143</v>
      </c>
      <c r="C97" s="222" t="str">
        <f>'  תקציב מינהל תפעול 2025 '!C95</f>
        <v>צ'ילר במוזיאון</v>
      </c>
      <c r="D97" s="112">
        <f>'  תקציב מינהל תפעול 2025 '!D95</f>
        <v>420000</v>
      </c>
      <c r="E97" s="112">
        <f>'  תקציב מינהל תפעול 2025 '!E95</f>
        <v>420000</v>
      </c>
      <c r="F97" s="112">
        <f>'  תקציב מינהל תפעול 2025 '!F95</f>
        <v>0</v>
      </c>
      <c r="G97" s="112">
        <f>'  תקציב מינהל תפעול 2025 '!G95</f>
        <v>0</v>
      </c>
      <c r="H97" s="112">
        <f>'  תקציב מינהל תפעול 2025 '!H95</f>
        <v>0</v>
      </c>
      <c r="I97" s="112">
        <f>'  תקציב מינהל תפעול 2025 '!I95</f>
        <v>0</v>
      </c>
      <c r="J97" s="112">
        <f>'  תקציב מינהל תפעול 2025 '!J95</f>
        <v>0</v>
      </c>
      <c r="K97" s="112">
        <f>'  תקציב מינהל תפעול 2025 '!K95</f>
        <v>0</v>
      </c>
      <c r="L97" s="112">
        <f>'  תקציב מינהל תפעול 2025 '!L95</f>
        <v>0</v>
      </c>
      <c r="M97" s="4">
        <f>'  תקציב מינהל תפעול 2025 '!M95</f>
        <v>420000</v>
      </c>
      <c r="N97" s="112">
        <f>'  תקציב מינהל תפעול 2025 '!N95</f>
        <v>0</v>
      </c>
      <c r="O97" s="112">
        <f>'  תקציב מינהל תפעול 2025 '!O95</f>
        <v>0</v>
      </c>
      <c r="P97" s="112">
        <f>'  תקציב מינהל תפעול 2025 '!P95</f>
        <v>0</v>
      </c>
      <c r="Q97" s="112">
        <f>'  תקציב מינהל תפעול 2025 '!Q95</f>
        <v>0</v>
      </c>
      <c r="R97" s="112">
        <f>'  תקציב מינהל תפעול 2025 '!R95</f>
        <v>420000</v>
      </c>
      <c r="S97" s="112">
        <f>'  תקציב מינהל תפעול 2025 '!S95</f>
        <v>420000</v>
      </c>
      <c r="T97" s="112">
        <f>'  תקציב מינהל תפעול 2025 '!T95</f>
        <v>0</v>
      </c>
      <c r="U97" s="4">
        <f>'  תקציב מינהל תפעול 2025 '!U95</f>
        <v>0</v>
      </c>
      <c r="V97" s="4">
        <f>'  תקציב מינהל תפעול 2025 '!V95</f>
        <v>0</v>
      </c>
      <c r="W97" s="4">
        <f>'  תקציב מינהל תפעול 2025 '!W95</f>
        <v>0</v>
      </c>
      <c r="X97" s="4">
        <f>'  תקציב מינהל תפעול 2025 '!X95</f>
        <v>0</v>
      </c>
      <c r="Y97" s="4">
        <f>'  תקציב מינהל תפעול 2025 '!Y95</f>
        <v>0</v>
      </c>
      <c r="Z97" s="4">
        <f>'  תקציב מינהל תפעול 2025 '!Z95</f>
        <v>0</v>
      </c>
      <c r="AA97" s="3">
        <f>'  תקציב מינהל תפעול 2025 '!AA95</f>
        <v>0</v>
      </c>
      <c r="AB97" s="202" t="str">
        <f>'  תקציב מינהל תפעול 2025 '!AB95</f>
        <v>אספקה והתקנת מזגנים לצ'ילר חדש במוזיאון הרצליה.</v>
      </c>
      <c r="AC97" s="3">
        <f>'  תקציב מינהל תפעול 2025 '!AC95</f>
        <v>826000</v>
      </c>
      <c r="BB97" s="123"/>
      <c r="BC97" s="123"/>
      <c r="BD97" s="123"/>
      <c r="BE97" s="123"/>
      <c r="BF97" s="123"/>
      <c r="BG97" s="123"/>
      <c r="BH97" s="256"/>
      <c r="BI97" s="256"/>
      <c r="BJ97" s="256"/>
      <c r="BK97" s="256"/>
      <c r="BL97" s="256"/>
      <c r="BM97" s="256"/>
      <c r="BN97" s="256"/>
      <c r="BO97" s="256"/>
      <c r="BP97" s="256"/>
    </row>
    <row r="98" spans="1:68" ht="60">
      <c r="A98" s="3">
        <f t="shared" si="10"/>
        <v>35</v>
      </c>
      <c r="B98" s="3">
        <f>'  תקציב מינהל תפעול 2025 '!B66</f>
        <v>20034</v>
      </c>
      <c r="C98" s="202" t="str">
        <f>'  תקציב מינהל תפעול 2025 '!C66</f>
        <v>בית ליצירה אומנותית - מועדון הנוער (דידה)</v>
      </c>
      <c r="D98" s="4">
        <f>'  תקציב מינהל תפעול 2025 '!D66</f>
        <v>8700000</v>
      </c>
      <c r="E98" s="4">
        <f>'  תקציב מינהל תפעול 2025 '!E66</f>
        <v>4000000</v>
      </c>
      <c r="F98" s="4">
        <f>'  תקציב מינהל תפעול 2025 '!F66</f>
        <v>4700000</v>
      </c>
      <c r="G98" s="4">
        <f>'  תקציב מינהל תפעול 2025 '!G66</f>
        <v>3000000</v>
      </c>
      <c r="H98" s="4">
        <f>'  תקציב מינהל תפעול 2025 '!H66</f>
        <v>1635303</v>
      </c>
      <c r="I98" s="4">
        <f>'  תקציב מינהל תפעול 2025 '!I66</f>
        <v>0</v>
      </c>
      <c r="J98" s="4">
        <f>'  תקציב מינהל תפעול 2025 '!J66</f>
        <v>913750</v>
      </c>
      <c r="K98" s="4">
        <f>'  תקציב מינהל תפעול 2025 '!K66</f>
        <v>913750</v>
      </c>
      <c r="L98" s="4">
        <f>'  תקציב מינהל תפעול 2025 '!L66</f>
        <v>2549053</v>
      </c>
      <c r="M98" s="4">
        <f>'  תקציב מינהל תפעול 2025 '!M66</f>
        <v>450947</v>
      </c>
      <c r="N98" s="4">
        <f>'  תקציב מינהל תפעול 2025 '!N66</f>
        <v>1200000</v>
      </c>
      <c r="O98" s="4">
        <f>'  תקציב מינהל תפעול 2025 '!O66</f>
        <v>4500000</v>
      </c>
      <c r="P98" s="4">
        <f>'  תקציב מינהל תפעול 2025 '!P66</f>
        <v>450947</v>
      </c>
      <c r="Q98" s="311">
        <f>'  תקציב מינהל תפעול 2025 '!Q66</f>
        <v>0</v>
      </c>
      <c r="R98" s="4">
        <f>'  תקציב מינהל תפעול 2025 '!R66</f>
        <v>0</v>
      </c>
      <c r="S98" s="4">
        <f>'  תקציב מינהל תפעול 2025 '!S66</f>
        <v>0</v>
      </c>
      <c r="T98" s="4">
        <f>'  תקציב מינהל תפעול 2025 '!T66</f>
        <v>0</v>
      </c>
      <c r="U98" s="4">
        <f>'  תקציב מינהל תפעול 2025 '!U66</f>
        <v>1200000</v>
      </c>
      <c r="V98" s="4">
        <f>'  תקציב מינהל תפעול 2025 '!V66</f>
        <v>0</v>
      </c>
      <c r="W98" s="4">
        <f>'  תקציב מינהל תפעול 2025 '!W66</f>
        <v>1200000</v>
      </c>
      <c r="X98" s="4">
        <f>'  תקציב מינהל תפעול 2025 '!X66</f>
        <v>0</v>
      </c>
      <c r="Y98" s="4">
        <f>'  תקציב מינהל תפעול 2025 '!Y66</f>
        <v>0</v>
      </c>
      <c r="Z98" s="4">
        <f>'  תקציב מינהל תפעול 2025 '!Z66</f>
        <v>0</v>
      </c>
      <c r="AA98" s="3">
        <f>'  תקציב מינהל תפעול 2025 '!AA66</f>
        <v>0</v>
      </c>
      <c r="AB98" s="202" t="str">
        <f>'  תקציב מינהל תפעול 2025 '!AB66</f>
        <v xml:space="preserve">עבודות שיפוץ במועדון הנוער (דידה) יוסף נבו 18 הכוללות : תקרות, רצפות, שרותים, שיפוץ בית הקפה, מערכות סאונד, הצטיידויות. </v>
      </c>
      <c r="AC98" s="3">
        <f>'  תקציב מינהל תפעול 2025 '!AC66</f>
        <v>828000</v>
      </c>
    </row>
    <row r="99" spans="1:68" ht="30">
      <c r="A99" s="3">
        <f t="shared" si="10"/>
        <v>36</v>
      </c>
      <c r="B99" s="3">
        <f>'  תקציב מינהל תפעול 2025 '!B31</f>
        <v>2040</v>
      </c>
      <c r="C99" s="202" t="str">
        <f>'  תקציב מינהל תפעול 2025 '!C31</f>
        <v>ספורטק חידוש מתחם מתקני משחק</v>
      </c>
      <c r="D99" s="4">
        <f>'  תקציב מינהל תפעול 2025 '!D31</f>
        <v>2710000</v>
      </c>
      <c r="E99" s="4">
        <f>'  תקציב מינהל תפעול 2025 '!E31</f>
        <v>2710000</v>
      </c>
      <c r="F99" s="4">
        <f>'  תקציב מינהל תפעול 2025 '!F31</f>
        <v>0</v>
      </c>
      <c r="G99" s="4">
        <f>'  תקציב מינהל תפעול 2025 '!G31</f>
        <v>1410000</v>
      </c>
      <c r="H99" s="4">
        <f>'  תקציב מינהל תפעול 2025 '!H31</f>
        <v>1156514</v>
      </c>
      <c r="I99" s="4">
        <f>'  תקציב מינהל תפעול 2025 '!I31</f>
        <v>0</v>
      </c>
      <c r="J99" s="4">
        <f>'  תקציב מינהל תפעול 2025 '!J31</f>
        <v>223089.65</v>
      </c>
      <c r="K99" s="4">
        <f>'  תקציב מינהל תפעול 2025 '!K31</f>
        <v>223089.65</v>
      </c>
      <c r="L99" s="4">
        <f>'  תקציב מינהל תפעול 2025 '!L31</f>
        <v>1379603.65</v>
      </c>
      <c r="M99" s="4">
        <f>'  תקציב מינהל תפעול 2025 '!M31</f>
        <v>230396.35000000009</v>
      </c>
      <c r="N99" s="4">
        <f>'  תקציב מינהל תפעול 2025 '!N31</f>
        <v>0</v>
      </c>
      <c r="O99" s="4">
        <f>'  תקציב מינהל תפעול 2025 '!O31</f>
        <v>1100000</v>
      </c>
      <c r="P99" s="4">
        <f>'  תקציב מינהל תפעול 2025 '!P31</f>
        <v>30396.350000000093</v>
      </c>
      <c r="Q99" s="4">
        <f>'  תקציב מינהל תפעול 2025 '!Q31</f>
        <v>200000</v>
      </c>
      <c r="R99" s="4">
        <f>'  תקציב מינהל תפעול 2025 '!R31</f>
        <v>0</v>
      </c>
      <c r="S99" s="4">
        <f>'  תקציב מינהל תפעול 2025 '!S31</f>
        <v>200000</v>
      </c>
      <c r="T99" s="4">
        <f>'  תקציב מינהל תפעול 2025 '!T31</f>
        <v>0</v>
      </c>
      <c r="U99" s="4">
        <f>'  תקציב מינהל תפעול 2025 '!U31</f>
        <v>0</v>
      </c>
      <c r="V99" s="4">
        <f>'  תקציב מינהל תפעול 2025 '!V31</f>
        <v>0</v>
      </c>
      <c r="W99" s="4">
        <f>'  תקציב מינהל תפעול 2025 '!W31</f>
        <v>0</v>
      </c>
      <c r="X99" s="4">
        <f>'  תקציב מינהל תפעול 2025 '!X31</f>
        <v>0</v>
      </c>
      <c r="Y99" s="4">
        <f>'  תקציב מינהל תפעול 2025 '!Y31</f>
        <v>0</v>
      </c>
      <c r="Z99" s="4">
        <f>'  תקציב מינהל תפעול 2025 '!Z31</f>
        <v>0</v>
      </c>
      <c r="AA99" s="3">
        <f>'  תקציב מינהל תפעול 2025 '!AA31</f>
        <v>0</v>
      </c>
      <c r="AB99" s="202" t="str">
        <f>'  תקציב מינהל תפעול 2025 '!AB31</f>
        <v xml:space="preserve">החלפת מתחם מתקני משחק. </v>
      </c>
      <c r="AC99" s="3">
        <f>'  תקציב מינהל תפעול 2025 '!AC31</f>
        <v>829000</v>
      </c>
    </row>
    <row r="100" spans="1:68" ht="45">
      <c r="A100" s="3">
        <f t="shared" si="10"/>
        <v>37</v>
      </c>
      <c r="B100" s="3">
        <f>'  תקציב מינהל תפעול 2025 '!B54</f>
        <v>2235</v>
      </c>
      <c r="C100" s="202" t="str">
        <f>'  תקציב מינהל תפעול 2025 '!C54</f>
        <v>הקמת מבנים יבילים חדשים באיצטדיון</v>
      </c>
      <c r="D100" s="4">
        <f>'  תקציב מינהל תפעול 2025 '!D54</f>
        <v>3775000</v>
      </c>
      <c r="E100" s="4">
        <f>'  תקציב מינהל תפעול 2025 '!E54</f>
        <v>3775000</v>
      </c>
      <c r="F100" s="4">
        <f>'  תקציב מינהל תפעול 2025 '!F54</f>
        <v>0</v>
      </c>
      <c r="G100" s="4">
        <f>'  תקציב מינהל תפעול 2025 '!G54</f>
        <v>3000000</v>
      </c>
      <c r="H100" s="4">
        <f>'  תקציב מינהל תפעול 2025 '!H54</f>
        <v>2436524</v>
      </c>
      <c r="I100" s="4">
        <f>'  תקציב מינהל תפעול 2025 '!I54</f>
        <v>0</v>
      </c>
      <c r="J100" s="4">
        <f>'  תקציב מינהל תפעול 2025 '!J54</f>
        <v>0</v>
      </c>
      <c r="K100" s="4">
        <f>'  תקציב מינהל תפעול 2025 '!K54</f>
        <v>0</v>
      </c>
      <c r="L100" s="4">
        <f>'  תקציב מינהל תפעול 2025 '!L54</f>
        <v>2436524</v>
      </c>
      <c r="M100" s="4">
        <f>'  תקציב מינהל תפעול 2025 '!M54</f>
        <v>1338476</v>
      </c>
      <c r="N100" s="4">
        <f>'  תקציב מינהל תפעול 2025 '!N54</f>
        <v>0</v>
      </c>
      <c r="O100" s="4">
        <f>'  תקציב מינהל תפעול 2025 '!O54</f>
        <v>0</v>
      </c>
      <c r="P100" s="4">
        <f>'  תקציב מינהל תפעול 2025 '!P54</f>
        <v>563476</v>
      </c>
      <c r="Q100" s="4">
        <f>'  תקציב מינהל תפעול 2025 '!Q54</f>
        <v>775000</v>
      </c>
      <c r="R100" s="4">
        <f>'  תקציב מינהל תפעול 2025 '!R54</f>
        <v>0</v>
      </c>
      <c r="S100" s="4">
        <f>'  תקציב מינהל תפעול 2025 '!S54</f>
        <v>775000</v>
      </c>
      <c r="T100" s="4">
        <f>'  תקציב מינהל תפעול 2025 '!T54</f>
        <v>0</v>
      </c>
      <c r="U100" s="4">
        <f>'  תקציב מינהל תפעול 2025 '!U54</f>
        <v>0</v>
      </c>
      <c r="V100" s="4">
        <f>'  תקציב מינהל תפעול 2025 '!V54</f>
        <v>0</v>
      </c>
      <c r="W100" s="4">
        <f>'  תקציב מינהל תפעול 2025 '!W54</f>
        <v>0</v>
      </c>
      <c r="X100" s="4">
        <f>'  תקציב מינהל תפעול 2025 '!X54</f>
        <v>0</v>
      </c>
      <c r="Y100" s="4">
        <f>'  תקציב מינהל תפעול 2025 '!Y54</f>
        <v>0</v>
      </c>
      <c r="Z100" s="4">
        <f>'  תקציב מינהל תפעול 2025 '!Z54</f>
        <v>0</v>
      </c>
      <c r="AA100" s="3">
        <f>'  תקציב מינהל תפעול 2025 '!AA54</f>
        <v>0</v>
      </c>
      <c r="AB100" s="202" t="str">
        <f>'  תקציב מינהל תפעול 2025 '!AB54</f>
        <v>הקמת מבנים יבילים  וממ"ד באיצטדיון כולל תשתיות ופיתוח דרכי גישה. ממ"ד מק. ייעודית.</v>
      </c>
      <c r="AC100" s="3">
        <f>'  תקציב מינהל תפעול 2025 '!AC54</f>
        <v>829000</v>
      </c>
    </row>
    <row r="101" spans="1:68" s="5" customFormat="1" ht="60">
      <c r="A101" s="3">
        <f t="shared" si="10"/>
        <v>38</v>
      </c>
      <c r="B101" s="3">
        <f>'  תקציב מינהל תפעול 2025 '!B65</f>
        <v>20032</v>
      </c>
      <c r="C101" s="202" t="str">
        <f>'  תקציב מינהל תפעול 2025 '!C65</f>
        <v>שדרוג תאורה במגרשי אימונים באיצטדיון</v>
      </c>
      <c r="D101" s="4">
        <f>'  תקציב מינהל תפעול 2025 '!D65</f>
        <v>3560000</v>
      </c>
      <c r="E101" s="4">
        <f>'  תקציב מינהל תפעול 2025 '!E65</f>
        <v>3560000</v>
      </c>
      <c r="F101" s="4">
        <f>'  תקציב מינהל תפעול 2025 '!F65</f>
        <v>0</v>
      </c>
      <c r="G101" s="4">
        <f>'  תקציב מינהל תפעול 2025 '!G65</f>
        <v>3560000</v>
      </c>
      <c r="H101" s="4">
        <f>'  תקציב מינהל תפעול 2025 '!H65</f>
        <v>3553425</v>
      </c>
      <c r="I101" s="4">
        <f>'  תקציב מינהל תפעול 2025 '!I65</f>
        <v>0</v>
      </c>
      <c r="J101" s="4">
        <f>'  תקציב מינהל תפעול 2025 '!J65</f>
        <v>0</v>
      </c>
      <c r="K101" s="4">
        <f>'  תקציב מינהל תפעול 2025 '!K65</f>
        <v>0</v>
      </c>
      <c r="L101" s="4">
        <f>'  תקציב מינהל תפעול 2025 '!L65</f>
        <v>3553425</v>
      </c>
      <c r="M101" s="4">
        <f>'  תקציב מינהל תפעול 2025 '!M65</f>
        <v>6575</v>
      </c>
      <c r="N101" s="4">
        <f>'  תקציב מינהל תפעול 2025 '!N65</f>
        <v>0</v>
      </c>
      <c r="O101" s="4">
        <f>'  תקציב מינהל תפעול 2025 '!O65</f>
        <v>0</v>
      </c>
      <c r="P101" s="4">
        <f>'  תקציב מינהל תפעול 2025 '!P65</f>
        <v>6575</v>
      </c>
      <c r="Q101" s="311">
        <f>'  תקציב מינהל תפעול 2025 '!Q65</f>
        <v>0</v>
      </c>
      <c r="R101" s="4">
        <f>'  תקציב מינהל תפעול 2025 '!R65</f>
        <v>0</v>
      </c>
      <c r="S101" s="4">
        <f>'  תקציב מינהל תפעול 2025 '!S65</f>
        <v>0</v>
      </c>
      <c r="T101" s="4">
        <f>'  תקציב מינהל תפעול 2025 '!T65</f>
        <v>0</v>
      </c>
      <c r="U101" s="4">
        <f>'  תקציב מינהל תפעול 2025 '!U65</f>
        <v>0</v>
      </c>
      <c r="V101" s="4">
        <f>'  תקציב מינהל תפעול 2025 '!V65</f>
        <v>0</v>
      </c>
      <c r="W101" s="4">
        <f>'  תקציב מינהל תפעול 2025 '!W65</f>
        <v>0</v>
      </c>
      <c r="X101" s="4">
        <f>'  תקציב מינהל תפעול 2025 '!X65</f>
        <v>0</v>
      </c>
      <c r="Y101" s="4">
        <f>'  תקציב מינהל תפעול 2025 '!Y65</f>
        <v>0</v>
      </c>
      <c r="Z101" s="4">
        <f>'  תקציב מינהל תפעול 2025 '!Z65</f>
        <v>0</v>
      </c>
      <c r="AA101" s="3">
        <f>'  תקציב מינהל תפעול 2025 '!AA65</f>
        <v>0</v>
      </c>
      <c r="AB101" s="202" t="str">
        <f>'  תקציב מינהל תפעול 2025 '!AB65</f>
        <v xml:space="preserve">שדרוג תאורה במגרשי האצטדיון-החלפה לתאורת לד ,החלפת עמודים ומערכת בקרה לשליטה מרחוק. מימון מ. הספורט. ייסגר עם קבלת תקבול מ. הספורט. </v>
      </c>
      <c r="AC101" s="3">
        <f>'  תקציב מינהל תפעול 2025 '!AC65</f>
        <v>829000</v>
      </c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48"/>
      <c r="AQ101" s="148"/>
      <c r="AR101" s="148"/>
      <c r="AS101" s="148"/>
      <c r="AT101" s="531"/>
      <c r="AU101" s="531"/>
      <c r="AV101" s="531"/>
      <c r="AW101" s="531"/>
      <c r="AX101" s="531"/>
      <c r="AY101" s="531"/>
      <c r="AZ101" s="531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</row>
    <row r="102" spans="1:68" s="5" customFormat="1" ht="45">
      <c r="A102" s="3">
        <f t="shared" si="10"/>
        <v>39</v>
      </c>
      <c r="B102" s="3">
        <f>'  תקציב מינהל תפעול 2025 '!B73</f>
        <v>20070</v>
      </c>
      <c r="C102" s="202" t="str">
        <f>'  תקציב מינהל תפעול 2025 '!C73</f>
        <v>החלפת תאורה לתאורת לד באולמות הספורט</v>
      </c>
      <c r="D102" s="4">
        <f>'  תקציב מינהל תפעול 2025 '!D73</f>
        <v>450000</v>
      </c>
      <c r="E102" s="4">
        <f>'  תקציב מינהל תפעול 2025 '!E73</f>
        <v>450000</v>
      </c>
      <c r="F102" s="4">
        <f>'  תקציב מינהל תפעול 2025 '!F73</f>
        <v>0</v>
      </c>
      <c r="G102" s="4">
        <f>'  תקציב מינהל תפעול 2025 '!G73</f>
        <v>450000</v>
      </c>
      <c r="H102" s="4">
        <f>'  תקציב מינהל תפעול 2025 '!H73</f>
        <v>220649</v>
      </c>
      <c r="I102" s="4">
        <f>'  תקציב מינהל תפעול 2025 '!I73</f>
        <v>0</v>
      </c>
      <c r="J102" s="4">
        <f>'  תקציב מינהל תפעול 2025 '!J73</f>
        <v>62620</v>
      </c>
      <c r="K102" s="4">
        <f>'  תקציב מינהל תפעול 2025 '!K73</f>
        <v>62620</v>
      </c>
      <c r="L102" s="4">
        <f>'  תקציב מינהל תפעול 2025 '!L73</f>
        <v>283269</v>
      </c>
      <c r="M102" s="4">
        <f>'  תקציב מינהל תפעול 2025 '!M73</f>
        <v>166731</v>
      </c>
      <c r="N102" s="4">
        <f>'  תקציב מינהל תפעול 2025 '!N73</f>
        <v>0</v>
      </c>
      <c r="O102" s="4">
        <f>'  תקציב מינהל תפעול 2025 '!O73</f>
        <v>0</v>
      </c>
      <c r="P102" s="4">
        <f>'  תקציב מינהל תפעול 2025 '!P73</f>
        <v>166731</v>
      </c>
      <c r="Q102" s="311">
        <f>'  תקציב מינהל תפעול 2025 '!Q73</f>
        <v>0</v>
      </c>
      <c r="R102" s="4">
        <f>'  תקציב מינהל תפעול 2025 '!R73</f>
        <v>0</v>
      </c>
      <c r="S102" s="4">
        <f>'  תקציב מינהל תפעול 2025 '!S73</f>
        <v>0</v>
      </c>
      <c r="T102" s="4">
        <f>'  תקציב מינהל תפעול 2025 '!T73</f>
        <v>0</v>
      </c>
      <c r="U102" s="4">
        <f>'  תקציב מינהל תפעול 2025 '!U73</f>
        <v>0</v>
      </c>
      <c r="V102" s="4">
        <f>'  תקציב מינהל תפעול 2025 '!V73</f>
        <v>0</v>
      </c>
      <c r="W102" s="4">
        <f>'  תקציב מינהל תפעול 2025 '!W73</f>
        <v>0</v>
      </c>
      <c r="X102" s="4">
        <f>'  תקציב מינהל תפעול 2025 '!X73</f>
        <v>0</v>
      </c>
      <c r="Y102" s="4">
        <f>'  תקציב מינהל תפעול 2025 '!Y73</f>
        <v>0</v>
      </c>
      <c r="Z102" s="4">
        <f>'  תקציב מינהל תפעול 2025 '!Z73</f>
        <v>0</v>
      </c>
      <c r="AA102" s="3">
        <f>'  תקציב מינהל תפעול 2025 '!AA73</f>
        <v>0</v>
      </c>
      <c r="AB102" s="202" t="str">
        <f>'  תקציב מינהל תפעול 2025 '!AB73</f>
        <v>החלפת תאורה ללדים באולמות הספורט עפ"י רשימה שתאושר ע"י הנהלת העיר.</v>
      </c>
      <c r="AC102" s="3">
        <f>'  תקציב מינהל תפעול 2025 '!AC73</f>
        <v>829000</v>
      </c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48"/>
      <c r="AQ102" s="148"/>
      <c r="AR102" s="148"/>
      <c r="AS102" s="148"/>
      <c r="AT102" s="531"/>
      <c r="AU102" s="531"/>
      <c r="AV102" s="531"/>
      <c r="AW102" s="531"/>
      <c r="AX102" s="531"/>
      <c r="AY102" s="531"/>
      <c r="AZ102" s="531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</row>
    <row r="103" spans="1:68" s="5" customFormat="1" ht="30">
      <c r="A103" s="3">
        <f t="shared" si="10"/>
        <v>40</v>
      </c>
      <c r="B103" s="3">
        <f>'  תקציב מינהל תפעול 2025 '!B81</f>
        <v>20094</v>
      </c>
      <c r="C103" s="202" t="str">
        <f>'  תקציב מינהל תפעול 2025 '!C81</f>
        <v>שדרוג תאורה באיצטדיון הרצליה</v>
      </c>
      <c r="D103" s="4">
        <f>'  תקציב מינהל תפעול 2025 '!D81</f>
        <v>2090000</v>
      </c>
      <c r="E103" s="4">
        <f>'  תקציב מינהל תפעול 2025 '!E81</f>
        <v>2090000</v>
      </c>
      <c r="F103" s="4">
        <f>'  תקציב מינהל תפעול 2025 '!F81</f>
        <v>0</v>
      </c>
      <c r="G103" s="4">
        <f>'  תקציב מינהל תפעול 2025 '!G81</f>
        <v>2090000</v>
      </c>
      <c r="H103" s="4">
        <f>'  תקציב מינהל תפעול 2025 '!H81</f>
        <v>2089932</v>
      </c>
      <c r="I103" s="4">
        <f>'  תקציב מינהל תפעול 2025 '!I81</f>
        <v>0</v>
      </c>
      <c r="J103" s="4">
        <f>'  תקציב מינהל תפעול 2025 '!J81</f>
        <v>0</v>
      </c>
      <c r="K103" s="4">
        <f>'  תקציב מינהל תפעול 2025 '!K81</f>
        <v>0</v>
      </c>
      <c r="L103" s="4">
        <f>'  תקציב מינהל תפעול 2025 '!L81</f>
        <v>2089932</v>
      </c>
      <c r="M103" s="4">
        <f>'  תקציב מינהל תפעול 2025 '!M81</f>
        <v>68</v>
      </c>
      <c r="N103" s="4">
        <f>'  תקציב מינהל תפעול 2025 '!N81</f>
        <v>0</v>
      </c>
      <c r="O103" s="4">
        <f>'  תקציב מינהל תפעול 2025 '!O81</f>
        <v>0</v>
      </c>
      <c r="P103" s="4">
        <f>'  תקציב מינהל תפעול 2025 '!P81</f>
        <v>68</v>
      </c>
      <c r="Q103" s="311">
        <f>'  תקציב מינהל תפעול 2025 '!Q81</f>
        <v>0</v>
      </c>
      <c r="R103" s="4">
        <f>'  תקציב מינהל תפעול 2025 '!R81</f>
        <v>0</v>
      </c>
      <c r="S103" s="4">
        <f>'  תקציב מינהל תפעול 2025 '!S81</f>
        <v>0</v>
      </c>
      <c r="T103" s="4">
        <f>'  תקציב מינהל תפעול 2025 '!T81</f>
        <v>0</v>
      </c>
      <c r="U103" s="4">
        <f>'  תקציב מינהל תפעול 2025 '!U81</f>
        <v>0</v>
      </c>
      <c r="V103" s="4">
        <f>'  תקציב מינהל תפעול 2025 '!V81</f>
        <v>0</v>
      </c>
      <c r="W103" s="4">
        <f>'  תקציב מינהל תפעול 2025 '!W81</f>
        <v>0</v>
      </c>
      <c r="X103" s="4">
        <f>'  תקציב מינהל תפעול 2025 '!X81</f>
        <v>0</v>
      </c>
      <c r="Y103" s="4">
        <f>'  תקציב מינהל תפעול 2025 '!Y81</f>
        <v>0</v>
      </c>
      <c r="Z103" s="4">
        <f>'  תקציב מינהל תפעול 2025 '!Z81</f>
        <v>0</v>
      </c>
      <c r="AA103" s="3">
        <f>'  תקציב מינהל תפעול 2025 '!AA81</f>
        <v>0</v>
      </c>
      <c r="AB103" s="202" t="str">
        <f>'  תקציב מינהל תפעול 2025 '!AB81</f>
        <v xml:space="preserve">שדרוג התאורה באיצטדיון העירוני.  מימון מ. הספורט. </v>
      </c>
      <c r="AC103" s="3">
        <f>'  תקציב מינהל תפעול 2025 '!AC81</f>
        <v>829000</v>
      </c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48"/>
      <c r="AQ103" s="148"/>
      <c r="AR103" s="148"/>
      <c r="AS103" s="148"/>
      <c r="AT103" s="531"/>
      <c r="AU103" s="531"/>
      <c r="AV103" s="531"/>
      <c r="AW103" s="531"/>
      <c r="AX103" s="531"/>
      <c r="AY103" s="531"/>
      <c r="AZ103" s="531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</row>
    <row r="104" spans="1:68" s="5" customFormat="1" ht="64.5" customHeight="1">
      <c r="A104" s="3">
        <f t="shared" si="10"/>
        <v>41</v>
      </c>
      <c r="B104" s="19">
        <f>'  תקציב מינהל תפעול 2025 '!B100</f>
        <v>20165</v>
      </c>
      <c r="C104" s="222" t="str">
        <f>'  תקציב מינהל תפעול 2025 '!C100</f>
        <v>שיפוץ מתקנים לאירוח המכביה</v>
      </c>
      <c r="D104" s="112">
        <f>'  תקציב מינהל תפעול 2025 '!D100</f>
        <v>1005000</v>
      </c>
      <c r="E104" s="112">
        <f>'  תקציב מינהל תפעול 2025 '!E100</f>
        <v>0</v>
      </c>
      <c r="F104" s="112">
        <f>'  תקציב מינהל תפעול 2025 '!F100</f>
        <v>1005000</v>
      </c>
      <c r="G104" s="112">
        <f>'  תקציב מינהל תפעול 2025 '!G100</f>
        <v>0</v>
      </c>
      <c r="H104" s="112">
        <f>'  תקציב מינהל תפעול 2025 '!H100</f>
        <v>0</v>
      </c>
      <c r="I104" s="112">
        <f>'  תקציב מינהל תפעול 2025 '!I100</f>
        <v>0</v>
      </c>
      <c r="J104" s="112">
        <f>'  תקציב מינהל תפעול 2025 '!J100</f>
        <v>0</v>
      </c>
      <c r="K104" s="112">
        <f>'  תקציב מינהל תפעול 2025 '!K100</f>
        <v>0</v>
      </c>
      <c r="L104" s="112">
        <f>'  תקציב מינהל תפעול 2025 '!L100</f>
        <v>0</v>
      </c>
      <c r="M104" s="112">
        <f>'  תקציב מינהל תפעול 2025 '!M100</f>
        <v>0</v>
      </c>
      <c r="N104" s="112">
        <f>'  תקציב מינהל תפעול 2025 '!N100</f>
        <v>1005000</v>
      </c>
      <c r="O104" s="112">
        <f>'  תקציב מינהל תפעול 2025 '!O100</f>
        <v>0</v>
      </c>
      <c r="P104" s="112">
        <f>'  תקציב מינהל תפעול 2025 '!P100</f>
        <v>0</v>
      </c>
      <c r="Q104" s="112">
        <f>'  תקציב מינהל תפעול 2025 '!Q100</f>
        <v>0</v>
      </c>
      <c r="R104" s="112">
        <f>'  תקציב מינהל תפעול 2025 '!R100</f>
        <v>0</v>
      </c>
      <c r="S104" s="112">
        <f>'  תקציב מינהל תפעול 2025 '!S100</f>
        <v>0</v>
      </c>
      <c r="T104" s="112">
        <f>'  תקציב מינהל תפעול 2025 '!T100</f>
        <v>0</v>
      </c>
      <c r="U104" s="112">
        <f>'  תקציב מינהל תפעול 2025 '!U100</f>
        <v>1005000</v>
      </c>
      <c r="V104" s="112">
        <f>'  תקציב מינהל תפעול 2025 '!V100</f>
        <v>0</v>
      </c>
      <c r="W104" s="4">
        <f>'  תקציב מינהל תפעול 2025 '!W100</f>
        <v>255000</v>
      </c>
      <c r="X104" s="112">
        <f>'  תקציב מינהל תפעול 2025 '!X100</f>
        <v>0</v>
      </c>
      <c r="Y104" s="112">
        <f>'  תקציב מינהל תפעול 2025 '!Y100</f>
        <v>0</v>
      </c>
      <c r="Z104" s="112">
        <f>'  תקציב מינהל תפעול 2025 '!Z100</f>
        <v>0</v>
      </c>
      <c r="AA104" s="112">
        <f>'  תקציב מינהל תפעול 2025 '!AA100</f>
        <v>750000</v>
      </c>
      <c r="AB104" s="202" t="str">
        <f>'  תקציב מינהל תפעול 2025 '!AB100</f>
        <v>עבודות שיפוץ,מע. הגברה לקראת אירוח המכביה 2025. בקשת מימון מ. הספורט 750 אלשח.</v>
      </c>
      <c r="AC104" s="3">
        <f>'  תקציב מינהל תפעול 2025 '!AC100</f>
        <v>829000</v>
      </c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48"/>
      <c r="AQ104" s="148"/>
      <c r="AR104" s="148"/>
      <c r="AS104" s="148"/>
      <c r="AT104" s="531"/>
      <c r="AU104" s="123"/>
      <c r="AV104" s="123"/>
      <c r="AW104" s="123"/>
      <c r="AX104" s="123"/>
      <c r="AY104" s="123"/>
      <c r="AZ104" s="123"/>
      <c r="BA104" s="123"/>
      <c r="BB104" s="123"/>
      <c r="BC104" s="256"/>
      <c r="BD104" s="256"/>
      <c r="BE104" s="256"/>
      <c r="BF104" s="256"/>
      <c r="BG104" s="256"/>
      <c r="BH104" s="256"/>
      <c r="BI104" s="256"/>
      <c r="BJ104" s="256"/>
      <c r="BK104" s="256"/>
    </row>
    <row r="105" spans="1:68" s="6" customFormat="1" ht="20.100000000000001" customHeight="1">
      <c r="A105" s="7"/>
      <c r="B105" s="7"/>
      <c r="C105" s="122" t="s">
        <v>1336</v>
      </c>
      <c r="D105" s="130">
        <f>SUM(D92:D104)</f>
        <v>44630000</v>
      </c>
      <c r="E105" s="130">
        <f t="shared" ref="E105:AA105" si="11">SUM(E92:E104)</f>
        <v>27405000</v>
      </c>
      <c r="F105" s="130">
        <f t="shared" si="11"/>
        <v>17225000</v>
      </c>
      <c r="G105" s="130">
        <f t="shared" si="11"/>
        <v>23310000</v>
      </c>
      <c r="H105" s="130">
        <f t="shared" si="11"/>
        <v>16400123</v>
      </c>
      <c r="I105" s="130">
        <f t="shared" si="11"/>
        <v>0</v>
      </c>
      <c r="J105" s="130">
        <f t="shared" si="11"/>
        <v>5542423.6500000004</v>
      </c>
      <c r="K105" s="130">
        <f t="shared" si="11"/>
        <v>5542423.6500000004</v>
      </c>
      <c r="L105" s="130">
        <f t="shared" si="11"/>
        <v>21942546.649999999</v>
      </c>
      <c r="M105" s="130">
        <f t="shared" si="11"/>
        <v>2762453.35</v>
      </c>
      <c r="N105" s="130">
        <f t="shared" si="11"/>
        <v>3925000</v>
      </c>
      <c r="O105" s="130">
        <f t="shared" si="11"/>
        <v>16000000</v>
      </c>
      <c r="P105" s="130">
        <f t="shared" si="11"/>
        <v>1367453.35</v>
      </c>
      <c r="Q105" s="130">
        <f t="shared" si="11"/>
        <v>975000</v>
      </c>
      <c r="R105" s="130">
        <f t="shared" si="11"/>
        <v>420000</v>
      </c>
      <c r="S105" s="130">
        <f t="shared" si="11"/>
        <v>1395000</v>
      </c>
      <c r="T105" s="130">
        <f t="shared" si="11"/>
        <v>0</v>
      </c>
      <c r="U105" s="130">
        <f t="shared" si="11"/>
        <v>3925000</v>
      </c>
      <c r="V105" s="130">
        <f t="shared" si="11"/>
        <v>0</v>
      </c>
      <c r="W105" s="130">
        <f t="shared" si="11"/>
        <v>3175000</v>
      </c>
      <c r="X105" s="130">
        <f t="shared" si="11"/>
        <v>0</v>
      </c>
      <c r="Y105" s="130">
        <f t="shared" si="11"/>
        <v>0</v>
      </c>
      <c r="Z105" s="130">
        <f t="shared" si="11"/>
        <v>0</v>
      </c>
      <c r="AA105" s="130">
        <f t="shared" si="11"/>
        <v>750000</v>
      </c>
      <c r="AB105" s="13"/>
      <c r="AC105" s="7"/>
      <c r="AD105" s="678"/>
      <c r="AE105" s="678"/>
      <c r="AF105" s="678"/>
      <c r="AG105" s="678"/>
      <c r="AH105" s="678"/>
      <c r="AI105" s="678"/>
      <c r="AJ105" s="678"/>
      <c r="AK105" s="678"/>
      <c r="AL105" s="678"/>
      <c r="AM105" s="678"/>
      <c r="AN105" s="678"/>
      <c r="AO105" s="678"/>
      <c r="AP105" s="596"/>
      <c r="AQ105" s="596"/>
      <c r="AR105" s="596"/>
      <c r="AS105" s="596"/>
      <c r="AT105" s="523"/>
      <c r="AU105" s="212"/>
      <c r="AV105" s="212"/>
      <c r="AW105" s="212"/>
      <c r="AX105" s="212"/>
      <c r="AY105" s="212"/>
      <c r="AZ105" s="212"/>
      <c r="BA105" s="212"/>
      <c r="BB105" s="212"/>
      <c r="BC105" s="314"/>
      <c r="BD105" s="314"/>
      <c r="BE105" s="314"/>
      <c r="BF105" s="314"/>
      <c r="BG105" s="314"/>
      <c r="BH105" s="314"/>
      <c r="BI105" s="314"/>
      <c r="BJ105" s="314"/>
      <c r="BK105" s="314"/>
    </row>
    <row r="106" spans="1:68" s="6" customFormat="1" ht="20.100000000000001" customHeight="1">
      <c r="A106" s="7"/>
      <c r="B106" s="7"/>
      <c r="C106" s="129">
        <v>848</v>
      </c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8"/>
      <c r="X106" s="130"/>
      <c r="Y106" s="130"/>
      <c r="Z106" s="130"/>
      <c r="AA106" s="130"/>
      <c r="AB106" s="13"/>
      <c r="AC106" s="7"/>
      <c r="AD106" s="678"/>
      <c r="AE106" s="678"/>
      <c r="AF106" s="678"/>
      <c r="AG106" s="678"/>
      <c r="AH106" s="678"/>
      <c r="AI106" s="678"/>
      <c r="AJ106" s="678"/>
      <c r="AK106" s="678"/>
      <c r="AL106" s="678"/>
      <c r="AM106" s="678"/>
      <c r="AN106" s="678"/>
      <c r="AO106" s="678"/>
      <c r="AP106" s="596"/>
      <c r="AQ106" s="596"/>
      <c r="AR106" s="596"/>
      <c r="AS106" s="596"/>
      <c r="AT106" s="523"/>
      <c r="AU106" s="212"/>
      <c r="AV106" s="212"/>
      <c r="AW106" s="212"/>
      <c r="AX106" s="212"/>
      <c r="AY106" s="212"/>
      <c r="AZ106" s="212"/>
      <c r="BA106" s="212"/>
      <c r="BB106" s="212"/>
      <c r="BC106" s="314"/>
      <c r="BD106" s="314"/>
      <c r="BE106" s="314"/>
      <c r="BF106" s="314"/>
      <c r="BG106" s="314"/>
      <c r="BH106" s="314"/>
      <c r="BI106" s="314"/>
      <c r="BJ106" s="314"/>
      <c r="BK106" s="314"/>
    </row>
    <row r="107" spans="1:68" s="5" customFormat="1" ht="42" customHeight="1">
      <c r="A107" s="3">
        <f>A104+1</f>
        <v>42</v>
      </c>
      <c r="B107" s="3">
        <f>'  תקציב מינהל תפעול 2025 '!B63</f>
        <v>20029</v>
      </c>
      <c r="C107" s="202" t="str">
        <f>'  תקציב מינהל תפעול 2025 '!C63</f>
        <v>שדרוג וחידוש רהוט רחוב ברחבי העיר</v>
      </c>
      <c r="D107" s="4">
        <f>'  תקציב מינהל תפעול 2025 '!D63</f>
        <v>4500000</v>
      </c>
      <c r="E107" s="4">
        <f>'  תקציב מינהל תפעול 2025 '!E63</f>
        <v>3500000</v>
      </c>
      <c r="F107" s="4">
        <f>'  תקציב מינהל תפעול 2025 '!F63</f>
        <v>1000000</v>
      </c>
      <c r="G107" s="4">
        <f>'  תקציב מינהל תפעול 2025 '!G63</f>
        <v>1720000</v>
      </c>
      <c r="H107" s="4">
        <f>'  תקציב מינהל תפעול 2025 '!H63</f>
        <v>1311286</v>
      </c>
      <c r="I107" s="4">
        <f>'  תקציב מינהל תפעול 2025 '!I63</f>
        <v>0</v>
      </c>
      <c r="J107" s="4">
        <f>'  תקציב מינהל תפעול 2025 '!J63</f>
        <v>392569.31</v>
      </c>
      <c r="K107" s="4">
        <f>'  תקציב מינהל תפעול 2025 '!K63</f>
        <v>392569.31</v>
      </c>
      <c r="L107" s="4">
        <f>'  תקציב מינהל תפעול 2025 '!L63</f>
        <v>1703855.31</v>
      </c>
      <c r="M107" s="4">
        <f>'  תקציב מינהל תפעול 2025 '!M63</f>
        <v>16144.689999999944</v>
      </c>
      <c r="N107" s="4">
        <f>'  תקציב מינהל תפעול 2025 '!N63</f>
        <v>500000</v>
      </c>
      <c r="O107" s="4">
        <f>'  תקציב מינהל תפעול 2025 '!O63</f>
        <v>2280000</v>
      </c>
      <c r="P107" s="4">
        <f>'  תקציב מינהל תפעול 2025 '!P63</f>
        <v>16144.689999999944</v>
      </c>
      <c r="Q107" s="311">
        <f>'  תקציב מינהל תפעול 2025 '!Q63</f>
        <v>0</v>
      </c>
      <c r="R107" s="4">
        <f>'  תקציב מינהל תפעול 2025 '!R63</f>
        <v>0</v>
      </c>
      <c r="S107" s="4">
        <f>'  תקציב מינהל תפעול 2025 '!S63</f>
        <v>0</v>
      </c>
      <c r="T107" s="4">
        <f>'  תקציב מינהל תפעול 2025 '!T63</f>
        <v>0</v>
      </c>
      <c r="U107" s="4">
        <f>'  תקציב מינהל תפעול 2025 '!U63</f>
        <v>500000</v>
      </c>
      <c r="V107" s="4">
        <f>'  תקציב מינהל תפעול 2025 '!V63</f>
        <v>0</v>
      </c>
      <c r="W107" s="4">
        <f>'  תקציב מינהל תפעול 2025 '!W63</f>
        <v>500000</v>
      </c>
      <c r="X107" s="4">
        <f>'  תקציב מינהל תפעול 2025 '!X63</f>
        <v>0</v>
      </c>
      <c r="Y107" s="4">
        <f>'  תקציב מינהל תפעול 2025 '!Y63</f>
        <v>0</v>
      </c>
      <c r="Z107" s="4">
        <f>'  תקציב מינהל תפעול 2025 '!Z63</f>
        <v>0</v>
      </c>
      <c r="AA107" s="3">
        <f>'  תקציב מינהל תפעול 2025 '!AA63</f>
        <v>0</v>
      </c>
      <c r="AB107" s="496" t="str">
        <f>'  תקציב מינהל תפעול 2025 '!AB63</f>
        <v>תקציב מסגרת.החלפת ושדרוג ריהוט הרחוב ברחבי העיר עפ"י תוכנית שתאושר ע"י הנהלת העיר.</v>
      </c>
      <c r="AC107" s="3">
        <f>'  תקציב מינהל תפעול 2025 '!AC63</f>
        <v>848000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48"/>
      <c r="AQ107" s="148"/>
      <c r="AR107" s="148"/>
      <c r="AS107" s="148"/>
      <c r="AT107" s="531"/>
      <c r="AU107" s="531"/>
      <c r="AV107" s="531"/>
      <c r="AW107" s="531"/>
      <c r="AX107" s="531"/>
      <c r="AY107" s="531"/>
      <c r="AZ107" s="531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</row>
    <row r="108" spans="1:68" s="5" customFormat="1" ht="54.75" customHeight="1">
      <c r="A108" s="3">
        <f>A107+1</f>
        <v>43</v>
      </c>
      <c r="B108" s="3">
        <f>'  תקציב מינהל תפעול 2025 '!B79</f>
        <v>20089</v>
      </c>
      <c r="C108" s="202" t="str">
        <f>'  תקציב מינהל תפעול 2025 '!C79</f>
        <v>הקמת נישות לכלי אצירה/חומות/גדרות לחצרות</v>
      </c>
      <c r="D108" s="4">
        <f>'  תקציב מינהל תפעול 2025 '!D79</f>
        <v>1500000</v>
      </c>
      <c r="E108" s="4">
        <f>'  תקציב מינהל תפעול 2025 '!E79</f>
        <v>1500000</v>
      </c>
      <c r="F108" s="4">
        <f>'  תקציב מינהל תפעול 2025 '!F79</f>
        <v>0</v>
      </c>
      <c r="G108" s="4">
        <f>'  תקציב מינהל תפעול 2025 '!G79</f>
        <v>500000</v>
      </c>
      <c r="H108" s="4">
        <f>'  תקציב מינהל תפעול 2025 '!H79</f>
        <v>36855</v>
      </c>
      <c r="I108" s="4">
        <f>'  תקציב מינהל תפעול 2025 '!I79</f>
        <v>0</v>
      </c>
      <c r="J108" s="4">
        <f>'  תקציב מינהל תפעול 2025 '!J79</f>
        <v>400000</v>
      </c>
      <c r="K108" s="4">
        <f>'  תקציב מינהל תפעול 2025 '!K79</f>
        <v>400000</v>
      </c>
      <c r="L108" s="4">
        <f>'  תקציב מינהל תפעול 2025 '!L79</f>
        <v>436855</v>
      </c>
      <c r="M108" s="4">
        <f>'  תקציב מינהל תפעול 2025 '!M79</f>
        <v>63145</v>
      </c>
      <c r="N108" s="4">
        <f>'  תקציב מינהל תפעול 2025 '!N79</f>
        <v>0</v>
      </c>
      <c r="O108" s="4">
        <f>'  תקציב מינהל תפעול 2025 '!O79</f>
        <v>1000000</v>
      </c>
      <c r="P108" s="4">
        <f>'  תקציב מינהל תפעול 2025 '!P79</f>
        <v>63145</v>
      </c>
      <c r="Q108" s="311">
        <f>'  תקציב מינהל תפעול 2025 '!Q79</f>
        <v>0</v>
      </c>
      <c r="R108" s="4">
        <f>'  תקציב מינהל תפעול 2025 '!R79</f>
        <v>0</v>
      </c>
      <c r="S108" s="4">
        <f>'  תקציב מינהל תפעול 2025 '!S79</f>
        <v>0</v>
      </c>
      <c r="T108" s="4">
        <f>'  תקציב מינהל תפעול 2025 '!T79</f>
        <v>0</v>
      </c>
      <c r="U108" s="4">
        <f>'  תקציב מינהל תפעול 2025 '!U79</f>
        <v>0</v>
      </c>
      <c r="V108" s="4">
        <f>'  תקציב מינהל תפעול 2025 '!V79</f>
        <v>0</v>
      </c>
      <c r="W108" s="4">
        <f>'  תקציב מינהל תפעול 2025 '!W79</f>
        <v>0</v>
      </c>
      <c r="X108" s="4">
        <f>'  תקציב מינהל תפעול 2025 '!X79</f>
        <v>0</v>
      </c>
      <c r="Y108" s="4">
        <f>'  תקציב מינהל תפעול 2025 '!Y79</f>
        <v>0</v>
      </c>
      <c r="Z108" s="4">
        <f>'  תקציב מינהל תפעול 2025 '!Z79</f>
        <v>0</v>
      </c>
      <c r="AA108" s="3">
        <f>'  תקציב מינהל תפעול 2025 '!AA79</f>
        <v>0</v>
      </c>
      <c r="AB108" s="202" t="str">
        <f>'  תקציב מינהל תפעול 2025 '!AB79</f>
        <v>הקמת נישות לכלי אצירה לטובת פינוי המדרכות עבור הולכי רגל ויצירת חזית אחידה במרחב הציבורי. בשיתוף האגודה לתרבות הדיור.</v>
      </c>
      <c r="AC108" s="3">
        <f>'  תקציב מינהל תפעול 2025 '!AC79</f>
        <v>848000</v>
      </c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48"/>
      <c r="AQ108" s="148"/>
      <c r="AR108" s="148"/>
      <c r="AS108" s="148"/>
      <c r="AT108" s="531"/>
      <c r="AU108" s="531"/>
      <c r="AV108" s="531"/>
      <c r="AW108" s="531"/>
      <c r="AX108" s="531"/>
      <c r="AY108" s="531"/>
      <c r="AZ108" s="531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</row>
    <row r="109" spans="1:68" s="5" customFormat="1" ht="90">
      <c r="A109" s="3">
        <f>A108+1</f>
        <v>44</v>
      </c>
      <c r="B109" s="3">
        <f>'  תקציב מינהל תפעול 2025 '!B12</f>
        <v>1435</v>
      </c>
      <c r="C109" s="496" t="str">
        <f>'  תקציב מינהל תפעול 2025 '!C12</f>
        <v>שדרוג וטיפול המרחב הציבורי</v>
      </c>
      <c r="D109" s="4">
        <f>'  תקציב מינהל תפעול 2025 '!D12</f>
        <v>40274320</v>
      </c>
      <c r="E109" s="4">
        <f>'  תקציב מינהל תפעול 2025 '!E12</f>
        <v>45000000</v>
      </c>
      <c r="F109" s="4">
        <f>'  תקציב מינהל תפעול 2025 '!F12</f>
        <v>-4725680</v>
      </c>
      <c r="G109" s="4">
        <f>'  תקציב מינהל תפעול 2025 '!G12</f>
        <v>40274320</v>
      </c>
      <c r="H109" s="4">
        <f>'  תקציב מינהל תפעול 2025 '!H12</f>
        <v>38089074.590000004</v>
      </c>
      <c r="I109" s="4">
        <f>'  תקציב מינהל תפעול 2025 '!I12</f>
        <v>0</v>
      </c>
      <c r="J109" s="4">
        <f>'  תקציב מינהל תפעול 2025 '!J12</f>
        <v>1688388.56</v>
      </c>
      <c r="K109" s="4">
        <f>'  תקציב מינהל תפעול 2025 '!K12</f>
        <v>1688388.56</v>
      </c>
      <c r="L109" s="4">
        <f>'  תקציב מינהל תפעול 2025 '!L12</f>
        <v>39777463.150000006</v>
      </c>
      <c r="M109" s="4">
        <f>'  תקציב מינהל תפעול 2025 '!M12</f>
        <v>496856.84999999404</v>
      </c>
      <c r="N109" s="4">
        <f>'  תקציב מינהל תפעול 2025 '!N12</f>
        <v>0</v>
      </c>
      <c r="O109" s="4">
        <f>'  תקציב מינהל תפעול 2025 '!O12</f>
        <v>0</v>
      </c>
      <c r="P109" s="4">
        <f>'  תקציב מינהל תפעול 2025 '!P12</f>
        <v>496856.84999999404</v>
      </c>
      <c r="Q109" s="311">
        <f>'  תקציב מינהל תפעול 2025 '!Q12</f>
        <v>0</v>
      </c>
      <c r="R109" s="4">
        <f>'  תקציב מינהל תפעול 2025 '!R12</f>
        <v>0</v>
      </c>
      <c r="S109" s="4">
        <f>'  תקציב מינהל תפעול 2025 '!S12</f>
        <v>0</v>
      </c>
      <c r="T109" s="4">
        <f>'  תקציב מינהל תפעול 2025 '!T12</f>
        <v>0</v>
      </c>
      <c r="U109" s="4">
        <f>'  תקציב מינהל תפעול 2025 '!U12</f>
        <v>0</v>
      </c>
      <c r="V109" s="4">
        <f>'  תקציב מינהל תפעול 2025 '!V12</f>
        <v>0</v>
      </c>
      <c r="W109" s="4">
        <f>'  תקציב מינהל תפעול 2025 '!W12</f>
        <v>0</v>
      </c>
      <c r="X109" s="4">
        <f>'  תקציב מינהל תפעול 2025 '!X12</f>
        <v>0</v>
      </c>
      <c r="Y109" s="4">
        <f>'  תקציב מינהל תפעול 2025 '!Y12</f>
        <v>0</v>
      </c>
      <c r="Z109" s="4">
        <f>'  תקציב מינהל תפעול 2025 '!Z12</f>
        <v>0</v>
      </c>
      <c r="AA109" s="3">
        <f>'  תקציב מינהל תפעול 2025 '!AA12</f>
        <v>0</v>
      </c>
      <c r="AB109" s="202" t="str">
        <f>'  תקציב מינהל תפעול 2025 '!AB12</f>
        <v>עבודות במרחב הציבורי בשטחים ציבוריים בשכונות השונות ברחבי העיר כולל ריהוט רחוב , פינוי אסבסט, טיפול בפסלים, קולרים עפ"י ת.עבודה שתאושר ע"י הנהלת העיר. ראה תב"ר המשך מס' 20140.</v>
      </c>
      <c r="AC109" s="3">
        <f>'  תקציב מינהל תפעול 2025 '!AC12</f>
        <v>848500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48"/>
      <c r="AQ109" s="148"/>
      <c r="AR109" s="148"/>
      <c r="AS109" s="148"/>
      <c r="AT109" s="531"/>
      <c r="AU109" s="531"/>
      <c r="AV109" s="531"/>
      <c r="AW109" s="531"/>
      <c r="AX109" s="531"/>
      <c r="AY109" s="531"/>
      <c r="AZ109" s="531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</row>
    <row r="110" spans="1:68" s="6" customFormat="1">
      <c r="A110" s="7"/>
      <c r="B110" s="7"/>
      <c r="C110" s="13" t="s">
        <v>1338</v>
      </c>
      <c r="D110" s="8">
        <f>SUM(D107:D109)</f>
        <v>46274320</v>
      </c>
      <c r="E110" s="8">
        <f t="shared" ref="E110:AA110" si="12">SUM(E107:E109)</f>
        <v>50000000</v>
      </c>
      <c r="F110" s="8">
        <f t="shared" si="12"/>
        <v>-3725680</v>
      </c>
      <c r="G110" s="8">
        <f t="shared" si="12"/>
        <v>42494320</v>
      </c>
      <c r="H110" s="8">
        <f t="shared" si="12"/>
        <v>39437215.590000004</v>
      </c>
      <c r="I110" s="8">
        <f t="shared" si="12"/>
        <v>0</v>
      </c>
      <c r="J110" s="8">
        <f t="shared" si="12"/>
        <v>2480957.87</v>
      </c>
      <c r="K110" s="8">
        <f t="shared" si="12"/>
        <v>2480957.87</v>
      </c>
      <c r="L110" s="8">
        <f t="shared" si="12"/>
        <v>41918173.460000008</v>
      </c>
      <c r="M110" s="8">
        <f t="shared" si="12"/>
        <v>576146.53999999398</v>
      </c>
      <c r="N110" s="8">
        <f t="shared" si="12"/>
        <v>500000</v>
      </c>
      <c r="O110" s="8">
        <f t="shared" si="12"/>
        <v>3280000</v>
      </c>
      <c r="P110" s="8">
        <f t="shared" si="12"/>
        <v>576146.53999999398</v>
      </c>
      <c r="Q110" s="8">
        <f t="shared" si="12"/>
        <v>0</v>
      </c>
      <c r="R110" s="8">
        <f t="shared" si="12"/>
        <v>0</v>
      </c>
      <c r="S110" s="8">
        <f t="shared" si="12"/>
        <v>0</v>
      </c>
      <c r="T110" s="8">
        <f t="shared" si="12"/>
        <v>0</v>
      </c>
      <c r="U110" s="8">
        <f t="shared" si="12"/>
        <v>500000</v>
      </c>
      <c r="V110" s="8">
        <f t="shared" si="12"/>
        <v>0</v>
      </c>
      <c r="W110" s="8">
        <f t="shared" si="12"/>
        <v>500000</v>
      </c>
      <c r="X110" s="8">
        <f t="shared" si="12"/>
        <v>0</v>
      </c>
      <c r="Y110" s="8">
        <f t="shared" si="12"/>
        <v>0</v>
      </c>
      <c r="Z110" s="8">
        <f t="shared" si="12"/>
        <v>0</v>
      </c>
      <c r="AA110" s="8">
        <f t="shared" si="12"/>
        <v>0</v>
      </c>
      <c r="AB110" s="13"/>
      <c r="AC110" s="7"/>
      <c r="AD110" s="678"/>
      <c r="AE110" s="678"/>
      <c r="AF110" s="678"/>
      <c r="AG110" s="678"/>
      <c r="AH110" s="678"/>
      <c r="AI110" s="678"/>
      <c r="AJ110" s="678"/>
      <c r="AK110" s="678"/>
      <c r="AL110" s="678"/>
      <c r="AM110" s="678"/>
      <c r="AN110" s="678"/>
      <c r="AO110" s="678"/>
      <c r="AP110" s="596"/>
      <c r="AQ110" s="596"/>
      <c r="AR110" s="596"/>
      <c r="AS110" s="596"/>
      <c r="AT110" s="523"/>
      <c r="AU110" s="523"/>
      <c r="AV110" s="523"/>
      <c r="AW110" s="523"/>
      <c r="AX110" s="523"/>
      <c r="AY110" s="523"/>
      <c r="AZ110" s="523"/>
      <c r="BA110" s="596"/>
      <c r="BB110" s="596"/>
      <c r="BC110" s="596"/>
      <c r="BD110" s="596"/>
      <c r="BE110" s="596"/>
      <c r="BF110" s="596"/>
      <c r="BG110" s="596"/>
      <c r="BH110" s="596"/>
      <c r="BI110" s="596"/>
      <c r="BJ110" s="596"/>
      <c r="BK110" s="596"/>
      <c r="BL110" s="596"/>
      <c r="BM110" s="596"/>
      <c r="BN110" s="596"/>
      <c r="BO110" s="596"/>
      <c r="BP110" s="596"/>
    </row>
    <row r="111" spans="1:68" s="6" customFormat="1">
      <c r="A111" s="7"/>
      <c r="B111" s="7"/>
      <c r="C111" s="7">
        <v>85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679"/>
      <c r="R111" s="8"/>
      <c r="S111" s="8"/>
      <c r="T111" s="8"/>
      <c r="U111" s="8"/>
      <c r="V111" s="8"/>
      <c r="W111" s="8"/>
      <c r="X111" s="8"/>
      <c r="Y111" s="8"/>
      <c r="Z111" s="8"/>
      <c r="AA111" s="7"/>
      <c r="AB111" s="13"/>
      <c r="AC111" s="7"/>
      <c r="AD111" s="678"/>
      <c r="AE111" s="678"/>
      <c r="AF111" s="678"/>
      <c r="AG111" s="678"/>
      <c r="AH111" s="678"/>
      <c r="AI111" s="678"/>
      <c r="AJ111" s="678"/>
      <c r="AK111" s="678"/>
      <c r="AL111" s="678"/>
      <c r="AM111" s="678"/>
      <c r="AN111" s="678"/>
      <c r="AO111" s="678"/>
      <c r="AP111" s="596"/>
      <c r="AQ111" s="596"/>
      <c r="AR111" s="596"/>
      <c r="AS111" s="596"/>
      <c r="AT111" s="523"/>
      <c r="AU111" s="523"/>
      <c r="AV111" s="523"/>
      <c r="AW111" s="523"/>
      <c r="AX111" s="523"/>
      <c r="AY111" s="523"/>
      <c r="AZ111" s="523"/>
      <c r="BA111" s="596"/>
      <c r="BB111" s="596"/>
      <c r="BC111" s="596"/>
      <c r="BD111" s="596"/>
      <c r="BE111" s="596"/>
      <c r="BF111" s="596"/>
      <c r="BG111" s="596"/>
      <c r="BH111" s="596"/>
      <c r="BI111" s="596"/>
      <c r="BJ111" s="596"/>
      <c r="BK111" s="596"/>
      <c r="BL111" s="596"/>
      <c r="BM111" s="596"/>
      <c r="BN111" s="596"/>
      <c r="BO111" s="596"/>
      <c r="BP111" s="596"/>
    </row>
    <row r="112" spans="1:68" s="5" customFormat="1" ht="30">
      <c r="A112" s="3">
        <f>A109+1</f>
        <v>45</v>
      </c>
      <c r="B112" s="3">
        <f>'  תקציב מינהל תפעול 2025 '!B7</f>
        <v>1253</v>
      </c>
      <c r="C112" s="202" t="str">
        <f>'  תקציב מינהל תפעול 2025 '!C7</f>
        <v>שיפוץ מבני דת ציבוריים</v>
      </c>
      <c r="D112" s="4">
        <f>'  תקציב מינהל תפעול 2025 '!D7</f>
        <v>7100000</v>
      </c>
      <c r="E112" s="4">
        <f>'  תקציב מינהל תפעול 2025 '!E7</f>
        <v>6600000</v>
      </c>
      <c r="F112" s="4">
        <f>'  תקציב מינהל תפעול 2025 '!F7</f>
        <v>500000</v>
      </c>
      <c r="G112" s="4">
        <f>'  תקציב מינהל תפעול 2025 '!G7</f>
        <v>6600000</v>
      </c>
      <c r="H112" s="4">
        <f>'  תקציב מינהל תפעול 2025 '!H7</f>
        <v>6079682</v>
      </c>
      <c r="I112" s="4">
        <f>'  תקציב מינהל תפעול 2025 '!I7</f>
        <v>0</v>
      </c>
      <c r="J112" s="4">
        <f>'  תקציב מינהל תפעול 2025 '!J7</f>
        <v>519992</v>
      </c>
      <c r="K112" s="4">
        <f>'  תקציב מינהל תפעול 2025 '!K7</f>
        <v>519992</v>
      </c>
      <c r="L112" s="4">
        <f>'  תקציב מינהל תפעול 2025 '!L7</f>
        <v>6599674</v>
      </c>
      <c r="M112" s="4">
        <f>'  תקציב מינהל תפעול 2025 '!M7</f>
        <v>326</v>
      </c>
      <c r="N112" s="4">
        <f>'  תקציב מינהל תפעול 2025 '!N7</f>
        <v>500000</v>
      </c>
      <c r="O112" s="4">
        <f>'  תקציב מינהל תפעול 2025 '!O7</f>
        <v>0</v>
      </c>
      <c r="P112" s="4">
        <f>'  תקציב מינהל תפעול 2025 '!P7</f>
        <v>326</v>
      </c>
      <c r="Q112" s="4">
        <f>'  תקציב מינהל תפעול 2025 '!Q7</f>
        <v>0</v>
      </c>
      <c r="R112" s="4">
        <f>'  תקציב מינהל תפעול 2025 '!R7</f>
        <v>0</v>
      </c>
      <c r="S112" s="4">
        <f>'  תקציב מינהל תפעול 2025 '!S7</f>
        <v>0</v>
      </c>
      <c r="T112" s="4">
        <f>'  תקציב מינהל תפעול 2025 '!T7</f>
        <v>0</v>
      </c>
      <c r="U112" s="4">
        <f>'  תקציב מינהל תפעול 2025 '!U7</f>
        <v>500000</v>
      </c>
      <c r="V112" s="4">
        <f>'  תקציב מינהל תפעול 2025 '!V7</f>
        <v>0</v>
      </c>
      <c r="W112" s="4">
        <f>'  תקציב מינהל תפעול 2025 '!W7</f>
        <v>500000</v>
      </c>
      <c r="X112" s="4">
        <f>'  תקציב מינהל תפעול 2025 '!X7</f>
        <v>0</v>
      </c>
      <c r="Y112" s="4">
        <f>'  תקציב מינהל תפעול 2025 '!Y7</f>
        <v>0</v>
      </c>
      <c r="Z112" s="4">
        <f>'  תקציב מינהל תפעול 2025 '!Z7</f>
        <v>0</v>
      </c>
      <c r="AA112" s="3">
        <f>'  תקציב מינהל תפעול 2025 '!AA7</f>
        <v>0</v>
      </c>
      <c r="AB112" s="202" t="str">
        <f>'  תקציב מינהל תפעול 2025 '!AB7</f>
        <v>סל לשיפוץ בתי כנסת עפ"י תוכנית שתוגש במהלך השנה.</v>
      </c>
      <c r="AC112" s="3">
        <f>'  תקציב מינהל תפעול 2025 '!AC7</f>
        <v>850000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48"/>
      <c r="AQ112" s="148"/>
      <c r="AR112" s="148"/>
      <c r="AS112" s="148"/>
      <c r="AT112" s="531"/>
      <c r="AU112" s="531"/>
      <c r="AV112" s="531"/>
      <c r="AW112" s="531"/>
      <c r="AX112" s="531"/>
      <c r="AY112" s="531"/>
      <c r="AZ112" s="531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</row>
    <row r="113" spans="1:68" s="6" customFormat="1">
      <c r="A113" s="7"/>
      <c r="B113" s="7"/>
      <c r="C113" s="13" t="s">
        <v>1339</v>
      </c>
      <c r="D113" s="8">
        <f>SUM(D112)</f>
        <v>7100000</v>
      </c>
      <c r="E113" s="8">
        <f t="shared" ref="E113:AA113" si="13">SUM(E112)</f>
        <v>6600000</v>
      </c>
      <c r="F113" s="8">
        <f t="shared" si="13"/>
        <v>500000</v>
      </c>
      <c r="G113" s="8">
        <f t="shared" si="13"/>
        <v>6600000</v>
      </c>
      <c r="H113" s="8">
        <f t="shared" si="13"/>
        <v>6079682</v>
      </c>
      <c r="I113" s="8">
        <f t="shared" si="13"/>
        <v>0</v>
      </c>
      <c r="J113" s="8">
        <f t="shared" si="13"/>
        <v>519992</v>
      </c>
      <c r="K113" s="8">
        <f t="shared" si="13"/>
        <v>519992</v>
      </c>
      <c r="L113" s="8">
        <f t="shared" si="13"/>
        <v>6599674</v>
      </c>
      <c r="M113" s="8">
        <f t="shared" si="13"/>
        <v>326</v>
      </c>
      <c r="N113" s="8">
        <f t="shared" si="13"/>
        <v>500000</v>
      </c>
      <c r="O113" s="8">
        <f t="shared" si="13"/>
        <v>0</v>
      </c>
      <c r="P113" s="8">
        <f t="shared" si="13"/>
        <v>326</v>
      </c>
      <c r="Q113" s="8">
        <f t="shared" si="13"/>
        <v>0</v>
      </c>
      <c r="R113" s="8">
        <f t="shared" si="13"/>
        <v>0</v>
      </c>
      <c r="S113" s="8">
        <f t="shared" si="13"/>
        <v>0</v>
      </c>
      <c r="T113" s="8">
        <f t="shared" si="13"/>
        <v>0</v>
      </c>
      <c r="U113" s="8">
        <f t="shared" si="13"/>
        <v>500000</v>
      </c>
      <c r="V113" s="8">
        <f t="shared" si="13"/>
        <v>0</v>
      </c>
      <c r="W113" s="8">
        <f t="shared" si="13"/>
        <v>500000</v>
      </c>
      <c r="X113" s="8">
        <f t="shared" si="13"/>
        <v>0</v>
      </c>
      <c r="Y113" s="8">
        <f t="shared" si="13"/>
        <v>0</v>
      </c>
      <c r="Z113" s="8">
        <f t="shared" si="13"/>
        <v>0</v>
      </c>
      <c r="AA113" s="8">
        <f t="shared" si="13"/>
        <v>0</v>
      </c>
      <c r="AB113" s="13"/>
      <c r="AC113" s="7"/>
      <c r="AD113" s="678"/>
      <c r="AE113" s="678"/>
      <c r="AF113" s="678"/>
      <c r="AG113" s="678"/>
      <c r="AH113" s="678"/>
      <c r="AI113" s="678"/>
      <c r="AJ113" s="678"/>
      <c r="AK113" s="678"/>
      <c r="AL113" s="678"/>
      <c r="AM113" s="678"/>
      <c r="AN113" s="678"/>
      <c r="AO113" s="678"/>
      <c r="AP113" s="596"/>
      <c r="AQ113" s="596"/>
      <c r="AR113" s="596"/>
      <c r="AS113" s="596"/>
      <c r="AT113" s="523"/>
      <c r="AU113" s="523"/>
      <c r="AV113" s="523"/>
      <c r="AW113" s="523"/>
      <c r="AX113" s="523"/>
      <c r="AY113" s="523"/>
      <c r="AZ113" s="523"/>
      <c r="BA113" s="596"/>
      <c r="BB113" s="596"/>
      <c r="BC113" s="596"/>
      <c r="BD113" s="596"/>
      <c r="BE113" s="596"/>
      <c r="BF113" s="596"/>
      <c r="BG113" s="596"/>
      <c r="BH113" s="596"/>
      <c r="BI113" s="596"/>
      <c r="BJ113" s="596"/>
      <c r="BK113" s="596"/>
      <c r="BL113" s="596"/>
      <c r="BM113" s="596"/>
      <c r="BN113" s="596"/>
      <c r="BO113" s="596"/>
      <c r="BP113" s="596"/>
    </row>
    <row r="114" spans="1:68" s="6" customFormat="1">
      <c r="A114" s="7"/>
      <c r="B114" s="7"/>
      <c r="C114" s="7">
        <v>87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7"/>
      <c r="AB114" s="13"/>
      <c r="AC114" s="7"/>
      <c r="AD114" s="678"/>
      <c r="AE114" s="678"/>
      <c r="AF114" s="678"/>
      <c r="AG114" s="678"/>
      <c r="AH114" s="678"/>
      <c r="AI114" s="678"/>
      <c r="AJ114" s="678"/>
      <c r="AK114" s="678"/>
      <c r="AL114" s="678"/>
      <c r="AM114" s="678"/>
      <c r="AN114" s="678"/>
      <c r="AO114" s="678"/>
      <c r="AP114" s="596"/>
      <c r="AQ114" s="596"/>
      <c r="AR114" s="596"/>
      <c r="AS114" s="596"/>
      <c r="AT114" s="523"/>
      <c r="AU114" s="523"/>
      <c r="AV114" s="523"/>
      <c r="AW114" s="523"/>
      <c r="AX114" s="523"/>
      <c r="AY114" s="523"/>
      <c r="AZ114" s="523"/>
      <c r="BA114" s="596"/>
      <c r="BB114" s="596"/>
      <c r="BC114" s="596"/>
      <c r="BD114" s="596"/>
      <c r="BE114" s="596"/>
      <c r="BF114" s="596"/>
      <c r="BG114" s="596"/>
      <c r="BH114" s="596"/>
      <c r="BI114" s="596"/>
      <c r="BJ114" s="596"/>
      <c r="BK114" s="596"/>
      <c r="BL114" s="596"/>
      <c r="BM114" s="596"/>
      <c r="BN114" s="596"/>
      <c r="BO114" s="596"/>
      <c r="BP114" s="596"/>
    </row>
    <row r="115" spans="1:68" s="5" customFormat="1" ht="51.75" customHeight="1">
      <c r="A115" s="3">
        <f>A112+1</f>
        <v>46</v>
      </c>
      <c r="B115" s="3">
        <f>'  תקציב מינהל תפעול 2025 '!B29</f>
        <v>2037</v>
      </c>
      <c r="C115" s="202" t="str">
        <f>'  תקציב מינהל תפעול 2025 '!C29</f>
        <v xml:space="preserve">הקמת פינות מיחזור וגזם ברחבי העיר </v>
      </c>
      <c r="D115" s="4">
        <f>'  תקציב מינהל תפעול 2025 '!D29</f>
        <v>5000000</v>
      </c>
      <c r="E115" s="4">
        <f>'  תקציב מינהל תפעול 2025 '!E29</f>
        <v>5000000</v>
      </c>
      <c r="F115" s="4">
        <f>'  תקציב מינהל תפעול 2025 '!F29</f>
        <v>0</v>
      </c>
      <c r="G115" s="4">
        <f>'  תקציב מינהל תפעול 2025 '!G29</f>
        <v>2100000</v>
      </c>
      <c r="H115" s="4">
        <f>'  תקציב מינהל תפעול 2025 '!H29</f>
        <v>1710377</v>
      </c>
      <c r="I115" s="4">
        <f>'  תקציב מינהל תפעול 2025 '!I29</f>
        <v>0</v>
      </c>
      <c r="J115" s="4">
        <f>'  תקציב מינהל תפעול 2025 '!J29</f>
        <v>369949</v>
      </c>
      <c r="K115" s="4">
        <f>'  תקציב מינהל תפעול 2025 '!K29</f>
        <v>369949</v>
      </c>
      <c r="L115" s="4">
        <f>'  תקציב מינהל תפעול 2025 '!L29</f>
        <v>2080326</v>
      </c>
      <c r="M115" s="4">
        <f>'  תקציב מינהל תפעול 2025 '!M29</f>
        <v>19674</v>
      </c>
      <c r="N115" s="4">
        <f>'  תקציב מינהל תפעול 2025 '!N29</f>
        <v>0</v>
      </c>
      <c r="O115" s="4">
        <f>'  תקציב מינהל תפעול 2025 '!O29</f>
        <v>2900000</v>
      </c>
      <c r="P115" s="4">
        <f>'  תקציב מינהל תפעול 2025 '!P29</f>
        <v>19674</v>
      </c>
      <c r="Q115" s="311">
        <f>'  תקציב מינהל תפעול 2025 '!Q29</f>
        <v>0</v>
      </c>
      <c r="R115" s="4">
        <f>'  תקציב מינהל תפעול 2025 '!R29</f>
        <v>0</v>
      </c>
      <c r="S115" s="4">
        <f>'  תקציב מינהל תפעול 2025 '!S29</f>
        <v>0</v>
      </c>
      <c r="T115" s="4">
        <f>'  תקציב מינהל תפעול 2025 '!T29</f>
        <v>0</v>
      </c>
      <c r="U115" s="4">
        <f>'  תקציב מינהל תפעול 2025 '!U29</f>
        <v>0</v>
      </c>
      <c r="V115" s="4">
        <f>'  תקציב מינהל תפעול 2025 '!V29</f>
        <v>0</v>
      </c>
      <c r="W115" s="4">
        <f>'  תקציב מינהל תפעול 2025 '!W29</f>
        <v>0</v>
      </c>
      <c r="X115" s="4">
        <f>'  תקציב מינהל תפעול 2025 '!X29</f>
        <v>0</v>
      </c>
      <c r="Y115" s="4">
        <f>'  תקציב מינהל תפעול 2025 '!Y29</f>
        <v>0</v>
      </c>
      <c r="Z115" s="4">
        <f>'  תקציב מינהל תפעול 2025 '!Z29</f>
        <v>0</v>
      </c>
      <c r="AA115" s="3">
        <f>'  תקציב מינהל תפעול 2025 '!AA29</f>
        <v>0</v>
      </c>
      <c r="AB115" s="202" t="str">
        <f>'  תקציב מינהל תפעול 2025 '!AB29</f>
        <v>הקמת פינות מיחזור ברחבי העיר המרכזות מיכלי אצירה לסוגים שונים של פסולת כגון: בקבוקים, זכוכית, נייר, אריזות ועוד. שדרוג מיכלי מיחזור לפי דגם אחיד .</v>
      </c>
      <c r="AC115" s="3">
        <f>'  תקציב מינהל תפעול 2025 '!AC29</f>
        <v>870000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48"/>
      <c r="AQ115" s="148"/>
      <c r="AR115" s="148"/>
      <c r="AS115" s="148"/>
      <c r="AT115" s="531"/>
      <c r="AU115" s="531"/>
      <c r="AV115" s="531"/>
      <c r="AW115" s="531"/>
      <c r="AX115" s="531"/>
      <c r="AY115" s="531"/>
      <c r="AZ115" s="531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</row>
    <row r="116" spans="1:68" s="5" customFormat="1" ht="30">
      <c r="A116" s="3">
        <f>A115+1</f>
        <v>47</v>
      </c>
      <c r="B116" s="3">
        <f>'  תקציב מינהל תפעול 2025 '!B80</f>
        <v>20091</v>
      </c>
      <c r="C116" s="202" t="str">
        <f>'  תקציב מינהל תפעול 2025 '!C80</f>
        <v>עבודות פרוק והחלפת אסבסט</v>
      </c>
      <c r="D116" s="4">
        <f>'  תקציב מינהל תפעול 2025 '!D80</f>
        <v>1200000</v>
      </c>
      <c r="E116" s="4">
        <f>'  תקציב מינהל תפעול 2025 '!E80</f>
        <v>1200000</v>
      </c>
      <c r="F116" s="4">
        <f>'  תקציב מינהל תפעול 2025 '!F80</f>
        <v>0</v>
      </c>
      <c r="G116" s="4">
        <f>'  תקציב מינהל תפעול 2025 '!G80</f>
        <v>900000</v>
      </c>
      <c r="H116" s="4">
        <f>'  תקציב מינהל תפעול 2025 '!H80</f>
        <v>434927</v>
      </c>
      <c r="I116" s="4">
        <f>'  תקציב מינהל תפעול 2025 '!I80</f>
        <v>0</v>
      </c>
      <c r="J116" s="4">
        <f>'  תקציב מינהל תפעול 2025 '!J80</f>
        <v>65060</v>
      </c>
      <c r="K116" s="4">
        <f>'  תקציב מינהל תפעול 2025 '!K80</f>
        <v>65060</v>
      </c>
      <c r="L116" s="4">
        <f>'  תקציב מינהל תפעול 2025 '!L80</f>
        <v>499987</v>
      </c>
      <c r="M116" s="4">
        <f>'  תקציב מינהל תפעול 2025 '!M80</f>
        <v>400013</v>
      </c>
      <c r="N116" s="4">
        <f>'  תקציב מינהל תפעול 2025 '!N80</f>
        <v>0</v>
      </c>
      <c r="O116" s="4">
        <f>'  תקציב מינהל תפעול 2025 '!O80</f>
        <v>300000</v>
      </c>
      <c r="P116" s="4">
        <f>'  תקציב מינהל תפעול 2025 '!P80</f>
        <v>400013</v>
      </c>
      <c r="Q116" s="597">
        <f>'  תקציב מינהל תפעול 2025 '!Q80</f>
        <v>0</v>
      </c>
      <c r="R116" s="4">
        <f>'  תקציב מינהל תפעול 2025 '!R80</f>
        <v>0</v>
      </c>
      <c r="S116" s="4">
        <f>'  תקציב מינהל תפעול 2025 '!S80</f>
        <v>0</v>
      </c>
      <c r="T116" s="4">
        <f>'  תקציב מינהל תפעול 2025 '!T80</f>
        <v>0</v>
      </c>
      <c r="U116" s="4">
        <f>'  תקציב מינהל תפעול 2025 '!U80</f>
        <v>0</v>
      </c>
      <c r="V116" s="4">
        <f>'  תקציב מינהל תפעול 2025 '!V80</f>
        <v>0</v>
      </c>
      <c r="W116" s="4">
        <f>'  תקציב מינהל תפעול 2025 '!W80</f>
        <v>0</v>
      </c>
      <c r="X116" s="4">
        <f>'  תקציב מינהל תפעול 2025 '!X80</f>
        <v>0</v>
      </c>
      <c r="Y116" s="4">
        <f>'  תקציב מינהל תפעול 2025 '!Y80</f>
        <v>0</v>
      </c>
      <c r="Z116" s="4">
        <f>'  תקציב מינהל תפעול 2025 '!Z80</f>
        <v>0</v>
      </c>
      <c r="AA116" s="3">
        <f>'  תקציב מינהל תפעול 2025 '!AA80</f>
        <v>0</v>
      </c>
      <c r="AB116" s="202" t="str">
        <f>'  תקציב מינהל תפעול 2025 '!AB80</f>
        <v>עבודות החלפת גגות וחלונות אסבסט במבני עיריה.</v>
      </c>
      <c r="AC116" s="3">
        <f>'  תקציב מינהל תפעול 2025 '!AC80</f>
        <v>870000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48"/>
      <c r="AQ116" s="148"/>
      <c r="AR116" s="148"/>
      <c r="AS116" s="148"/>
      <c r="AT116" s="531"/>
      <c r="AU116" s="531"/>
      <c r="AV116" s="531"/>
      <c r="AW116" s="531"/>
      <c r="AX116" s="531"/>
      <c r="AY116" s="531"/>
      <c r="AZ116" s="531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8"/>
      <c r="BN116" s="148"/>
      <c r="BO116" s="148"/>
      <c r="BP116" s="148"/>
    </row>
    <row r="117" spans="1:68" s="6" customFormat="1">
      <c r="A117" s="7"/>
      <c r="B117" s="7"/>
      <c r="C117" s="13" t="s">
        <v>1333</v>
      </c>
      <c r="D117" s="8">
        <f>SUM(D115:D116)</f>
        <v>6200000</v>
      </c>
      <c r="E117" s="8">
        <f t="shared" ref="E117:AA117" si="14">SUM(E115:E116)</f>
        <v>6200000</v>
      </c>
      <c r="F117" s="8">
        <f t="shared" si="14"/>
        <v>0</v>
      </c>
      <c r="G117" s="8">
        <f t="shared" si="14"/>
        <v>3000000</v>
      </c>
      <c r="H117" s="8">
        <f t="shared" si="14"/>
        <v>2145304</v>
      </c>
      <c r="I117" s="8">
        <f t="shared" si="14"/>
        <v>0</v>
      </c>
      <c r="J117" s="8">
        <f t="shared" si="14"/>
        <v>435009</v>
      </c>
      <c r="K117" s="8">
        <f t="shared" si="14"/>
        <v>435009</v>
      </c>
      <c r="L117" s="8">
        <f t="shared" si="14"/>
        <v>2580313</v>
      </c>
      <c r="M117" s="8">
        <f t="shared" si="14"/>
        <v>419687</v>
      </c>
      <c r="N117" s="8">
        <f t="shared" si="14"/>
        <v>0</v>
      </c>
      <c r="O117" s="8">
        <f t="shared" si="14"/>
        <v>3200000</v>
      </c>
      <c r="P117" s="8">
        <f t="shared" si="14"/>
        <v>419687</v>
      </c>
      <c r="Q117" s="8">
        <f t="shared" si="14"/>
        <v>0</v>
      </c>
      <c r="R117" s="8">
        <f t="shared" si="14"/>
        <v>0</v>
      </c>
      <c r="S117" s="8">
        <f t="shared" si="14"/>
        <v>0</v>
      </c>
      <c r="T117" s="8">
        <f t="shared" si="14"/>
        <v>0</v>
      </c>
      <c r="U117" s="8">
        <f t="shared" si="14"/>
        <v>0</v>
      </c>
      <c r="V117" s="8">
        <f t="shared" si="14"/>
        <v>0</v>
      </c>
      <c r="W117" s="8">
        <f t="shared" si="14"/>
        <v>0</v>
      </c>
      <c r="X117" s="8">
        <f t="shared" si="14"/>
        <v>0</v>
      </c>
      <c r="Y117" s="8">
        <f t="shared" si="14"/>
        <v>0</v>
      </c>
      <c r="Z117" s="8">
        <f t="shared" si="14"/>
        <v>0</v>
      </c>
      <c r="AA117" s="8">
        <f t="shared" si="14"/>
        <v>0</v>
      </c>
      <c r="AB117" s="13"/>
      <c r="AC117" s="7"/>
      <c r="AD117" s="678"/>
      <c r="AE117" s="678"/>
      <c r="AF117" s="678"/>
      <c r="AG117" s="678"/>
      <c r="AH117" s="678"/>
      <c r="AI117" s="678"/>
      <c r="AJ117" s="678"/>
      <c r="AK117" s="678"/>
      <c r="AL117" s="678"/>
      <c r="AM117" s="678"/>
      <c r="AN117" s="678"/>
      <c r="AO117" s="678"/>
      <c r="AP117" s="596"/>
      <c r="AQ117" s="596"/>
      <c r="AR117" s="596"/>
      <c r="AS117" s="596"/>
      <c r="AT117" s="523"/>
      <c r="AU117" s="523"/>
      <c r="AV117" s="523"/>
      <c r="AW117" s="523"/>
      <c r="AX117" s="523"/>
      <c r="AY117" s="523"/>
      <c r="AZ117" s="523"/>
      <c r="BA117" s="596"/>
      <c r="BB117" s="596"/>
      <c r="BC117" s="596"/>
      <c r="BD117" s="596"/>
      <c r="BE117" s="596"/>
      <c r="BF117" s="596"/>
      <c r="BG117" s="596"/>
      <c r="BH117" s="596"/>
      <c r="BI117" s="596"/>
      <c r="BJ117" s="596"/>
      <c r="BK117" s="596"/>
      <c r="BL117" s="596"/>
      <c r="BM117" s="596"/>
      <c r="BN117" s="596"/>
      <c r="BO117" s="596"/>
      <c r="BP117" s="596"/>
    </row>
    <row r="118" spans="1:68" s="6" customFormat="1">
      <c r="A118" s="7"/>
      <c r="B118" s="7"/>
      <c r="C118" s="7">
        <v>93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680"/>
      <c r="R118" s="8"/>
      <c r="S118" s="8"/>
      <c r="T118" s="8"/>
      <c r="U118" s="8"/>
      <c r="V118" s="8"/>
      <c r="W118" s="8"/>
      <c r="X118" s="8"/>
      <c r="Y118" s="8"/>
      <c r="Z118" s="8"/>
      <c r="AA118" s="7"/>
      <c r="AB118" s="13"/>
      <c r="AC118" s="7"/>
      <c r="AD118" s="678"/>
      <c r="AE118" s="678"/>
      <c r="AF118" s="678"/>
      <c r="AG118" s="678"/>
      <c r="AH118" s="678"/>
      <c r="AI118" s="678"/>
      <c r="AJ118" s="678"/>
      <c r="AK118" s="678"/>
      <c r="AL118" s="678"/>
      <c r="AM118" s="678"/>
      <c r="AN118" s="678"/>
      <c r="AO118" s="678"/>
      <c r="AP118" s="596"/>
      <c r="AQ118" s="596"/>
      <c r="AR118" s="596"/>
      <c r="AS118" s="596"/>
      <c r="AT118" s="523"/>
      <c r="AU118" s="523"/>
      <c r="AV118" s="523"/>
      <c r="AW118" s="523"/>
      <c r="AX118" s="523"/>
      <c r="AY118" s="523"/>
      <c r="AZ118" s="523"/>
      <c r="BA118" s="596"/>
      <c r="BB118" s="596"/>
      <c r="BC118" s="596"/>
      <c r="BD118" s="596"/>
      <c r="BE118" s="596"/>
      <c r="BF118" s="596"/>
      <c r="BG118" s="596"/>
      <c r="BH118" s="596"/>
      <c r="BI118" s="596"/>
      <c r="BJ118" s="596"/>
      <c r="BK118" s="596"/>
      <c r="BL118" s="596"/>
      <c r="BM118" s="596"/>
      <c r="BN118" s="596"/>
      <c r="BO118" s="596"/>
      <c r="BP118" s="596"/>
    </row>
    <row r="119" spans="1:68" s="5" customFormat="1" ht="57.75" customHeight="1">
      <c r="A119" s="3">
        <f>A116+1</f>
        <v>48</v>
      </c>
      <c r="B119" s="3">
        <f>'  תקציב מינהל תפעול 2025 '!B11</f>
        <v>1416</v>
      </c>
      <c r="C119" s="202" t="str">
        <f>'  תקציב מינהל תפעול 2025 '!C11</f>
        <v>שיפוץ ובינוי נכסים עירוניים כולל תשתיות</v>
      </c>
      <c r="D119" s="4">
        <f>'  תקציב מינהל תפעול 2025 '!D11</f>
        <v>6685000</v>
      </c>
      <c r="E119" s="4">
        <f>'  תקציב מינהל תפעול 2025 '!E11</f>
        <v>5535000</v>
      </c>
      <c r="F119" s="4">
        <f>'  תקציב מינהל תפעול 2025 '!F11</f>
        <v>1150000</v>
      </c>
      <c r="G119" s="4">
        <f>'  תקציב מינהל תפעול 2025 '!G11</f>
        <v>5535000</v>
      </c>
      <c r="H119" s="4">
        <f>'  תקציב מינהל תפעול 2025 '!H11</f>
        <v>4072353</v>
      </c>
      <c r="I119" s="4">
        <f>'  תקציב מינהל תפעול 2025 '!I11</f>
        <v>0</v>
      </c>
      <c r="J119" s="4">
        <f>'  תקציב מינהל תפעול 2025 '!J11</f>
        <v>1260810</v>
      </c>
      <c r="K119" s="4">
        <f>'  תקציב מינהל תפעול 2025 '!K11</f>
        <v>1260810</v>
      </c>
      <c r="L119" s="4">
        <f>'  תקציב מינהל תפעול 2025 '!L11</f>
        <v>5333163</v>
      </c>
      <c r="M119" s="4">
        <f>'  תקציב מינהל תפעול 2025 '!M11</f>
        <v>201837</v>
      </c>
      <c r="N119" s="4">
        <f>'  תקציב מינהל תפעול 2025 '!N11</f>
        <v>800000</v>
      </c>
      <c r="O119" s="4">
        <f>'  תקציב מינהל תפעול 2025 '!O11</f>
        <v>350000</v>
      </c>
      <c r="P119" s="4">
        <f>'  תקציב מינהל תפעול 2025 '!P11</f>
        <v>201837</v>
      </c>
      <c r="Q119" s="311">
        <f>'  תקציב מינהל תפעול 2025 '!Q11</f>
        <v>0</v>
      </c>
      <c r="R119" s="4">
        <f>'  תקציב מינהל תפעול 2025 '!R11</f>
        <v>0</v>
      </c>
      <c r="S119" s="4">
        <f>'  תקציב מינהל תפעול 2025 '!S11</f>
        <v>0</v>
      </c>
      <c r="T119" s="4">
        <f>'  תקציב מינהל תפעול 2025 '!T11</f>
        <v>0</v>
      </c>
      <c r="U119" s="4">
        <f>'  תקציב מינהל תפעול 2025 '!U11</f>
        <v>800000</v>
      </c>
      <c r="V119" s="4">
        <f>'  תקציב מינהל תפעול 2025 '!V11</f>
        <v>0</v>
      </c>
      <c r="W119" s="4">
        <f>'  תקציב מינהל תפעול 2025 '!W11</f>
        <v>800000</v>
      </c>
      <c r="X119" s="4">
        <f>'  תקציב מינהל תפעול 2025 '!X11</f>
        <v>0</v>
      </c>
      <c r="Y119" s="4">
        <f>'  תקציב מינהל תפעול 2025 '!Y11</f>
        <v>0</v>
      </c>
      <c r="Z119" s="4">
        <f>'  תקציב מינהל תפעול 2025 '!Z11</f>
        <v>0</v>
      </c>
      <c r="AA119" s="3">
        <f>'  תקציב מינהל תפעול 2025 '!AA11</f>
        <v>0</v>
      </c>
      <c r="AB119" s="202" t="str">
        <f>'  תקציב מינהל תפעול 2025 '!AB11</f>
        <v>סל לשיפוץ כולל מזגנים ובינוי נכסים עירוניים. התוכ. עפ"י אישור הנהלת העיר.</v>
      </c>
      <c r="AC119" s="3">
        <f>'  תקציב מינהל תפעול 2025 '!AC11</f>
        <v>930000</v>
      </c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48"/>
      <c r="AQ119" s="148"/>
      <c r="AR119" s="148"/>
      <c r="AS119" s="148"/>
      <c r="AT119" s="531"/>
      <c r="AU119" s="531"/>
      <c r="AV119" s="531"/>
      <c r="AW119" s="531"/>
      <c r="AX119" s="531"/>
      <c r="AY119" s="531"/>
      <c r="AZ119" s="531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8"/>
      <c r="BN119" s="148"/>
      <c r="BO119" s="148"/>
      <c r="BP119" s="148"/>
    </row>
    <row r="120" spans="1:68" s="5" customFormat="1" ht="39.75" customHeight="1">
      <c r="A120" s="3">
        <f>A119+1</f>
        <v>49</v>
      </c>
      <c r="B120" s="3">
        <f>'  תקציב מינהל תפעול 2025 '!B38</f>
        <v>2133</v>
      </c>
      <c r="C120" s="202" t="str">
        <f>'  תקציב מינהל תפעול 2025 '!C38</f>
        <v>רכישת רכבים</v>
      </c>
      <c r="D120" s="4">
        <f>'  תקציב מינהל תפעול 2025 '!D38</f>
        <v>5150000</v>
      </c>
      <c r="E120" s="4">
        <f>'  תקציב מינהל תפעול 2025 '!E38</f>
        <v>5150000</v>
      </c>
      <c r="F120" s="4">
        <f>'  תקציב מינהל תפעול 2025 '!F38</f>
        <v>0</v>
      </c>
      <c r="G120" s="4">
        <f>'  תקציב מינהל תפעול 2025 '!G38</f>
        <v>2950000</v>
      </c>
      <c r="H120" s="4">
        <f>'  תקציב מינהל תפעול 2025 '!H38</f>
        <v>2769760</v>
      </c>
      <c r="I120" s="4">
        <f>'  תקציב מינהל תפעול 2025 '!I38</f>
        <v>0</v>
      </c>
      <c r="J120" s="4">
        <f>'  תקציב מינהל תפעול 2025 '!J38</f>
        <v>78014</v>
      </c>
      <c r="K120" s="4">
        <f>'  תקציב מינהל תפעול 2025 '!K38</f>
        <v>78014</v>
      </c>
      <c r="L120" s="4">
        <f>'  תקציב מינהל תפעול 2025 '!L38</f>
        <v>2847774</v>
      </c>
      <c r="M120" s="4">
        <f>'  תקציב מינהל תפעול 2025 '!M38</f>
        <v>502226</v>
      </c>
      <c r="N120" s="4">
        <f>'  תקציב מינהל תפעול 2025 '!N38</f>
        <v>0</v>
      </c>
      <c r="O120" s="4">
        <f>'  תקציב מינהל תפעול 2025 '!O38</f>
        <v>1800000</v>
      </c>
      <c r="P120" s="4">
        <f>'  תקציב מינהל תפעול 2025 '!P38</f>
        <v>102226</v>
      </c>
      <c r="Q120" s="4">
        <f>'  תקציב מינהל תפעול 2025 '!Q38</f>
        <v>400000</v>
      </c>
      <c r="R120" s="4">
        <f>'  תקציב מינהל תפעול 2025 '!R38</f>
        <v>0</v>
      </c>
      <c r="S120" s="4">
        <f>'  תקציב מינהל תפעול 2025 '!S38</f>
        <v>400000</v>
      </c>
      <c r="T120" s="4">
        <f>'  תקציב מינהל תפעול 2025 '!T38</f>
        <v>0</v>
      </c>
      <c r="U120" s="4">
        <f>'  תקציב מינהל תפעול 2025 '!U38</f>
        <v>0</v>
      </c>
      <c r="V120" s="4">
        <f>'  תקציב מינהל תפעול 2025 '!V38</f>
        <v>0</v>
      </c>
      <c r="W120" s="4">
        <f>'  תקציב מינהל תפעול 2025 '!W38</f>
        <v>0</v>
      </c>
      <c r="X120" s="4">
        <f>'  תקציב מינהל תפעול 2025 '!X38</f>
        <v>0</v>
      </c>
      <c r="Y120" s="4">
        <f>'  תקציב מינהל תפעול 2025 '!Y38</f>
        <v>0</v>
      </c>
      <c r="Z120" s="4">
        <f>'  תקציב מינהל תפעול 2025 '!Z38</f>
        <v>0</v>
      </c>
      <c r="AA120" s="3">
        <f>'  תקציב מינהל תפעול 2025 '!AA38</f>
        <v>0</v>
      </c>
      <c r="AB120" s="202" t="str">
        <f>'  תקציב מינהל תפעול 2025 '!AB38</f>
        <v xml:space="preserve">החלפת רכבים קיימים ,רכישת תוספת רכבים והתקנת עמדות טעינה עפ"י רשימה שתאושר ע"י הנהלת העיר. </v>
      </c>
      <c r="AC120" s="3">
        <f>'  תקציב מינהל תפעול 2025 '!AC38</f>
        <v>930000</v>
      </c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48"/>
      <c r="AQ120" s="148"/>
      <c r="AR120" s="148"/>
      <c r="AS120" s="148"/>
      <c r="AT120" s="531"/>
      <c r="AU120" s="531"/>
      <c r="AV120" s="531"/>
      <c r="AW120" s="531"/>
      <c r="AX120" s="531"/>
      <c r="AY120" s="531"/>
      <c r="AZ120" s="531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</row>
    <row r="121" spans="1:68" s="5" customFormat="1" ht="42.75" customHeight="1">
      <c r="A121" s="3">
        <f>A120+1</f>
        <v>50</v>
      </c>
      <c r="B121" s="3">
        <f>'  תקציב מינהל תפעול 2025 '!B47</f>
        <v>2184</v>
      </c>
      <c r="C121" s="202" t="str">
        <f>'  תקציב מינהל תפעול 2025 '!C47</f>
        <v xml:space="preserve">שיקום חזית מבנה דיור לקשיש </v>
      </c>
      <c r="D121" s="112">
        <f>'  תקציב מינהל תפעול 2025 '!D47</f>
        <v>4314000</v>
      </c>
      <c r="E121" s="112">
        <f>'  תקציב מינהל תפעול 2025 '!E47</f>
        <v>2495000</v>
      </c>
      <c r="F121" s="4">
        <f>'  תקציב מינהל תפעול 2025 '!F47</f>
        <v>1819000</v>
      </c>
      <c r="G121" s="112">
        <f>'  תקציב מינהל תפעול 2025 '!G47</f>
        <v>2060000</v>
      </c>
      <c r="H121" s="112">
        <f>'  תקציב מינהל תפעול 2025 '!H47</f>
        <v>43432</v>
      </c>
      <c r="I121" s="112">
        <f>'  תקציב מינהל תפעול 2025 '!I47</f>
        <v>0</v>
      </c>
      <c r="J121" s="112">
        <f>'  תקציב מינהל תפעול 2025 '!J47</f>
        <v>499979</v>
      </c>
      <c r="K121" s="4">
        <f>'  תקציב מינהל תפעול 2025 '!K47</f>
        <v>499979</v>
      </c>
      <c r="L121" s="4">
        <f>'  תקציב מינהל תפעול 2025 '!L47</f>
        <v>543411</v>
      </c>
      <c r="M121" s="4">
        <f>'  תקציב מינהל תפעול 2025 '!M47</f>
        <v>1516589</v>
      </c>
      <c r="N121" s="4">
        <f>'  תקציב מינהל תפעול 2025 '!N47</f>
        <v>954000</v>
      </c>
      <c r="O121" s="4">
        <f>'  תקציב מינהל תפעול 2025 '!O47</f>
        <v>1300000</v>
      </c>
      <c r="P121" s="4">
        <f>'  תקציב מינהל תפעול 2025 '!P47</f>
        <v>1516589</v>
      </c>
      <c r="Q121" s="311">
        <f>'  תקציב מינהל תפעול 2025 '!Q47</f>
        <v>0</v>
      </c>
      <c r="R121" s="4">
        <f>'  תקציב מינהל תפעול 2025 '!R47</f>
        <v>0</v>
      </c>
      <c r="S121" s="4">
        <f>'  תקציב מינהל תפעול 2025 '!S47</f>
        <v>0</v>
      </c>
      <c r="T121" s="4">
        <f>'  תקציב מינהל תפעול 2025 '!T47</f>
        <v>0</v>
      </c>
      <c r="U121" s="4">
        <f>'  תקציב מינהל תפעול 2025 '!U47</f>
        <v>954000</v>
      </c>
      <c r="V121" s="4">
        <f>'  תקציב מינהל תפעול 2025 '!V47</f>
        <v>0</v>
      </c>
      <c r="W121" s="4">
        <f>'  תקציב מינהל תפעול 2025 '!W47</f>
        <v>954000</v>
      </c>
      <c r="X121" s="4">
        <f>'  תקציב מינהל תפעול 2025 '!X47</f>
        <v>0</v>
      </c>
      <c r="Y121" s="4">
        <f>'  תקציב מינהל תפעול 2025 '!Y47</f>
        <v>0</v>
      </c>
      <c r="Z121" s="4">
        <f>'  תקציב מינהל תפעול 2025 '!Z47</f>
        <v>0</v>
      </c>
      <c r="AA121" s="3">
        <f>'  תקציב מינהל תפעול 2025 '!AA47</f>
        <v>0</v>
      </c>
      <c r="AB121" s="202" t="str">
        <f>'  תקציב מינהל תפעול 2025 '!AB47</f>
        <v xml:space="preserve">שיקום חזיתות בנין דיור לקשיש ברח' שמאי. </v>
      </c>
      <c r="AC121" s="3">
        <f>'  תקציב מינהל תפעול 2025 '!AC47</f>
        <v>930000</v>
      </c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48"/>
      <c r="AQ121" s="148"/>
      <c r="AR121" s="148"/>
      <c r="AS121" s="148"/>
      <c r="AT121" s="531"/>
      <c r="AU121" s="531"/>
      <c r="AV121" s="531"/>
      <c r="AW121" s="531"/>
      <c r="AX121" s="531"/>
      <c r="AY121" s="531"/>
      <c r="AZ121" s="531"/>
      <c r="BA121" s="148"/>
      <c r="BB121" s="206"/>
      <c r="BC121" s="206"/>
      <c r="BD121" s="206"/>
      <c r="BE121" s="206"/>
      <c r="BF121" s="206"/>
      <c r="BG121" s="206"/>
      <c r="BH121" s="148"/>
      <c r="BI121" s="148"/>
      <c r="BJ121" s="148"/>
      <c r="BK121" s="148"/>
      <c r="BL121" s="148"/>
      <c r="BM121" s="148"/>
      <c r="BN121" s="148"/>
      <c r="BO121" s="148"/>
      <c r="BP121" s="148"/>
    </row>
    <row r="122" spans="1:68" s="5" customFormat="1" ht="60">
      <c r="A122" s="3">
        <f>A121+1</f>
        <v>51</v>
      </c>
      <c r="B122" s="3">
        <f>'  תקציב מינהל תפעול 2025 '!B76</f>
        <v>20074</v>
      </c>
      <c r="C122" s="202" t="str">
        <f>'  תקציב מינהל תפעול 2025 '!C76</f>
        <v>עבודות שיפוץ להסדרת יציבות המבנה נכס עירוני במגדל הצוק</v>
      </c>
      <c r="D122" s="4">
        <f>'  תקציב מינהל תפעול 2025 '!D76</f>
        <v>2570000</v>
      </c>
      <c r="E122" s="4">
        <f>'  תקציב מינהל תפעול 2025 '!E76</f>
        <v>1500000</v>
      </c>
      <c r="F122" s="4">
        <f>'  תקציב מינהל תפעול 2025 '!F76</f>
        <v>1070000</v>
      </c>
      <c r="G122" s="4">
        <f>'  תקציב מינהל תפעול 2025 '!G76</f>
        <v>1500000</v>
      </c>
      <c r="H122" s="4">
        <f>'  תקציב מינהל תפעול 2025 '!H76</f>
        <v>0</v>
      </c>
      <c r="I122" s="4">
        <f>'  תקציב מינהל תפעול 2025 '!I76</f>
        <v>0</v>
      </c>
      <c r="J122" s="4">
        <f>'  תקציב מינהל תפעול 2025 '!J76</f>
        <v>4686</v>
      </c>
      <c r="K122" s="4">
        <f>'  תקציב מינהל תפעול 2025 '!K76</f>
        <v>4686</v>
      </c>
      <c r="L122" s="4">
        <f>'  תקציב מינהל תפעול 2025 '!L76</f>
        <v>4686</v>
      </c>
      <c r="M122" s="4">
        <f>'  תקציב מינהל תפעול 2025 '!M76</f>
        <v>1495314</v>
      </c>
      <c r="N122" s="4">
        <f>'  תקציב מינהל תפעול 2025 '!N76</f>
        <v>1070000</v>
      </c>
      <c r="O122" s="4">
        <f>'  תקציב מינהל תפעול 2025 '!O76</f>
        <v>0</v>
      </c>
      <c r="P122" s="4">
        <f>'  תקציב מינהל תפעול 2025 '!P76</f>
        <v>1495314</v>
      </c>
      <c r="Q122" s="311">
        <f>'  תקציב מינהל תפעול 2025 '!Q76</f>
        <v>0</v>
      </c>
      <c r="R122" s="4">
        <f>'  תקציב מינהל תפעול 2025 '!R76</f>
        <v>0</v>
      </c>
      <c r="S122" s="4">
        <f>'  תקציב מינהל תפעול 2025 '!S76</f>
        <v>0</v>
      </c>
      <c r="T122" s="4">
        <f>'  תקציב מינהל תפעול 2025 '!T76</f>
        <v>0</v>
      </c>
      <c r="U122" s="4">
        <f>'  תקציב מינהל תפעול 2025 '!U76</f>
        <v>1070000</v>
      </c>
      <c r="V122" s="4">
        <f>'  תקציב מינהל תפעול 2025 '!V76</f>
        <v>0</v>
      </c>
      <c r="W122" s="4">
        <f>'  תקציב מינהל תפעול 2025 '!W76</f>
        <v>1070000</v>
      </c>
      <c r="X122" s="4">
        <f>'  תקציב מינהל תפעול 2025 '!X76</f>
        <v>0</v>
      </c>
      <c r="Y122" s="4">
        <f>'  תקציב מינהל תפעול 2025 '!Y76</f>
        <v>0</v>
      </c>
      <c r="Z122" s="4">
        <f>'  תקציב מינהל תפעול 2025 '!Z76</f>
        <v>0</v>
      </c>
      <c r="AA122" s="3">
        <f>'  תקציב מינהל תפעול 2025 '!AA76</f>
        <v>0</v>
      </c>
      <c r="AB122" s="202" t="str">
        <f>'  תקציב מינהל תפעול 2025 '!AB76</f>
        <v>עבודות שיפוץ במבנה של העיריה (משרדי רשות החופים) לאור מצב המבנה (קורוזיה) המהווה סכנה .</v>
      </c>
      <c r="AC122" s="3">
        <f>'  תקציב מינהל תפעול 2025 '!AC76</f>
        <v>930000</v>
      </c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48"/>
      <c r="AQ122" s="148"/>
      <c r="AR122" s="148"/>
      <c r="AS122" s="148"/>
      <c r="AT122" s="531"/>
      <c r="AU122" s="531"/>
      <c r="AV122" s="531"/>
      <c r="AW122" s="531"/>
      <c r="AX122" s="531"/>
      <c r="AY122" s="531"/>
      <c r="AZ122" s="531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</row>
    <row r="123" spans="1:68" s="5" customFormat="1" ht="50.25" customHeight="1">
      <c r="A123" s="3">
        <f>A122+1</f>
        <v>52</v>
      </c>
      <c r="B123" s="3">
        <f>'  תקציב מינהל תפעול 2025 '!B92</f>
        <v>20123</v>
      </c>
      <c r="C123" s="222" t="str">
        <f>'  תקציב מינהל תפעול 2025 '!C92</f>
        <v>שיפוצים והצטיידות משרדי מרכזים קהילתיים</v>
      </c>
      <c r="D123" s="112">
        <f>'  תקציב מינהל תפעול 2025 '!D92</f>
        <v>350000</v>
      </c>
      <c r="E123" s="112">
        <f>'  תקציב מינהל תפעול 2025 '!E92</f>
        <v>350000</v>
      </c>
      <c r="F123" s="112">
        <f>'  תקציב מינהל תפעול 2025 '!F92</f>
        <v>0</v>
      </c>
      <c r="G123" s="112">
        <f>'  תקציב מינהל תפעול 2025 '!G92</f>
        <v>350000</v>
      </c>
      <c r="H123" s="112">
        <f>'  תקציב מינהל תפעול 2025 '!H92</f>
        <v>0</v>
      </c>
      <c r="I123" s="112">
        <f>'  תקציב מינהל תפעול 2025 '!I92</f>
        <v>0</v>
      </c>
      <c r="J123" s="112">
        <f>'  תקציב מינהל תפעול 2025 '!J92</f>
        <v>348975</v>
      </c>
      <c r="K123" s="112">
        <f>'  תקציב מינהל תפעול 2025 '!K92</f>
        <v>348975</v>
      </c>
      <c r="L123" s="112">
        <f>'  תקציב מינהל תפעול 2025 '!L92</f>
        <v>348975</v>
      </c>
      <c r="M123" s="4">
        <f>'  תקציב מינהל תפעול 2025 '!M92</f>
        <v>1025</v>
      </c>
      <c r="N123" s="112">
        <f>'  תקציב מינהל תפעול 2025 '!N92</f>
        <v>0</v>
      </c>
      <c r="O123" s="112">
        <f>'  תקציב מינהל תפעול 2025 '!O92</f>
        <v>0</v>
      </c>
      <c r="P123" s="112">
        <f>'  תקציב מינהל תפעול 2025 '!P92</f>
        <v>1025</v>
      </c>
      <c r="Q123" s="112" t="str">
        <f>'  תקציב מינהל תפעול 2025 '!Q92</f>
        <v xml:space="preserve"> </v>
      </c>
      <c r="R123" s="112">
        <f>'  תקציב מינהל תפעול 2025 '!R92</f>
        <v>0</v>
      </c>
      <c r="S123" s="112">
        <f>'  תקציב מינהל תפעול 2025 '!S92</f>
        <v>0</v>
      </c>
      <c r="T123" s="112">
        <f>'  תקציב מינהל תפעול 2025 '!T92</f>
        <v>0</v>
      </c>
      <c r="U123" s="4">
        <f>'  תקציב מינהל תפעול 2025 '!U92</f>
        <v>0</v>
      </c>
      <c r="V123" s="4">
        <f>'  תקציב מינהל תפעול 2025 '!V92</f>
        <v>0</v>
      </c>
      <c r="W123" s="4">
        <f>'  תקציב מינהל תפעול 2025 '!W92</f>
        <v>0</v>
      </c>
      <c r="X123" s="4">
        <f>'  תקציב מינהל תפעול 2025 '!X92</f>
        <v>0</v>
      </c>
      <c r="Y123" s="4">
        <f>'  תקציב מינהל תפעול 2025 '!Y92</f>
        <v>0</v>
      </c>
      <c r="Z123" s="4">
        <f>'  תקציב מינהל תפעול 2025 '!Z92</f>
        <v>0</v>
      </c>
      <c r="AA123" s="3">
        <f>'  תקציב מינהל תפעול 2025 '!AA92</f>
        <v>0</v>
      </c>
      <c r="AB123" s="202" t="str">
        <f>'  תקציב מינהל תפעול 2025 '!AB92</f>
        <v xml:space="preserve">תשתיות חשמל  תקשורת וריהוט משרדי מרכזים קהילתיים. </v>
      </c>
      <c r="AC123" s="3">
        <f>'  תקציב מינהל תפעול 2025 '!AC92</f>
        <v>930000</v>
      </c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48"/>
      <c r="AQ123" s="148"/>
      <c r="AR123" s="148"/>
      <c r="AS123" s="148"/>
      <c r="AT123" s="531"/>
      <c r="AU123" s="531"/>
      <c r="AV123" s="531"/>
      <c r="AW123" s="531"/>
      <c r="AX123" s="531"/>
      <c r="AY123" s="531"/>
      <c r="AZ123" s="531"/>
      <c r="BA123" s="148"/>
      <c r="BB123" s="123"/>
      <c r="BC123" s="123"/>
      <c r="BD123" s="123"/>
      <c r="BE123" s="123"/>
      <c r="BF123" s="123"/>
      <c r="BG123" s="123"/>
      <c r="BH123" s="256"/>
      <c r="BI123" s="256"/>
      <c r="BJ123" s="256"/>
      <c r="BK123" s="256"/>
      <c r="BL123" s="256"/>
      <c r="BM123" s="256"/>
      <c r="BN123" s="256"/>
      <c r="BO123" s="256"/>
      <c r="BP123" s="256"/>
    </row>
    <row r="124" spans="1:68" s="5" customFormat="1" ht="50.25" customHeight="1">
      <c r="A124" s="3">
        <f>A123+1</f>
        <v>53</v>
      </c>
      <c r="B124" s="19">
        <f>'  תקציב מינהל תפעול 2025 '!B98</f>
        <v>20163</v>
      </c>
      <c r="C124" s="222" t="str">
        <f>'  תקציב מינהל תפעול 2025 '!C98</f>
        <v>שיפוץ אגף בטחון, שיטור עירוני , שרון 29</v>
      </c>
      <c r="D124" s="112">
        <f>'  תקציב מינהל תפעול 2025 '!D98</f>
        <v>2600000</v>
      </c>
      <c r="E124" s="112">
        <f>'  תקציב מינהל תפעול 2025 '!E98</f>
        <v>0</v>
      </c>
      <c r="F124" s="112">
        <f>'  תקציב מינהל תפעול 2025 '!F98</f>
        <v>2600000</v>
      </c>
      <c r="G124" s="112">
        <f>'  תקציב מינהל תפעול 2025 '!G98</f>
        <v>0</v>
      </c>
      <c r="H124" s="112">
        <f>'  תקציב מינהל תפעול 2025 '!H98</f>
        <v>0</v>
      </c>
      <c r="I124" s="112">
        <f>'  תקציב מינהל תפעול 2025 '!I98</f>
        <v>0</v>
      </c>
      <c r="J124" s="112">
        <f>'  תקציב מינהל תפעול 2025 '!J98</f>
        <v>0</v>
      </c>
      <c r="K124" s="112">
        <f>'  תקציב מינהל תפעול 2025 '!K98</f>
        <v>0</v>
      </c>
      <c r="L124" s="112">
        <f>'  תקציב מינהל תפעול 2025 '!L98</f>
        <v>0</v>
      </c>
      <c r="M124" s="112">
        <f>'  תקציב מינהל תפעול 2025 '!M98</f>
        <v>0</v>
      </c>
      <c r="N124" s="112">
        <f>'  תקציב מינהל תפעול 2025 '!N98</f>
        <v>800000</v>
      </c>
      <c r="O124" s="112">
        <f>'  תקציב מינהל תפעול 2025 '!O98</f>
        <v>1800000</v>
      </c>
      <c r="P124" s="112">
        <f>'  תקציב מינהל תפעול 2025 '!P98</f>
        <v>0</v>
      </c>
      <c r="Q124" s="112">
        <f>'  תקציב מינהל תפעול 2025 '!Q98</f>
        <v>0</v>
      </c>
      <c r="R124" s="112">
        <f>'  תקציב מינהל תפעול 2025 '!R98</f>
        <v>0</v>
      </c>
      <c r="S124" s="112">
        <f>'  תקציב מינהל תפעול 2025 '!S98</f>
        <v>0</v>
      </c>
      <c r="T124" s="112">
        <f>'  תקציב מינהל תפעול 2025 '!T98</f>
        <v>0</v>
      </c>
      <c r="U124" s="112">
        <f>'  תקציב מינהל תפעול 2025 '!U98</f>
        <v>800000</v>
      </c>
      <c r="V124" s="112">
        <f>'  תקציב מינהל תפעול 2025 '!V98</f>
        <v>0</v>
      </c>
      <c r="W124" s="4">
        <f>'  תקציב מינהל תפעול 2025 '!W98</f>
        <v>800000</v>
      </c>
      <c r="X124" s="112">
        <f>'  תקציב מינהל תפעול 2025 '!X98</f>
        <v>0</v>
      </c>
      <c r="Y124" s="112">
        <f>'  תקציב מינהל תפעול 2025 '!Y98</f>
        <v>0</v>
      </c>
      <c r="Z124" s="112">
        <f>'  תקציב מינהל תפעול 2025 '!Z98</f>
        <v>0</v>
      </c>
      <c r="AA124" s="112">
        <f>'  תקציב מינהל תפעול 2025 '!AA98</f>
        <v>0</v>
      </c>
      <c r="AB124" s="202" t="str">
        <f>'  תקציב מינהל תפעול 2025 '!AB98</f>
        <v xml:space="preserve">עבודות שיפוץ מבני ת.ב.ל . </v>
      </c>
      <c r="AC124" s="3">
        <f>'  תקציב מינהל תפעול 2025 '!AC98</f>
        <v>930000</v>
      </c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48"/>
      <c r="AQ124" s="148"/>
      <c r="AR124" s="148"/>
      <c r="AS124" s="148"/>
      <c r="AT124" s="531"/>
      <c r="AU124" s="123"/>
      <c r="AV124" s="123"/>
      <c r="AW124" s="123"/>
      <c r="AX124" s="123"/>
      <c r="AY124" s="123"/>
      <c r="AZ124" s="123"/>
      <c r="BA124" s="123"/>
      <c r="BB124" s="123"/>
      <c r="BC124" s="256"/>
      <c r="BD124" s="256"/>
      <c r="BE124" s="256"/>
      <c r="BF124" s="256"/>
      <c r="BG124" s="256"/>
      <c r="BH124" s="256"/>
      <c r="BI124" s="256"/>
      <c r="BJ124" s="256"/>
      <c r="BK124" s="256"/>
    </row>
    <row r="125" spans="1:68" s="6" customFormat="1" ht="20.100000000000001" customHeight="1">
      <c r="A125" s="7"/>
      <c r="B125" s="7"/>
      <c r="C125" s="122" t="s">
        <v>1340</v>
      </c>
      <c r="D125" s="130">
        <f>SUM(D119:D124)</f>
        <v>21669000</v>
      </c>
      <c r="E125" s="130">
        <f t="shared" ref="E125:AA125" si="15">SUM(E119:E124)</f>
        <v>15030000</v>
      </c>
      <c r="F125" s="130">
        <f t="shared" si="15"/>
        <v>6639000</v>
      </c>
      <c r="G125" s="130">
        <f t="shared" si="15"/>
        <v>12395000</v>
      </c>
      <c r="H125" s="130">
        <f t="shared" si="15"/>
        <v>6885545</v>
      </c>
      <c r="I125" s="130">
        <f t="shared" si="15"/>
        <v>0</v>
      </c>
      <c r="J125" s="130">
        <f t="shared" si="15"/>
        <v>2192464</v>
      </c>
      <c r="K125" s="130">
        <f t="shared" si="15"/>
        <v>2192464</v>
      </c>
      <c r="L125" s="130">
        <f t="shared" si="15"/>
        <v>9078009</v>
      </c>
      <c r="M125" s="130">
        <f t="shared" si="15"/>
        <v>3716991</v>
      </c>
      <c r="N125" s="130">
        <f t="shared" si="15"/>
        <v>3624000</v>
      </c>
      <c r="O125" s="130">
        <f t="shared" si="15"/>
        <v>5250000</v>
      </c>
      <c r="P125" s="130">
        <f t="shared" si="15"/>
        <v>3316991</v>
      </c>
      <c r="Q125" s="130">
        <f t="shared" si="15"/>
        <v>400000</v>
      </c>
      <c r="R125" s="130">
        <f t="shared" si="15"/>
        <v>0</v>
      </c>
      <c r="S125" s="130">
        <f t="shared" si="15"/>
        <v>400000</v>
      </c>
      <c r="T125" s="130">
        <f t="shared" si="15"/>
        <v>0</v>
      </c>
      <c r="U125" s="130">
        <f t="shared" si="15"/>
        <v>3624000</v>
      </c>
      <c r="V125" s="130">
        <f t="shared" si="15"/>
        <v>0</v>
      </c>
      <c r="W125" s="130">
        <f t="shared" si="15"/>
        <v>3624000</v>
      </c>
      <c r="X125" s="130">
        <f t="shared" si="15"/>
        <v>0</v>
      </c>
      <c r="Y125" s="130">
        <f t="shared" si="15"/>
        <v>0</v>
      </c>
      <c r="Z125" s="130">
        <f t="shared" si="15"/>
        <v>0</v>
      </c>
      <c r="AA125" s="130">
        <f t="shared" si="15"/>
        <v>0</v>
      </c>
      <c r="AB125" s="13"/>
      <c r="AC125" s="7"/>
      <c r="AD125" s="678"/>
      <c r="AE125" s="678"/>
      <c r="AF125" s="678"/>
      <c r="AG125" s="678"/>
      <c r="AH125" s="678"/>
      <c r="AI125" s="678"/>
      <c r="AJ125" s="678"/>
      <c r="AK125" s="678"/>
      <c r="AL125" s="678"/>
      <c r="AM125" s="678"/>
      <c r="AN125" s="678"/>
      <c r="AO125" s="678"/>
      <c r="AP125" s="596"/>
      <c r="AQ125" s="596"/>
      <c r="AR125" s="596"/>
      <c r="AS125" s="596"/>
      <c r="AT125" s="523"/>
      <c r="AU125" s="212"/>
      <c r="AV125" s="212"/>
      <c r="AW125" s="212"/>
      <c r="AX125" s="212"/>
      <c r="AY125" s="212"/>
      <c r="AZ125" s="212"/>
      <c r="BA125" s="212"/>
      <c r="BB125" s="212"/>
      <c r="BC125" s="314"/>
      <c r="BD125" s="314"/>
      <c r="BE125" s="314"/>
      <c r="BF125" s="314"/>
      <c r="BG125" s="314"/>
      <c r="BH125" s="314"/>
      <c r="BI125" s="314"/>
      <c r="BJ125" s="314"/>
      <c r="BK125" s="314"/>
    </row>
    <row r="126" spans="1:68" s="40" customFormat="1" ht="29.25" customHeight="1">
      <c r="A126" s="236">
        <f>COUNT(A6:A124)</f>
        <v>97</v>
      </c>
      <c r="B126" s="20"/>
      <c r="C126" s="270" t="s">
        <v>141</v>
      </c>
      <c r="D126" s="236">
        <f>D125+D117+D113+D110+D105+D90+D61+D58+D45+D18+D15+D7</f>
        <v>981592458</v>
      </c>
      <c r="E126" s="236">
        <f t="shared" ref="E126:AA126" si="16">E125+E117+E113+E110+E105+E90+E61+E58+E45+E18+E15+E7</f>
        <v>888699701</v>
      </c>
      <c r="F126" s="236">
        <f t="shared" si="16"/>
        <v>92892757</v>
      </c>
      <c r="G126" s="236">
        <f t="shared" si="16"/>
        <v>698486460</v>
      </c>
      <c r="H126" s="236">
        <f t="shared" si="16"/>
        <v>603231464.38</v>
      </c>
      <c r="I126" s="236">
        <f t="shared" si="16"/>
        <v>309239</v>
      </c>
      <c r="J126" s="236">
        <f t="shared" si="16"/>
        <v>59217192.870000005</v>
      </c>
      <c r="K126" s="236">
        <f t="shared" si="16"/>
        <v>59526431.870000005</v>
      </c>
      <c r="L126" s="236">
        <f t="shared" si="16"/>
        <v>662757896.25</v>
      </c>
      <c r="M126" s="236">
        <f t="shared" si="16"/>
        <v>40863563.749999993</v>
      </c>
      <c r="N126" s="236">
        <f t="shared" si="16"/>
        <v>50606362</v>
      </c>
      <c r="O126" s="236">
        <f t="shared" si="16"/>
        <v>227364636</v>
      </c>
      <c r="P126" s="236">
        <f t="shared" si="16"/>
        <v>35728563.749999993</v>
      </c>
      <c r="Q126" s="236">
        <f t="shared" si="16"/>
        <v>2875000</v>
      </c>
      <c r="R126" s="236">
        <f t="shared" si="16"/>
        <v>2260000</v>
      </c>
      <c r="S126" s="236">
        <f t="shared" si="16"/>
        <v>5135000</v>
      </c>
      <c r="T126" s="236">
        <f t="shared" si="16"/>
        <v>0</v>
      </c>
      <c r="U126" s="236">
        <f t="shared" si="16"/>
        <v>50606362</v>
      </c>
      <c r="V126" s="236">
        <f t="shared" si="16"/>
        <v>0</v>
      </c>
      <c r="W126" s="236">
        <f t="shared" si="16"/>
        <v>34709000</v>
      </c>
      <c r="X126" s="236">
        <f t="shared" si="16"/>
        <v>0</v>
      </c>
      <c r="Y126" s="236">
        <f t="shared" si="16"/>
        <v>0</v>
      </c>
      <c r="Z126" s="236">
        <f t="shared" si="16"/>
        <v>0</v>
      </c>
      <c r="AA126" s="236">
        <f t="shared" si="16"/>
        <v>15897362</v>
      </c>
      <c r="AB126" s="263"/>
      <c r="AC126" s="20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48"/>
      <c r="AQ126" s="148"/>
      <c r="AR126" s="148"/>
      <c r="AS126" s="148"/>
      <c r="AT126" s="531"/>
      <c r="AU126" s="232"/>
      <c r="AV126" s="232"/>
      <c r="AW126" s="232"/>
      <c r="AX126" s="232"/>
      <c r="AY126" s="232"/>
      <c r="AZ126" s="232"/>
      <c r="BA126" s="232"/>
      <c r="BB126" s="232"/>
      <c r="BC126" s="312"/>
      <c r="BD126" s="312"/>
      <c r="BE126" s="312"/>
      <c r="BF126" s="312"/>
      <c r="BG126" s="312"/>
      <c r="BH126" s="312"/>
      <c r="BI126" s="312"/>
      <c r="BJ126" s="312"/>
      <c r="BK126" s="312"/>
    </row>
    <row r="127" spans="1:68" s="40" customFormat="1" ht="25.15" hidden="1" customHeight="1">
      <c r="A127" s="500"/>
      <c r="C127" s="589"/>
      <c r="D127" s="306">
        <f>SUM(L126:O126)</f>
        <v>981592458</v>
      </c>
      <c r="E127" s="124"/>
      <c r="F127" s="124">
        <f>D126-E126</f>
        <v>92892757</v>
      </c>
      <c r="G127" s="124"/>
      <c r="H127" s="124"/>
      <c r="I127" s="124"/>
      <c r="J127" s="124"/>
      <c r="K127" s="124"/>
      <c r="L127" s="306">
        <f>H126+K126</f>
        <v>662757896.25</v>
      </c>
      <c r="M127" s="124"/>
      <c r="N127" s="124"/>
      <c r="O127" s="124"/>
      <c r="P127" s="306">
        <f>G126-L127</f>
        <v>35728563.75</v>
      </c>
      <c r="Q127" s="306">
        <f>'ריכוז אגפים 2024'!AV9</f>
        <v>2875000</v>
      </c>
      <c r="R127" s="306">
        <f>'עדכוני תקציב 2024'!AE116</f>
        <v>2260000</v>
      </c>
      <c r="S127" s="124"/>
      <c r="T127" s="306">
        <f>P127+S126-M126</f>
        <v>0</v>
      </c>
      <c r="U127" s="306">
        <f>N126-T127</f>
        <v>50606362</v>
      </c>
      <c r="V127" s="500"/>
      <c r="W127" s="500"/>
      <c r="X127" s="500"/>
      <c r="Y127" s="500"/>
      <c r="Z127" s="500"/>
      <c r="AA127" s="500"/>
      <c r="AB127" s="677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48"/>
      <c r="AQ127" s="148"/>
      <c r="AR127" s="148"/>
      <c r="AS127" s="148"/>
      <c r="AT127" s="531"/>
      <c r="AU127" s="531"/>
      <c r="AV127" s="531"/>
      <c r="AW127" s="531"/>
      <c r="AX127" s="531"/>
      <c r="AY127" s="531"/>
      <c r="AZ127" s="531"/>
      <c r="BA127" s="148"/>
      <c r="BB127" s="232"/>
      <c r="BC127" s="232"/>
      <c r="BD127" s="232"/>
      <c r="BE127" s="232"/>
      <c r="BF127" s="232"/>
      <c r="BG127" s="232"/>
      <c r="BH127" s="312"/>
      <c r="BI127" s="312"/>
      <c r="BJ127" s="312"/>
      <c r="BK127" s="312"/>
      <c r="BL127" s="312"/>
      <c r="BM127" s="312"/>
      <c r="BN127" s="312"/>
      <c r="BO127" s="312"/>
      <c r="BP127" s="312"/>
    </row>
    <row r="128" spans="1:68" hidden="1"/>
    <row r="129" spans="1:68" hidden="1"/>
    <row r="130" spans="1:68" hidden="1"/>
    <row r="131" spans="1:68">
      <c r="C131" s="674" t="s">
        <v>1347</v>
      </c>
    </row>
    <row r="132" spans="1:68" s="5" customFormat="1" ht="30">
      <c r="A132" s="3">
        <f t="shared" ref="A132" si="17">A131+1</f>
        <v>1</v>
      </c>
      <c r="B132" s="3">
        <v>20140</v>
      </c>
      <c r="C132" s="127" t="s">
        <v>802</v>
      </c>
      <c r="D132" s="112">
        <v>15000000</v>
      </c>
      <c r="E132" s="112">
        <v>6500000</v>
      </c>
      <c r="F132" s="112">
        <f>D132-E132</f>
        <v>8500000</v>
      </c>
      <c r="G132" s="112">
        <v>5510000</v>
      </c>
      <c r="H132" s="112">
        <v>0</v>
      </c>
      <c r="I132" s="112">
        <v>0</v>
      </c>
      <c r="J132" s="112">
        <v>5474044.2800000003</v>
      </c>
      <c r="K132" s="112">
        <f>I132+J132</f>
        <v>5474044.2800000003</v>
      </c>
      <c r="L132" s="112">
        <f>H132+K132</f>
        <v>5474044.2800000003</v>
      </c>
      <c r="M132" s="4">
        <f>P132+S132</f>
        <v>1025955.7199999997</v>
      </c>
      <c r="N132" s="4">
        <f>2500000</f>
        <v>2500000</v>
      </c>
      <c r="O132" s="112">
        <f>D132-L132-M132-N132</f>
        <v>6000000</v>
      </c>
      <c r="P132" s="112">
        <f>G132-L132</f>
        <v>35955.719999999739</v>
      </c>
      <c r="Q132" s="112"/>
      <c r="R132" s="112">
        <v>990000</v>
      </c>
      <c r="S132" s="112">
        <f>SUM(Q132:R132)</f>
        <v>990000</v>
      </c>
      <c r="T132" s="112">
        <f>P132-M132+S132</f>
        <v>0</v>
      </c>
      <c r="U132" s="4">
        <f>N132-T132</f>
        <v>2500000</v>
      </c>
      <c r="V132" s="4"/>
      <c r="W132" s="4">
        <f>U132-AA132-V132-Y132</f>
        <v>2500000</v>
      </c>
      <c r="X132" s="4"/>
      <c r="Y132" s="4"/>
      <c r="Z132" s="4"/>
      <c r="AA132" s="3"/>
      <c r="AB132" s="3" t="s">
        <v>1214</v>
      </c>
      <c r="AC132" s="3">
        <v>742000</v>
      </c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48"/>
      <c r="AQ132" s="148"/>
      <c r="AR132" s="148"/>
      <c r="AS132" s="148"/>
      <c r="AT132" s="531"/>
      <c r="AU132" s="531"/>
      <c r="AV132" s="531"/>
      <c r="AW132" s="531"/>
      <c r="AX132" s="531"/>
      <c r="AY132" s="531"/>
      <c r="AZ132" s="531"/>
      <c r="BA132" s="148"/>
      <c r="BB132" s="123"/>
      <c r="BC132" s="123"/>
      <c r="BD132" s="123"/>
      <c r="BE132" s="123"/>
      <c r="BF132" s="123"/>
      <c r="BG132" s="123"/>
      <c r="BH132" s="256"/>
      <c r="BI132" s="256"/>
      <c r="BJ132" s="256"/>
      <c r="BK132" s="256"/>
      <c r="BL132" s="256"/>
      <c r="BM132" s="256"/>
      <c r="BN132" s="256"/>
      <c r="BO132" s="256"/>
      <c r="BP132" s="256"/>
    </row>
    <row r="133" spans="1:68" hidden="1"/>
    <row r="134" spans="1:68" hidden="1"/>
    <row r="135" spans="1:68">
      <c r="C135" s="693" t="s">
        <v>1346</v>
      </c>
    </row>
  </sheetData>
  <sortState xmlns:xlrd2="http://schemas.microsoft.com/office/spreadsheetml/2017/richdata2" ref="A6:BP124">
    <sortCondition ref="AC6:AC124"/>
  </sortState>
  <conditionalFormatting sqref="AB4:AB5 AS4:AS5 AZ128:AZ131 AZ1:AZ26 AM4:AM5 AE6:AE9 AH6:AO9 AZ28:AZ114 AZ133:AZ1048576">
    <cfRule type="cellIs" dxfId="395" priority="18" operator="equal">
      <formula>0</formula>
    </cfRule>
  </conditionalFormatting>
  <conditionalFormatting sqref="AY4:AY5">
    <cfRule type="cellIs" dxfId="394" priority="17" operator="equal">
      <formula>0</formula>
    </cfRule>
  </conditionalFormatting>
  <conditionalFormatting sqref="AZ115">
    <cfRule type="cellIs" dxfId="393" priority="16" operator="equal">
      <formula>0</formula>
    </cfRule>
  </conditionalFormatting>
  <conditionalFormatting sqref="AZ116:AZ118">
    <cfRule type="cellIs" dxfId="392" priority="15" operator="equal">
      <formula>0</formula>
    </cfRule>
  </conditionalFormatting>
  <conditionalFormatting sqref="AQ4:AQ5">
    <cfRule type="cellIs" dxfId="391" priority="14" operator="equal">
      <formula>0</formula>
    </cfRule>
  </conditionalFormatting>
  <conditionalFormatting sqref="AR4:AR5">
    <cfRule type="cellIs" dxfId="390" priority="13" operator="equal">
      <formula>0</formula>
    </cfRule>
  </conditionalFormatting>
  <conditionalFormatting sqref="AP4:AP5">
    <cfRule type="cellIs" dxfId="389" priority="12" operator="equal">
      <formula>0</formula>
    </cfRule>
  </conditionalFormatting>
  <conditionalFormatting sqref="AJ4:AJ5">
    <cfRule type="cellIs" dxfId="388" priority="11" operator="equal">
      <formula>0</formula>
    </cfRule>
  </conditionalFormatting>
  <conditionalFormatting sqref="AZ27">
    <cfRule type="cellIs" dxfId="387" priority="10" operator="equal">
      <formula>0</formula>
    </cfRule>
  </conditionalFormatting>
  <conditionalFormatting sqref="AO12">
    <cfRule type="cellIs" dxfId="386" priority="9" operator="equal">
      <formula>0</formula>
    </cfRule>
  </conditionalFormatting>
  <conditionalFormatting sqref="AN4:AN5">
    <cfRule type="cellIs" dxfId="385" priority="8" operator="equal">
      <formula>0</formula>
    </cfRule>
  </conditionalFormatting>
  <conditionalFormatting sqref="AE12">
    <cfRule type="cellIs" dxfId="384" priority="7" operator="equal">
      <formula>0</formula>
    </cfRule>
  </conditionalFormatting>
  <conditionalFormatting sqref="AF4:AF5">
    <cfRule type="cellIs" dxfId="383" priority="6" operator="equal">
      <formula>0</formula>
    </cfRule>
  </conditionalFormatting>
  <conditionalFormatting sqref="AH12:AO12">
    <cfRule type="cellIs" dxfId="382" priority="5" operator="equal">
      <formula>0</formula>
    </cfRule>
  </conditionalFormatting>
  <conditionalFormatting sqref="AH4:AO5">
    <cfRule type="cellIs" dxfId="381" priority="4" operator="equal">
      <formula>0</formula>
    </cfRule>
  </conditionalFormatting>
  <conditionalFormatting sqref="AG4:AG5">
    <cfRule type="cellIs" dxfId="380" priority="3" operator="equal">
      <formula>0</formula>
    </cfRule>
  </conditionalFormatting>
  <conditionalFormatting sqref="AZ127">
    <cfRule type="cellIs" dxfId="379" priority="2" operator="equal">
      <formula>0</formula>
    </cfRule>
  </conditionalFormatting>
  <conditionalFormatting sqref="AZ132">
    <cfRule type="cellIs" dxfId="378" priority="1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3:Q27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34.85546875" style="167" customWidth="1"/>
    <col min="5" max="5" width="30.42578125" style="167" customWidth="1"/>
    <col min="6" max="6" width="10.855468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3" spans="1:17" ht="20.25">
      <c r="A3" s="166"/>
      <c r="C3" s="168" t="s">
        <v>489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1" thickBot="1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16.5" thickBot="1">
      <c r="A5" s="166"/>
      <c r="B5" s="169" t="s">
        <v>105</v>
      </c>
      <c r="C5" s="166" t="s">
        <v>892</v>
      </c>
      <c r="D5" s="166"/>
      <c r="E5" s="166"/>
      <c r="F5" s="170">
        <f>'תקציב מינהל חינוך 2025'!U15</f>
        <v>2352000</v>
      </c>
      <c r="I5" s="166"/>
      <c r="J5" s="166"/>
      <c r="K5" s="166"/>
      <c r="L5" s="166"/>
    </row>
    <row r="6" spans="1:17" ht="21" thickBot="1">
      <c r="A6" s="166"/>
      <c r="C6" s="168"/>
      <c r="D6" s="166"/>
      <c r="E6" s="166"/>
      <c r="F6" s="166"/>
      <c r="H6" s="166"/>
      <c r="I6" s="166"/>
      <c r="J6" s="166"/>
      <c r="K6" s="166"/>
      <c r="L6" s="166"/>
    </row>
    <row r="7" spans="1:17" ht="16.5" thickBot="1">
      <c r="B7" s="169" t="s">
        <v>105</v>
      </c>
      <c r="C7" s="166" t="s">
        <v>784</v>
      </c>
      <c r="D7" s="166"/>
      <c r="F7" s="170">
        <f>'תקציב מינהל חינוך 2025'!A15</f>
        <v>10</v>
      </c>
      <c r="I7" s="166"/>
      <c r="J7" s="166"/>
      <c r="K7" s="166"/>
      <c r="L7" s="166"/>
      <c r="M7" s="166"/>
      <c r="N7" s="166"/>
      <c r="O7" s="166"/>
      <c r="P7" s="166"/>
      <c r="Q7" s="166"/>
    </row>
    <row r="8" spans="1:17" ht="15.75">
      <c r="B8" s="169"/>
      <c r="C8" s="166"/>
      <c r="D8" s="166"/>
      <c r="E8" s="166"/>
      <c r="F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B9" s="169" t="s">
        <v>105</v>
      </c>
      <c r="C9" s="166" t="s">
        <v>190</v>
      </c>
      <c r="D9" s="166"/>
      <c r="E9" s="166"/>
      <c r="F9" s="166"/>
      <c r="G9" s="166"/>
      <c r="H9" s="166"/>
      <c r="I9" s="166"/>
      <c r="J9" s="166"/>
      <c r="K9" s="166"/>
      <c r="L9" s="166"/>
    </row>
    <row r="10" spans="1:17" ht="16.5" thickBot="1"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D11" s="177" t="s">
        <v>191</v>
      </c>
      <c r="E11" s="178" t="s">
        <v>192</v>
      </c>
      <c r="F11" s="179" t="s">
        <v>193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>
      <c r="C12" s="169"/>
      <c r="D12" s="173" t="s">
        <v>14</v>
      </c>
      <c r="E12" s="180">
        <f>'תקציב מינהל חינוך 2025'!W15</f>
        <v>1178000</v>
      </c>
      <c r="F12" s="186">
        <f>E12/$E$14</f>
        <v>0.50085034013605445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75">
      <c r="C13" s="169"/>
      <c r="D13" s="173" t="s">
        <v>1439</v>
      </c>
      <c r="E13" s="180">
        <f>'תקציב מינהל חינוך 2025'!AA15</f>
        <v>1174000</v>
      </c>
      <c r="F13" s="186">
        <f>E13/$E$14</f>
        <v>0.49914965986394561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6.5" thickBot="1">
      <c r="C14" s="169"/>
      <c r="D14" s="175" t="s">
        <v>75</v>
      </c>
      <c r="E14" s="234">
        <f>SUM(E12:E13)</f>
        <v>2352000</v>
      </c>
      <c r="F14" s="235">
        <f>SUM(F12:F13)</f>
        <v>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C15" s="169"/>
      <c r="D15" s="172"/>
      <c r="E15" s="194"/>
      <c r="F15" s="195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5.75">
      <c r="B16" s="169"/>
      <c r="C16" s="166" t="s">
        <v>157</v>
      </c>
      <c r="D16" s="166" t="s">
        <v>1440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15.75">
      <c r="B17" s="169"/>
      <c r="C17" s="166"/>
      <c r="D17" s="166"/>
      <c r="F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s="418" customFormat="1" ht="15.75">
      <c r="B18" s="419" t="s">
        <v>105</v>
      </c>
      <c r="C18" s="420" t="s">
        <v>774</v>
      </c>
      <c r="D18" s="420"/>
      <c r="F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</row>
    <row r="19" spans="1:17" s="418" customFormat="1" ht="15.75">
      <c r="B19" s="419"/>
      <c r="C19" s="420"/>
      <c r="D19" s="420"/>
      <c r="F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</row>
    <row r="20" spans="1:17" ht="15.75">
      <c r="B20" s="169"/>
      <c r="C20" s="166"/>
      <c r="D20" s="166"/>
      <c r="F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</row>
    <row r="21" spans="1:17" ht="15.75">
      <c r="B21" s="169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</row>
    <row r="22" spans="1:17" s="227" customFormat="1" ht="15.75">
      <c r="C22" s="229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</row>
    <row r="23" spans="1:17" s="227" customFormat="1" ht="15.75">
      <c r="C23" s="229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1:17" s="227" customFormat="1" ht="15.75">
      <c r="C24" s="229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</row>
    <row r="25" spans="1:17" s="227" customFormat="1" ht="15.75">
      <c r="A25" s="226"/>
      <c r="B25" s="226"/>
      <c r="C25" s="226"/>
      <c r="D25" s="265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</row>
    <row r="26" spans="1:17" s="227" customFormat="1" ht="15.75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17" s="227" customFormat="1" ht="15.75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E63"/>
  <sheetViews>
    <sheetView showZeros="0" rightToLeft="1" zoomScaleNormal="100" workbookViewId="0">
      <pane xSplit="3" ySplit="4" topLeftCell="D5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" defaultRowHeight="15"/>
  <cols>
    <col min="1" max="1" width="3.7109375" style="10" customWidth="1"/>
    <col min="2" max="2" width="5.7109375" style="10" customWidth="1"/>
    <col min="3" max="3" width="17.7109375" style="14" customWidth="1"/>
    <col min="4" max="4" width="10.42578125" style="11" customWidth="1"/>
    <col min="5" max="5" width="10.5703125" style="11" customWidth="1"/>
    <col min="6" max="6" width="10" style="11" bestFit="1" customWidth="1"/>
    <col min="7" max="7" width="10.42578125" style="11" hidden="1" customWidth="1"/>
    <col min="8" max="8" width="11" style="11" hidden="1" customWidth="1"/>
    <col min="9" max="9" width="9.140625" style="11" hidden="1" customWidth="1"/>
    <col min="10" max="10" width="9.85546875" style="11" hidden="1" customWidth="1"/>
    <col min="11" max="11" width="9.140625" style="11" hidden="1" customWidth="1"/>
    <col min="12" max="12" width="10.28515625" style="11" customWidth="1"/>
    <col min="13" max="13" width="10" style="11" customWidth="1"/>
    <col min="14" max="14" width="9.140625" style="11" bestFit="1" customWidth="1"/>
    <col min="15" max="15" width="10.140625" style="11" customWidth="1"/>
    <col min="16" max="16" width="11.140625" style="11" hidden="1" customWidth="1"/>
    <col min="17" max="17" width="9.7109375" style="11" hidden="1" customWidth="1"/>
    <col min="18" max="19" width="13.5703125" style="11" hidden="1" customWidth="1"/>
    <col min="20" max="20" width="7" style="11" customWidth="1"/>
    <col min="21" max="21" width="10" style="10" bestFit="1" customWidth="1"/>
    <col min="22" max="22" width="9.140625" style="10" hidden="1" customWidth="1"/>
    <col min="23" max="23" width="11.42578125" style="10" customWidth="1"/>
    <col min="24" max="26" width="13.5703125" style="10" hidden="1" customWidth="1"/>
    <col min="27" max="27" width="11.42578125" style="10" customWidth="1"/>
    <col min="28" max="28" width="36" style="14" customWidth="1"/>
    <col min="29" max="29" width="7.140625" style="10" hidden="1" customWidth="1"/>
    <col min="30" max="31" width="14.5703125" style="510" customWidth="1"/>
    <col min="32" max="32" width="18.5703125" style="510" customWidth="1"/>
    <col min="33" max="34" width="36" style="510" customWidth="1"/>
    <col min="35" max="35" width="10.28515625" style="510" customWidth="1"/>
    <col min="36" max="36" width="14.5703125" style="510" customWidth="1"/>
    <col min="37" max="37" width="27.85546875" style="510" customWidth="1"/>
    <col min="38" max="39" width="14.5703125" style="510" customWidth="1"/>
    <col min="40" max="40" width="18.5703125" style="16" customWidth="1"/>
    <col min="41" max="48" width="10.7109375" style="16" customWidth="1"/>
    <col min="49" max="16384" width="8" style="10"/>
  </cols>
  <sheetData>
    <row r="1" spans="1:57" s="442" customFormat="1" ht="26.25" customHeight="1">
      <c r="A1" s="437"/>
      <c r="B1" s="437"/>
      <c r="C1" s="438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9"/>
      <c r="Y1" s="439"/>
      <c r="Z1" s="439"/>
      <c r="AA1" s="440"/>
      <c r="AB1" s="441"/>
      <c r="AC1" s="44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16"/>
      <c r="AO1" s="16"/>
      <c r="AP1" s="16"/>
      <c r="AQ1" s="16"/>
      <c r="AR1" s="16"/>
      <c r="AS1" s="16"/>
      <c r="AT1" s="16"/>
      <c r="AU1" s="16"/>
      <c r="AV1" s="16"/>
    </row>
    <row r="2" spans="1:57" s="442" customFormat="1" ht="18.75">
      <c r="A2" s="437" t="s">
        <v>489</v>
      </c>
      <c r="B2" s="437"/>
      <c r="C2" s="438"/>
      <c r="D2" s="437"/>
      <c r="E2" s="443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44"/>
      <c r="V2" s="437"/>
      <c r="W2" s="437"/>
      <c r="X2" s="444"/>
      <c r="Z2" s="444"/>
      <c r="AA2" s="444"/>
      <c r="AB2" s="444"/>
      <c r="AC2" s="444"/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16"/>
      <c r="AO2" s="16"/>
      <c r="AP2" s="16"/>
      <c r="AQ2" s="16"/>
      <c r="AR2" s="16"/>
      <c r="AS2" s="16"/>
      <c r="AT2" s="16"/>
      <c r="AU2" s="16"/>
      <c r="AV2" s="16"/>
    </row>
    <row r="3" spans="1:57" ht="20.45" customHeight="1">
      <c r="W3" s="510"/>
      <c r="X3" s="510"/>
      <c r="Y3" s="510"/>
      <c r="Z3" s="510"/>
      <c r="AA3" s="510"/>
      <c r="AB3" s="445"/>
    </row>
    <row r="4" spans="1:57" s="16" customFormat="1" ht="75" customHeight="1">
      <c r="A4" s="122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9</v>
      </c>
      <c r="J4" s="13" t="s">
        <v>101</v>
      </c>
      <c r="K4" s="13" t="s">
        <v>10</v>
      </c>
      <c r="L4" s="13" t="s">
        <v>11</v>
      </c>
      <c r="M4" s="327" t="s">
        <v>793</v>
      </c>
      <c r="N4" s="327" t="s">
        <v>794</v>
      </c>
      <c r="O4" s="2" t="s">
        <v>795</v>
      </c>
      <c r="P4" s="2" t="s">
        <v>12</v>
      </c>
      <c r="Q4" s="2" t="s">
        <v>796</v>
      </c>
      <c r="R4" s="328" t="s">
        <v>797</v>
      </c>
      <c r="S4" s="328" t="s">
        <v>798</v>
      </c>
      <c r="T4" s="2" t="s">
        <v>799</v>
      </c>
      <c r="U4" s="2" t="s">
        <v>800</v>
      </c>
      <c r="V4" s="13" t="s">
        <v>13</v>
      </c>
      <c r="W4" s="13" t="s">
        <v>14</v>
      </c>
      <c r="X4" s="13" t="s">
        <v>15</v>
      </c>
      <c r="Y4" s="13" t="s">
        <v>185</v>
      </c>
      <c r="Z4" s="13" t="s">
        <v>385</v>
      </c>
      <c r="AA4" s="13" t="s">
        <v>67</v>
      </c>
      <c r="AB4" s="446" t="s">
        <v>207</v>
      </c>
      <c r="AC4" s="13" t="s">
        <v>16</v>
      </c>
      <c r="AD4" s="510"/>
      <c r="AE4" s="510"/>
      <c r="AF4" s="510"/>
      <c r="AG4" s="510"/>
      <c r="AH4" s="510"/>
      <c r="AI4" s="510"/>
      <c r="AJ4" s="510"/>
      <c r="AK4" s="510"/>
      <c r="AL4" s="510"/>
      <c r="AM4" s="510"/>
    </row>
    <row r="5" spans="1:57" s="5" customFormat="1" ht="60">
      <c r="A5" s="3">
        <v>1</v>
      </c>
      <c r="B5" s="19">
        <v>1776</v>
      </c>
      <c r="C5" s="3" t="s">
        <v>44</v>
      </c>
      <c r="D5" s="4">
        <v>6102000</v>
      </c>
      <c r="E5" s="4">
        <v>4997000</v>
      </c>
      <c r="F5" s="4">
        <f t="shared" ref="F5:F11" si="0">D5-E5</f>
        <v>1105000</v>
      </c>
      <c r="G5" s="4">
        <v>4597000</v>
      </c>
      <c r="H5" s="4">
        <v>3260998</v>
      </c>
      <c r="I5" s="4"/>
      <c r="J5" s="4">
        <v>834837</v>
      </c>
      <c r="K5" s="4">
        <f>I5+J5</f>
        <v>834837</v>
      </c>
      <c r="L5" s="4">
        <f>H5+K5</f>
        <v>4095835</v>
      </c>
      <c r="M5" s="4">
        <f>P5+S5</f>
        <v>501165</v>
      </c>
      <c r="N5" s="4">
        <f>1105000-505000-100000</f>
        <v>500000</v>
      </c>
      <c r="O5" s="4">
        <f>D5-M5-N5-L5</f>
        <v>1005000</v>
      </c>
      <c r="P5" s="4">
        <f>G5-L5</f>
        <v>501165</v>
      </c>
      <c r="Q5" s="311"/>
      <c r="R5" s="4"/>
      <c r="S5" s="4">
        <f>SUM(Q5:R5)</f>
        <v>0</v>
      </c>
      <c r="T5" s="4">
        <f t="shared" ref="T5:T11" si="1">P5-M5+S5</f>
        <v>0</v>
      </c>
      <c r="U5" s="4">
        <f t="shared" ref="U5:U11" si="2">N5-T5</f>
        <v>500000</v>
      </c>
      <c r="V5" s="4"/>
      <c r="W5" s="4">
        <f t="shared" ref="W5:W11" si="3">U5-V5-Z5-AA5</f>
        <v>500000</v>
      </c>
      <c r="X5" s="4"/>
      <c r="Y5" s="4"/>
      <c r="Z5" s="4"/>
      <c r="AA5" s="258"/>
      <c r="AB5" s="19" t="s">
        <v>1274</v>
      </c>
      <c r="AC5" s="3">
        <v>810000</v>
      </c>
      <c r="AD5" s="510"/>
      <c r="AE5" s="510"/>
      <c r="AF5" s="510"/>
      <c r="AG5" s="510"/>
      <c r="AH5" s="510"/>
      <c r="AI5" s="510"/>
      <c r="AJ5" s="510"/>
      <c r="AK5" s="510"/>
      <c r="AL5" s="510"/>
      <c r="AM5" s="510"/>
      <c r="AN5" s="16"/>
      <c r="AO5" s="16"/>
      <c r="AP5" s="16"/>
      <c r="AQ5" s="16"/>
      <c r="AR5" s="16"/>
      <c r="AS5" s="16"/>
      <c r="AT5" s="16"/>
      <c r="AU5" s="16"/>
      <c r="AV5" s="16"/>
    </row>
    <row r="6" spans="1:57" s="5" customFormat="1" ht="30" customHeight="1">
      <c r="A6" s="3">
        <f>A5+1</f>
        <v>2</v>
      </c>
      <c r="B6" s="19">
        <v>2179</v>
      </c>
      <c r="C6" s="3" t="s">
        <v>361</v>
      </c>
      <c r="D6" s="4">
        <v>290000</v>
      </c>
      <c r="E6" s="4">
        <v>290000</v>
      </c>
      <c r="F6" s="4">
        <f t="shared" si="0"/>
        <v>0</v>
      </c>
      <c r="G6" s="4">
        <v>290000</v>
      </c>
      <c r="H6" s="4">
        <v>286987</v>
      </c>
      <c r="I6" s="4"/>
      <c r="J6" s="4">
        <v>0</v>
      </c>
      <c r="K6" s="4">
        <f t="shared" ref="K6:K11" si="4">I6+J6</f>
        <v>0</v>
      </c>
      <c r="L6" s="4">
        <f t="shared" ref="L6:L11" si="5">H6+K6</f>
        <v>286987</v>
      </c>
      <c r="M6" s="4">
        <f t="shared" ref="M6:M11" si="6">P6+S6</f>
        <v>3013</v>
      </c>
      <c r="N6" s="4"/>
      <c r="O6" s="4">
        <f t="shared" ref="O6:O11" si="7">D6-M6-N6-L6</f>
        <v>0</v>
      </c>
      <c r="P6" s="4">
        <f t="shared" ref="P6:P11" si="8">G6-L6</f>
        <v>3013</v>
      </c>
      <c r="Q6" s="311"/>
      <c r="R6" s="4"/>
      <c r="S6" s="4">
        <f t="shared" ref="S6:S11" si="9">SUM(Q6:R6)</f>
        <v>0</v>
      </c>
      <c r="T6" s="4">
        <f t="shared" si="1"/>
        <v>0</v>
      </c>
      <c r="U6" s="4">
        <f t="shared" si="2"/>
        <v>0</v>
      </c>
      <c r="V6" s="4"/>
      <c r="W6" s="4">
        <f t="shared" si="3"/>
        <v>0</v>
      </c>
      <c r="X6" s="4"/>
      <c r="Y6" s="4"/>
      <c r="Z6" s="4"/>
      <c r="AA6" s="258"/>
      <c r="AB6" s="3" t="s">
        <v>666</v>
      </c>
      <c r="AC6" s="3">
        <v>810000</v>
      </c>
      <c r="AD6" s="510"/>
      <c r="AE6" s="510"/>
      <c r="AF6" s="510"/>
      <c r="AG6" s="510"/>
      <c r="AH6" s="510"/>
      <c r="AI6" s="510"/>
      <c r="AJ6" s="510"/>
      <c r="AK6" s="510"/>
      <c r="AL6" s="510"/>
      <c r="AM6" s="510"/>
      <c r="AN6" s="16"/>
      <c r="AO6" s="16"/>
      <c r="AP6" s="16"/>
      <c r="AQ6" s="16"/>
      <c r="AR6" s="16"/>
      <c r="AS6" s="16"/>
      <c r="AT6" s="16"/>
      <c r="AU6" s="16"/>
      <c r="AV6" s="16"/>
    </row>
    <row r="7" spans="1:57" s="5" customFormat="1" ht="30" customHeight="1">
      <c r="A7" s="3">
        <f t="shared" ref="A7:A14" si="10">A6+1</f>
        <v>3</v>
      </c>
      <c r="B7" s="19">
        <v>2219</v>
      </c>
      <c r="C7" s="3" t="s">
        <v>363</v>
      </c>
      <c r="D7" s="4">
        <v>440000</v>
      </c>
      <c r="E7" s="4">
        <v>440000</v>
      </c>
      <c r="F7" s="4">
        <f t="shared" si="0"/>
        <v>0</v>
      </c>
      <c r="G7" s="4">
        <v>440000</v>
      </c>
      <c r="H7" s="4">
        <v>302182</v>
      </c>
      <c r="I7" s="4"/>
      <c r="J7" s="4">
        <v>62832</v>
      </c>
      <c r="K7" s="4">
        <f t="shared" si="4"/>
        <v>62832</v>
      </c>
      <c r="L7" s="4">
        <f t="shared" si="5"/>
        <v>365014</v>
      </c>
      <c r="M7" s="4">
        <f t="shared" si="6"/>
        <v>74986</v>
      </c>
      <c r="N7" s="4"/>
      <c r="O7" s="4">
        <f t="shared" si="7"/>
        <v>0</v>
      </c>
      <c r="P7" s="4">
        <f t="shared" si="8"/>
        <v>74986</v>
      </c>
      <c r="Q7" s="311"/>
      <c r="R7" s="4"/>
      <c r="S7" s="4">
        <f t="shared" si="9"/>
        <v>0</v>
      </c>
      <c r="T7" s="4">
        <f t="shared" si="1"/>
        <v>0</v>
      </c>
      <c r="U7" s="4">
        <f t="shared" si="2"/>
        <v>0</v>
      </c>
      <c r="V7" s="4"/>
      <c r="W7" s="4">
        <f t="shared" si="3"/>
        <v>0</v>
      </c>
      <c r="X7" s="4"/>
      <c r="Y7" s="4"/>
      <c r="Z7" s="4"/>
      <c r="AA7" s="258"/>
      <c r="AB7" s="3" t="s">
        <v>651</v>
      </c>
      <c r="AC7" s="3">
        <v>810000</v>
      </c>
      <c r="AD7" s="510"/>
      <c r="AE7" s="510"/>
      <c r="AF7" s="510"/>
      <c r="AG7" s="510"/>
      <c r="AH7" s="510"/>
      <c r="AI7" s="510"/>
      <c r="AJ7" s="510"/>
      <c r="AK7" s="510"/>
      <c r="AL7" s="510"/>
      <c r="AM7" s="510"/>
      <c r="AN7" s="16"/>
      <c r="AO7" s="16"/>
      <c r="AP7" s="16"/>
      <c r="AQ7" s="16"/>
      <c r="AR7" s="16"/>
      <c r="AS7" s="16"/>
      <c r="AT7" s="16"/>
      <c r="AU7" s="16"/>
      <c r="AV7" s="16"/>
    </row>
    <row r="8" spans="1:57" s="5" customFormat="1" ht="30" customHeight="1">
      <c r="A8" s="3">
        <f t="shared" si="10"/>
        <v>4</v>
      </c>
      <c r="B8" s="19">
        <v>2227</v>
      </c>
      <c r="C8" s="3" t="s">
        <v>406</v>
      </c>
      <c r="D8" s="4">
        <v>100000</v>
      </c>
      <c r="E8" s="4">
        <v>100000</v>
      </c>
      <c r="F8" s="4">
        <f t="shared" si="0"/>
        <v>0</v>
      </c>
      <c r="G8" s="4">
        <v>100000</v>
      </c>
      <c r="H8" s="4">
        <v>0</v>
      </c>
      <c r="I8" s="4"/>
      <c r="J8" s="4">
        <v>100000</v>
      </c>
      <c r="K8" s="4">
        <f t="shared" si="4"/>
        <v>100000</v>
      </c>
      <c r="L8" s="4">
        <f t="shared" si="5"/>
        <v>100000</v>
      </c>
      <c r="M8" s="4">
        <f t="shared" si="6"/>
        <v>0</v>
      </c>
      <c r="N8" s="4"/>
      <c r="O8" s="4">
        <f t="shared" si="7"/>
        <v>0</v>
      </c>
      <c r="P8" s="4">
        <f t="shared" si="8"/>
        <v>0</v>
      </c>
      <c r="Q8" s="311"/>
      <c r="R8" s="4"/>
      <c r="S8" s="4">
        <f t="shared" si="9"/>
        <v>0</v>
      </c>
      <c r="T8" s="4">
        <f t="shared" si="1"/>
        <v>0</v>
      </c>
      <c r="U8" s="4">
        <f t="shared" si="2"/>
        <v>0</v>
      </c>
      <c r="V8" s="4"/>
      <c r="W8" s="4">
        <f t="shared" si="3"/>
        <v>0</v>
      </c>
      <c r="X8" s="4"/>
      <c r="Y8" s="4"/>
      <c r="Z8" s="4"/>
      <c r="AA8" s="258"/>
      <c r="AB8" s="3" t="s">
        <v>667</v>
      </c>
      <c r="AC8" s="3">
        <v>810000</v>
      </c>
      <c r="AD8" s="510"/>
      <c r="AE8" s="510"/>
      <c r="AF8" s="510"/>
      <c r="AG8" s="510"/>
      <c r="AH8" s="510"/>
      <c r="AI8" s="510"/>
      <c r="AJ8" s="510"/>
      <c r="AK8" s="510"/>
      <c r="AL8" s="510"/>
      <c r="AM8" s="510"/>
      <c r="AN8" s="16"/>
      <c r="AO8" s="16"/>
      <c r="AP8" s="16"/>
      <c r="AQ8" s="16"/>
      <c r="AR8" s="16"/>
      <c r="AS8" s="16"/>
      <c r="AT8" s="16"/>
      <c r="AU8" s="16"/>
      <c r="AV8" s="16"/>
    </row>
    <row r="9" spans="1:57" s="5" customFormat="1" ht="30" customHeight="1">
      <c r="A9" s="3">
        <f t="shared" si="10"/>
        <v>5</v>
      </c>
      <c r="B9" s="19">
        <v>20042</v>
      </c>
      <c r="C9" s="3" t="s">
        <v>447</v>
      </c>
      <c r="D9" s="4">
        <v>1300000</v>
      </c>
      <c r="E9" s="4">
        <v>1300000</v>
      </c>
      <c r="F9" s="4">
        <f t="shared" si="0"/>
        <v>0</v>
      </c>
      <c r="G9" s="4">
        <v>1200000</v>
      </c>
      <c r="H9" s="4">
        <v>871135</v>
      </c>
      <c r="I9" s="4"/>
      <c r="J9" s="4">
        <v>189494</v>
      </c>
      <c r="K9" s="4">
        <f t="shared" si="4"/>
        <v>189494</v>
      </c>
      <c r="L9" s="4">
        <f t="shared" si="5"/>
        <v>1060629</v>
      </c>
      <c r="M9" s="4">
        <f t="shared" si="6"/>
        <v>139371</v>
      </c>
      <c r="N9" s="4"/>
      <c r="O9" s="4">
        <f t="shared" si="7"/>
        <v>100000</v>
      </c>
      <c r="P9" s="4">
        <f t="shared" si="8"/>
        <v>139371</v>
      </c>
      <c r="Q9" s="311"/>
      <c r="R9" s="4"/>
      <c r="S9" s="4">
        <f t="shared" si="9"/>
        <v>0</v>
      </c>
      <c r="T9" s="4">
        <f t="shared" si="1"/>
        <v>0</v>
      </c>
      <c r="U9" s="4">
        <f t="shared" si="2"/>
        <v>0</v>
      </c>
      <c r="V9" s="4"/>
      <c r="W9" s="4">
        <f t="shared" si="3"/>
        <v>0</v>
      </c>
      <c r="X9" s="4"/>
      <c r="Y9" s="4"/>
      <c r="Z9" s="4"/>
      <c r="AA9" s="258"/>
      <c r="AB9" s="3" t="s">
        <v>668</v>
      </c>
      <c r="AC9" s="3">
        <v>810000</v>
      </c>
      <c r="AD9" s="510"/>
      <c r="AE9" s="510"/>
      <c r="AF9" s="510"/>
      <c r="AG9" s="510"/>
      <c r="AH9" s="510"/>
      <c r="AI9" s="510"/>
      <c r="AJ9" s="510"/>
      <c r="AK9" s="510"/>
      <c r="AL9" s="510"/>
      <c r="AM9" s="510"/>
      <c r="AN9" s="16"/>
      <c r="AO9" s="16"/>
      <c r="AP9" s="16"/>
      <c r="AQ9" s="16"/>
      <c r="AR9" s="16"/>
      <c r="AS9" s="16"/>
      <c r="AT9" s="16"/>
      <c r="AU9" s="16"/>
      <c r="AV9" s="16"/>
    </row>
    <row r="10" spans="1:57" s="5" customFormat="1" ht="30" customHeight="1">
      <c r="A10" s="3">
        <f t="shared" si="10"/>
        <v>6</v>
      </c>
      <c r="B10" s="19">
        <v>20043</v>
      </c>
      <c r="C10" s="3" t="s">
        <v>448</v>
      </c>
      <c r="D10" s="4">
        <v>650000</v>
      </c>
      <c r="E10" s="4">
        <v>800000</v>
      </c>
      <c r="F10" s="4">
        <f t="shared" si="0"/>
        <v>-150000</v>
      </c>
      <c r="G10" s="4">
        <v>650000</v>
      </c>
      <c r="H10" s="4">
        <v>535685</v>
      </c>
      <c r="I10" s="4"/>
      <c r="J10" s="4">
        <v>99678</v>
      </c>
      <c r="K10" s="4">
        <f t="shared" si="4"/>
        <v>99678</v>
      </c>
      <c r="L10" s="4">
        <f t="shared" si="5"/>
        <v>635363</v>
      </c>
      <c r="M10" s="4">
        <f t="shared" si="6"/>
        <v>14637</v>
      </c>
      <c r="N10" s="4"/>
      <c r="O10" s="4">
        <f t="shared" si="7"/>
        <v>0</v>
      </c>
      <c r="P10" s="4">
        <f t="shared" si="8"/>
        <v>14637</v>
      </c>
      <c r="Q10" s="311"/>
      <c r="R10" s="112"/>
      <c r="S10" s="4">
        <f t="shared" si="9"/>
        <v>0</v>
      </c>
      <c r="T10" s="4">
        <f t="shared" si="1"/>
        <v>0</v>
      </c>
      <c r="U10" s="4">
        <f t="shared" si="2"/>
        <v>0</v>
      </c>
      <c r="V10" s="4"/>
      <c r="W10" s="4">
        <f t="shared" si="3"/>
        <v>0</v>
      </c>
      <c r="X10" s="4"/>
      <c r="Y10" s="4"/>
      <c r="Z10" s="4"/>
      <c r="AA10" s="258"/>
      <c r="AB10" s="3" t="s">
        <v>741</v>
      </c>
      <c r="AC10" s="3">
        <v>810000</v>
      </c>
      <c r="AD10" s="510"/>
      <c r="AE10" s="510"/>
      <c r="AF10" s="510"/>
      <c r="AG10" s="510"/>
      <c r="AH10" s="510"/>
      <c r="AI10" s="510"/>
      <c r="AJ10" s="510"/>
      <c r="AK10" s="510"/>
      <c r="AL10" s="510"/>
      <c r="AM10" s="510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57" s="5" customFormat="1" ht="45">
      <c r="A11" s="3">
        <f t="shared" si="10"/>
        <v>7</v>
      </c>
      <c r="B11" s="19">
        <v>20044</v>
      </c>
      <c r="C11" s="3" t="s">
        <v>92</v>
      </c>
      <c r="D11" s="4">
        <v>4043000</v>
      </c>
      <c r="E11" s="4">
        <v>2848000</v>
      </c>
      <c r="F11" s="4">
        <f t="shared" si="0"/>
        <v>1195000</v>
      </c>
      <c r="G11" s="4">
        <v>2098000</v>
      </c>
      <c r="H11" s="4">
        <v>1390718</v>
      </c>
      <c r="I11" s="4"/>
      <c r="J11" s="4">
        <v>683502</v>
      </c>
      <c r="K11" s="4">
        <f t="shared" si="4"/>
        <v>683502</v>
      </c>
      <c r="L11" s="4">
        <f t="shared" si="5"/>
        <v>2074220</v>
      </c>
      <c r="M11" s="4">
        <f t="shared" si="6"/>
        <v>23780</v>
      </c>
      <c r="N11" s="4">
        <f>1195000-595000-100000</f>
        <v>500000</v>
      </c>
      <c r="O11" s="4">
        <f t="shared" si="7"/>
        <v>1445000</v>
      </c>
      <c r="P11" s="4">
        <f t="shared" si="8"/>
        <v>23780</v>
      </c>
      <c r="Q11" s="4"/>
      <c r="R11" s="4"/>
      <c r="S11" s="4">
        <f t="shared" si="9"/>
        <v>0</v>
      </c>
      <c r="T11" s="4">
        <f t="shared" si="1"/>
        <v>0</v>
      </c>
      <c r="U11" s="4">
        <f t="shared" si="2"/>
        <v>500000</v>
      </c>
      <c r="V11" s="4"/>
      <c r="W11" s="4">
        <f t="shared" si="3"/>
        <v>500000</v>
      </c>
      <c r="X11" s="4"/>
      <c r="Y11" s="4"/>
      <c r="Z11" s="4"/>
      <c r="AA11" s="258"/>
      <c r="AB11" s="3" t="s">
        <v>1275</v>
      </c>
      <c r="AC11" s="3">
        <v>810000</v>
      </c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57" s="5" customFormat="1" ht="30" customHeight="1">
      <c r="A12" s="3">
        <f t="shared" si="10"/>
        <v>8</v>
      </c>
      <c r="B12" s="19">
        <v>20167</v>
      </c>
      <c r="C12" s="127" t="s">
        <v>848</v>
      </c>
      <c r="D12" s="4">
        <v>712000</v>
      </c>
      <c r="E12" s="112"/>
      <c r="F12" s="112">
        <f t="shared" ref="F12:F14" si="11">D12-E12</f>
        <v>712000</v>
      </c>
      <c r="G12" s="112">
        <v>0</v>
      </c>
      <c r="H12" s="112"/>
      <c r="I12" s="112"/>
      <c r="J12" s="112"/>
      <c r="K12" s="112">
        <f t="shared" ref="K12:K14" si="12">I12+J12</f>
        <v>0</v>
      </c>
      <c r="L12" s="112">
        <f t="shared" ref="L12:L14" si="13">H12+K12</f>
        <v>0</v>
      </c>
      <c r="M12" s="112">
        <f t="shared" ref="M12:M14" si="14">P12+S12</f>
        <v>0</v>
      </c>
      <c r="N12" s="4">
        <v>712000</v>
      </c>
      <c r="O12" s="112">
        <f t="shared" ref="O12:O14" si="15">D12-L12-M12-N12</f>
        <v>0</v>
      </c>
      <c r="P12" s="112">
        <f t="shared" ref="P12:P14" si="16">G12-L12</f>
        <v>0</v>
      </c>
      <c r="Q12" s="112"/>
      <c r="R12" s="112"/>
      <c r="S12" s="112">
        <f t="shared" ref="S12:S14" si="17">SUM(Q12:R12)</f>
        <v>0</v>
      </c>
      <c r="T12" s="112">
        <f t="shared" ref="T12:T14" si="18">P12-M12+S12</f>
        <v>0</v>
      </c>
      <c r="U12" s="112">
        <f t="shared" ref="U12:U14" si="19">N12-T12</f>
        <v>712000</v>
      </c>
      <c r="V12" s="112">
        <f t="shared" ref="V12:V14" si="20">U12-W12-Z12-AA12</f>
        <v>0</v>
      </c>
      <c r="W12" s="112">
        <f t="shared" ref="W12:W14" si="21">U12-X12-Y12-Z12-AA12</f>
        <v>178000</v>
      </c>
      <c r="X12" s="112"/>
      <c r="Y12" s="112"/>
      <c r="Z12" s="112"/>
      <c r="AA12" s="112">
        <v>534000</v>
      </c>
      <c r="AB12" s="3" t="s">
        <v>1320</v>
      </c>
      <c r="AC12" s="3">
        <v>810000</v>
      </c>
      <c r="AD12" s="510"/>
      <c r="AE12" s="510"/>
      <c r="AF12" s="510"/>
      <c r="AG12" s="510"/>
      <c r="AH12" s="510"/>
      <c r="AI12" s="510"/>
      <c r="AJ12" s="510"/>
      <c r="AK12" s="510"/>
      <c r="AL12" s="510"/>
      <c r="AM12" s="510"/>
      <c r="AN12" s="16"/>
      <c r="AO12" s="123"/>
      <c r="AP12" s="123"/>
      <c r="AQ12" s="123"/>
      <c r="AR12" s="123"/>
      <c r="AS12" s="123"/>
      <c r="AT12" s="123"/>
      <c r="AU12" s="123"/>
      <c r="AV12" s="123"/>
      <c r="AW12" s="256"/>
      <c r="AX12" s="256"/>
      <c r="AY12" s="256"/>
      <c r="AZ12" s="256"/>
      <c r="BA12" s="256"/>
      <c r="BB12" s="256"/>
      <c r="BC12" s="256"/>
      <c r="BD12" s="256"/>
      <c r="BE12" s="256"/>
    </row>
    <row r="13" spans="1:57" s="5" customFormat="1" ht="30" customHeight="1">
      <c r="A13" s="3">
        <f t="shared" si="10"/>
        <v>9</v>
      </c>
      <c r="B13" s="19">
        <v>20168</v>
      </c>
      <c r="C13" s="127" t="s">
        <v>849</v>
      </c>
      <c r="D13" s="4">
        <f>237310+2690</f>
        <v>240000</v>
      </c>
      <c r="E13" s="112"/>
      <c r="F13" s="112">
        <f t="shared" si="11"/>
        <v>240000</v>
      </c>
      <c r="G13" s="112">
        <v>0</v>
      </c>
      <c r="H13" s="112"/>
      <c r="I13" s="112"/>
      <c r="J13" s="112"/>
      <c r="K13" s="112">
        <f t="shared" si="12"/>
        <v>0</v>
      </c>
      <c r="L13" s="112">
        <f t="shared" si="13"/>
        <v>0</v>
      </c>
      <c r="M13" s="112">
        <f t="shared" si="14"/>
        <v>0</v>
      </c>
      <c r="N13" s="4">
        <v>240000</v>
      </c>
      <c r="O13" s="112">
        <f t="shared" si="15"/>
        <v>0</v>
      </c>
      <c r="P13" s="112">
        <f t="shared" si="16"/>
        <v>0</v>
      </c>
      <c r="Q13" s="112"/>
      <c r="R13" s="112"/>
      <c r="S13" s="112">
        <f t="shared" si="17"/>
        <v>0</v>
      </c>
      <c r="T13" s="112">
        <f t="shared" si="18"/>
        <v>0</v>
      </c>
      <c r="U13" s="112">
        <f t="shared" si="19"/>
        <v>240000</v>
      </c>
      <c r="V13" s="112">
        <f t="shared" si="20"/>
        <v>0</v>
      </c>
      <c r="W13" s="112">
        <f t="shared" si="21"/>
        <v>0</v>
      </c>
      <c r="X13" s="112"/>
      <c r="Y13" s="112"/>
      <c r="Z13" s="112"/>
      <c r="AA13" s="112">
        <v>240000</v>
      </c>
      <c r="AB13" s="3" t="s">
        <v>1321</v>
      </c>
      <c r="AC13" s="3">
        <v>810000</v>
      </c>
      <c r="AD13" s="510"/>
      <c r="AE13" s="510"/>
      <c r="AF13" s="510"/>
      <c r="AG13" s="510"/>
      <c r="AH13" s="510"/>
      <c r="AI13" s="510"/>
      <c r="AJ13" s="510"/>
      <c r="AK13" s="510"/>
      <c r="AL13" s="510"/>
      <c r="AM13" s="510"/>
      <c r="AN13" s="16"/>
      <c r="AO13" s="123"/>
      <c r="AP13" s="123"/>
      <c r="AQ13" s="123"/>
      <c r="AR13" s="123"/>
      <c r="AS13" s="123"/>
      <c r="AT13" s="123"/>
      <c r="AU13" s="123"/>
      <c r="AV13" s="123"/>
      <c r="AW13" s="256"/>
      <c r="AX13" s="256"/>
      <c r="AY13" s="256"/>
      <c r="AZ13" s="256"/>
      <c r="BA13" s="256"/>
      <c r="BB13" s="256"/>
      <c r="BC13" s="256"/>
      <c r="BD13" s="256"/>
      <c r="BE13" s="256"/>
    </row>
    <row r="14" spans="1:57" s="5" customFormat="1" ht="30" customHeight="1">
      <c r="A14" s="3">
        <f t="shared" si="10"/>
        <v>10</v>
      </c>
      <c r="B14" s="19">
        <v>20169</v>
      </c>
      <c r="C14" s="127" t="s">
        <v>850</v>
      </c>
      <c r="D14" s="4">
        <v>400000</v>
      </c>
      <c r="E14" s="112"/>
      <c r="F14" s="112">
        <f t="shared" si="11"/>
        <v>400000</v>
      </c>
      <c r="G14" s="112">
        <v>0</v>
      </c>
      <c r="H14" s="112"/>
      <c r="I14" s="112"/>
      <c r="J14" s="112"/>
      <c r="K14" s="112">
        <f t="shared" si="12"/>
        <v>0</v>
      </c>
      <c r="L14" s="112">
        <f t="shared" si="13"/>
        <v>0</v>
      </c>
      <c r="M14" s="112">
        <f t="shared" si="14"/>
        <v>0</v>
      </c>
      <c r="N14" s="4">
        <v>400000</v>
      </c>
      <c r="O14" s="112">
        <f t="shared" si="15"/>
        <v>0</v>
      </c>
      <c r="P14" s="112">
        <f t="shared" si="16"/>
        <v>0</v>
      </c>
      <c r="Q14" s="112"/>
      <c r="R14" s="112"/>
      <c r="S14" s="112">
        <f t="shared" si="17"/>
        <v>0</v>
      </c>
      <c r="T14" s="112">
        <f t="shared" si="18"/>
        <v>0</v>
      </c>
      <c r="U14" s="112">
        <f t="shared" si="19"/>
        <v>400000</v>
      </c>
      <c r="V14" s="112">
        <f t="shared" si="20"/>
        <v>0</v>
      </c>
      <c r="W14" s="112">
        <f t="shared" si="21"/>
        <v>0</v>
      </c>
      <c r="X14" s="112"/>
      <c r="Y14" s="112"/>
      <c r="Z14" s="112"/>
      <c r="AA14" s="112">
        <v>400000</v>
      </c>
      <c r="AB14" s="3" t="s">
        <v>1322</v>
      </c>
      <c r="AC14" s="3">
        <v>810000</v>
      </c>
      <c r="AD14" s="510"/>
      <c r="AE14" s="510"/>
      <c r="AF14" s="510"/>
      <c r="AG14" s="510"/>
      <c r="AH14" s="510"/>
      <c r="AI14" s="510"/>
      <c r="AJ14" s="510"/>
      <c r="AK14" s="510"/>
      <c r="AL14" s="510"/>
      <c r="AM14" s="510"/>
      <c r="AN14" s="16"/>
      <c r="AO14" s="123"/>
      <c r="AP14" s="123"/>
      <c r="AQ14" s="123"/>
      <c r="AR14" s="123"/>
      <c r="AS14" s="123"/>
      <c r="AT14" s="123"/>
      <c r="AU14" s="123"/>
      <c r="AV14" s="123"/>
      <c r="AW14" s="256"/>
      <c r="AX14" s="256"/>
      <c r="AY14" s="256"/>
      <c r="AZ14" s="256"/>
      <c r="BA14" s="256"/>
      <c r="BB14" s="256"/>
      <c r="BC14" s="256"/>
      <c r="BD14" s="256"/>
      <c r="BE14" s="256"/>
    </row>
    <row r="15" spans="1:57" s="40" customFormat="1" ht="30" customHeight="1">
      <c r="A15" s="236">
        <f>COUNT(A5:A14)</f>
        <v>10</v>
      </c>
      <c r="B15" s="20"/>
      <c r="C15" s="208" t="s">
        <v>141</v>
      </c>
      <c r="D15" s="236">
        <f>SUM(D5:D14)</f>
        <v>14277000</v>
      </c>
      <c r="E15" s="236">
        <f t="shared" ref="E15:AA15" si="22">SUM(E5:E14)</f>
        <v>10775000</v>
      </c>
      <c r="F15" s="236">
        <f t="shared" si="22"/>
        <v>3502000</v>
      </c>
      <c r="G15" s="236">
        <f t="shared" si="22"/>
        <v>9375000</v>
      </c>
      <c r="H15" s="236">
        <f t="shared" si="22"/>
        <v>6647705</v>
      </c>
      <c r="I15" s="236">
        <f t="shared" si="22"/>
        <v>0</v>
      </c>
      <c r="J15" s="236">
        <f t="shared" si="22"/>
        <v>1970343</v>
      </c>
      <c r="K15" s="236">
        <f t="shared" si="22"/>
        <v>1970343</v>
      </c>
      <c r="L15" s="236">
        <f t="shared" si="22"/>
        <v>8618048</v>
      </c>
      <c r="M15" s="236">
        <f t="shared" si="22"/>
        <v>756952</v>
      </c>
      <c r="N15" s="236">
        <f t="shared" si="22"/>
        <v>2352000</v>
      </c>
      <c r="O15" s="236">
        <f t="shared" si="22"/>
        <v>2550000</v>
      </c>
      <c r="P15" s="236">
        <f t="shared" si="22"/>
        <v>756952</v>
      </c>
      <c r="Q15" s="236">
        <f t="shared" si="22"/>
        <v>0</v>
      </c>
      <c r="R15" s="236">
        <f t="shared" si="22"/>
        <v>0</v>
      </c>
      <c r="S15" s="236">
        <f t="shared" si="22"/>
        <v>0</v>
      </c>
      <c r="T15" s="236">
        <f t="shared" si="22"/>
        <v>0</v>
      </c>
      <c r="U15" s="236">
        <f t="shared" si="22"/>
        <v>2352000</v>
      </c>
      <c r="V15" s="236">
        <f t="shared" si="22"/>
        <v>0</v>
      </c>
      <c r="W15" s="236">
        <f t="shared" si="22"/>
        <v>1178000</v>
      </c>
      <c r="X15" s="236">
        <f t="shared" si="22"/>
        <v>0</v>
      </c>
      <c r="Y15" s="236">
        <f t="shared" si="22"/>
        <v>0</v>
      </c>
      <c r="Z15" s="236">
        <f t="shared" si="22"/>
        <v>0</v>
      </c>
      <c r="AA15" s="236">
        <f t="shared" si="22"/>
        <v>1174000</v>
      </c>
      <c r="AB15" s="20"/>
      <c r="AC15" s="2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16"/>
      <c r="AO15" s="232"/>
      <c r="AP15" s="232"/>
      <c r="AQ15" s="232"/>
      <c r="AR15" s="232"/>
      <c r="AS15" s="232"/>
      <c r="AT15" s="232"/>
      <c r="AU15" s="232"/>
      <c r="AV15" s="232"/>
      <c r="AW15" s="312"/>
      <c r="AX15" s="312"/>
      <c r="AY15" s="312"/>
      <c r="AZ15" s="312"/>
      <c r="BA15" s="312"/>
      <c r="BB15" s="312"/>
      <c r="BC15" s="312"/>
      <c r="BD15" s="312"/>
      <c r="BE15" s="312"/>
    </row>
    <row r="16" spans="1:57" s="618" customFormat="1" ht="20.25" hidden="1" customHeight="1">
      <c r="C16" s="619"/>
      <c r="F16" s="618">
        <f>D15-E15</f>
        <v>3502000</v>
      </c>
      <c r="L16" s="618">
        <f>H15+K15</f>
        <v>8618048</v>
      </c>
      <c r="P16" s="618">
        <f>G15-L16</f>
        <v>756952</v>
      </c>
      <c r="Q16" s="618">
        <f>'ריכוז אגפים 2024'!AV10</f>
        <v>-782837</v>
      </c>
      <c r="R16" s="618">
        <f>'עדכוני תקציב 2024'!AE120</f>
        <v>0</v>
      </c>
      <c r="T16" s="618">
        <f>P16+S15-M15</f>
        <v>0</v>
      </c>
      <c r="U16" s="618">
        <f>N15-T16</f>
        <v>2352000</v>
      </c>
      <c r="AB16" s="619"/>
      <c r="AD16" s="510"/>
      <c r="AE16" s="510"/>
      <c r="AF16" s="510"/>
      <c r="AN16" s="620"/>
      <c r="AO16" s="620"/>
      <c r="AP16" s="620"/>
      <c r="AQ16" s="620"/>
      <c r="AR16" s="620"/>
      <c r="AS16" s="620"/>
      <c r="AT16" s="620"/>
      <c r="AU16" s="620"/>
      <c r="AV16" s="620"/>
    </row>
    <row r="17" spans="10:28" ht="18.75" customHeight="1">
      <c r="Q17" s="11">
        <f>Q15-Q16</f>
        <v>782837</v>
      </c>
      <c r="R17" s="11">
        <f>R15-R16</f>
        <v>0</v>
      </c>
    </row>
    <row r="18" spans="10:28">
      <c r="P18" s="11" t="s">
        <v>1301</v>
      </c>
    </row>
    <row r="19" spans="10:28" ht="45.75" customHeight="1"/>
    <row r="21" spans="10:28" ht="47.25" customHeight="1">
      <c r="J21" s="364"/>
    </row>
    <row r="23" spans="10:28" ht="36.75" customHeight="1"/>
    <row r="26" spans="10:28">
      <c r="AB26" s="400"/>
    </row>
    <row r="27" spans="10:28" ht="45" customHeight="1"/>
    <row r="29" spans="10:28" ht="58.5" customHeight="1"/>
    <row r="30" spans="10:28" ht="50.25" customHeight="1"/>
    <row r="37" ht="51.75" customHeight="1"/>
    <row r="38" ht="35.25" customHeight="1"/>
    <row r="39" ht="31.5" customHeight="1"/>
    <row r="44" ht="37.5" customHeight="1"/>
    <row r="55" ht="48.75" customHeight="1"/>
    <row r="56" ht="31.5" customHeight="1"/>
    <row r="58" ht="45.75" customHeight="1"/>
    <row r="60" ht="33.75" customHeight="1"/>
    <row r="63" ht="27.75" customHeight="1"/>
  </sheetData>
  <sheetProtection formatCells="0" formatColumns="0" formatRows="0" insertColumns="0" insertRows="0" insertHyperlinks="0" deleteColumns="0" deleteRows="0" sort="0" autoFilter="0" pivotTables="0"/>
  <conditionalFormatting sqref="A1:AC1 Z2:AC2 A2:X2 AG1:AM1048576">
    <cfRule type="cellIs" dxfId="377" priority="25" operator="equal">
      <formula>0</formula>
    </cfRule>
  </conditionalFormatting>
  <conditionalFormatting sqref="AW1:XFD2">
    <cfRule type="cellIs" dxfId="376" priority="26" operator="equal">
      <formula>0</formula>
    </cfRule>
  </conditionalFormatting>
  <conditionalFormatting sqref="AB4">
    <cfRule type="cellIs" dxfId="375" priority="24" operator="equal">
      <formula>0</formula>
    </cfRule>
  </conditionalFormatting>
  <conditionalFormatting sqref="AG1:AG2">
    <cfRule type="cellIs" dxfId="374" priority="23" operator="equal">
      <formula>0</formula>
    </cfRule>
  </conditionalFormatting>
  <conditionalFormatting sqref="AG4">
    <cfRule type="cellIs" dxfId="373" priority="22" operator="equal">
      <formula>0</formula>
    </cfRule>
  </conditionalFormatting>
  <conditionalFormatting sqref="AK1:AK2">
    <cfRule type="cellIs" dxfId="372" priority="17" operator="equal">
      <formula>0</formula>
    </cfRule>
  </conditionalFormatting>
  <conditionalFormatting sqref="AJ1:AJ2">
    <cfRule type="cellIs" dxfId="371" priority="18" operator="equal">
      <formula>0</formula>
    </cfRule>
  </conditionalFormatting>
  <conditionalFormatting sqref="AL1:AL2">
    <cfRule type="cellIs" dxfId="370" priority="16" operator="equal">
      <formula>0</formula>
    </cfRule>
  </conditionalFormatting>
  <conditionalFormatting sqref="AM1:AM2">
    <cfRule type="cellIs" dxfId="369" priority="13" operator="equal">
      <formula>0</formula>
    </cfRule>
  </conditionalFormatting>
  <conditionalFormatting sqref="AI1:AI2">
    <cfRule type="cellIs" dxfId="368" priority="12" operator="equal">
      <formula>0</formula>
    </cfRule>
  </conditionalFormatting>
  <conditionalFormatting sqref="AG4:AN4">
    <cfRule type="cellIs" dxfId="367" priority="8" operator="equal">
      <formula>0</formula>
    </cfRule>
  </conditionalFormatting>
  <conditionalFormatting sqref="AG1:AN2">
    <cfRule type="cellIs" dxfId="366" priority="9" operator="equal">
      <formula>0</formula>
    </cfRule>
  </conditionalFormatting>
  <conditionalFormatting sqref="AD1:AF1048576">
    <cfRule type="cellIs" dxfId="365" priority="4" operator="equal">
      <formula>0</formula>
    </cfRule>
  </conditionalFormatting>
  <conditionalFormatting sqref="AD1:AF1048576">
    <cfRule type="cellIs" dxfId="364" priority="6" operator="equal">
      <formula>0</formula>
    </cfRule>
  </conditionalFormatting>
  <conditionalFormatting sqref="AD1:AF1048576">
    <cfRule type="cellIs" dxfId="363" priority="5" operator="equal">
      <formula>0</formula>
    </cfRule>
  </conditionalFormatting>
  <conditionalFormatting sqref="W3:AA3">
    <cfRule type="cellIs" dxfId="362" priority="1" operator="equal">
      <formula>0</formula>
    </cfRule>
  </conditionalFormatting>
  <conditionalFormatting sqref="W3:AA3">
    <cfRule type="cellIs" dxfId="361" priority="3" operator="equal">
      <formula>0</formula>
    </cfRule>
  </conditionalFormatting>
  <conditionalFormatting sqref="W3:AA3">
    <cfRule type="cellIs" dxfId="360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84A1-068F-4EA2-BB05-0ABC4D127FE7}">
  <dimension ref="A1:BE63"/>
  <sheetViews>
    <sheetView showZeros="0" rightToLeft="1" zoomScaleNormal="100" workbookViewId="0">
      <pane xSplit="3" ySplit="4" topLeftCell="D11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8" defaultRowHeight="15"/>
  <cols>
    <col min="1" max="1" width="3.7109375" style="10" customWidth="1"/>
    <col min="2" max="2" width="5.7109375" style="10" customWidth="1"/>
    <col min="3" max="3" width="21.85546875" style="14" customWidth="1"/>
    <col min="4" max="4" width="10.42578125" style="11" customWidth="1"/>
    <col min="5" max="5" width="10.5703125" style="11" hidden="1" customWidth="1"/>
    <col min="6" max="6" width="10" style="11" hidden="1" customWidth="1"/>
    <col min="7" max="7" width="10.42578125" style="11" hidden="1" customWidth="1"/>
    <col min="8" max="8" width="11" style="11" hidden="1" customWidth="1"/>
    <col min="9" max="9" width="9.140625" style="11" hidden="1" customWidth="1"/>
    <col min="10" max="10" width="9.85546875" style="11" hidden="1" customWidth="1"/>
    <col min="11" max="11" width="9.140625" style="11" hidden="1" customWidth="1"/>
    <col min="12" max="12" width="10.28515625" style="11" customWidth="1"/>
    <col min="13" max="13" width="10" style="11" customWidth="1"/>
    <col min="14" max="14" width="9.140625" style="11" bestFit="1" customWidth="1"/>
    <col min="15" max="15" width="10.140625" style="11" customWidth="1"/>
    <col min="16" max="16" width="11.140625" style="11" hidden="1" customWidth="1"/>
    <col min="17" max="17" width="9.7109375" style="11" hidden="1" customWidth="1"/>
    <col min="18" max="19" width="13.5703125" style="11" hidden="1" customWidth="1"/>
    <col min="20" max="20" width="8.7109375" style="11" hidden="1" customWidth="1"/>
    <col min="21" max="21" width="10" style="10" bestFit="1" customWidth="1"/>
    <col min="22" max="23" width="9.140625" style="10" customWidth="1"/>
    <col min="24" max="26" width="13.5703125" style="10" hidden="1" customWidth="1"/>
    <col min="27" max="27" width="9.140625" style="10" customWidth="1"/>
    <col min="28" max="28" width="36" style="14" customWidth="1"/>
    <col min="29" max="29" width="7.140625" style="10" customWidth="1"/>
    <col min="30" max="31" width="14.5703125" style="510" customWidth="1"/>
    <col min="32" max="32" width="18.5703125" style="510" customWidth="1"/>
    <col min="33" max="34" width="36" style="510" customWidth="1"/>
    <col min="35" max="35" width="10.28515625" style="510" customWidth="1"/>
    <col min="36" max="36" width="14.5703125" style="510" customWidth="1"/>
    <col min="37" max="37" width="27.85546875" style="510" customWidth="1"/>
    <col min="38" max="39" width="14.5703125" style="510" customWidth="1"/>
    <col min="40" max="40" width="18.5703125" style="16" customWidth="1"/>
    <col min="41" max="48" width="10.7109375" style="16" customWidth="1"/>
    <col min="49" max="16384" width="8" style="10"/>
  </cols>
  <sheetData>
    <row r="1" spans="1:57" s="442" customFormat="1" ht="13.15" customHeight="1">
      <c r="A1" s="437"/>
      <c r="B1" s="437"/>
      <c r="C1" s="438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9"/>
      <c r="Y1" s="439"/>
      <c r="Z1" s="439"/>
      <c r="AA1" s="440"/>
      <c r="AB1" s="441"/>
      <c r="AC1" s="44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16"/>
      <c r="AO1" s="16"/>
      <c r="AP1" s="16"/>
      <c r="AQ1" s="16"/>
      <c r="AR1" s="16"/>
      <c r="AS1" s="16"/>
      <c r="AT1" s="16"/>
      <c r="AU1" s="16"/>
      <c r="AV1" s="16"/>
    </row>
    <row r="2" spans="1:57" s="442" customFormat="1" ht="18.75">
      <c r="A2" s="437" t="s">
        <v>489</v>
      </c>
      <c r="B2" s="437"/>
      <c r="C2" s="438"/>
      <c r="D2" s="437"/>
      <c r="E2" s="443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44"/>
      <c r="V2" s="437"/>
      <c r="W2" s="437"/>
      <c r="X2" s="444"/>
      <c r="Z2" s="444"/>
      <c r="AA2" s="444"/>
      <c r="AB2" s="444"/>
      <c r="AC2" s="444"/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16"/>
      <c r="AO2" s="16"/>
      <c r="AP2" s="16"/>
      <c r="AQ2" s="16"/>
      <c r="AR2" s="16"/>
      <c r="AS2" s="16"/>
      <c r="AT2" s="16"/>
      <c r="AU2" s="16"/>
      <c r="AV2" s="16"/>
    </row>
    <row r="3" spans="1:57" ht="20.45" customHeight="1">
      <c r="W3" s="799" t="s">
        <v>71</v>
      </c>
      <c r="X3" s="800"/>
      <c r="Y3" s="800"/>
      <c r="Z3" s="800"/>
      <c r="AA3" s="801"/>
      <c r="AB3" s="445"/>
    </row>
    <row r="4" spans="1:57" s="16" customFormat="1" ht="86.25" customHeight="1">
      <c r="A4" s="122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9</v>
      </c>
      <c r="J4" s="13" t="s">
        <v>101</v>
      </c>
      <c r="K4" s="13" t="s">
        <v>10</v>
      </c>
      <c r="L4" s="13" t="s">
        <v>11</v>
      </c>
      <c r="M4" s="327" t="s">
        <v>793</v>
      </c>
      <c r="N4" s="327" t="s">
        <v>794</v>
      </c>
      <c r="O4" s="2" t="s">
        <v>795</v>
      </c>
      <c r="P4" s="2" t="s">
        <v>12</v>
      </c>
      <c r="Q4" s="2" t="s">
        <v>796</v>
      </c>
      <c r="R4" s="328" t="s">
        <v>797</v>
      </c>
      <c r="S4" s="328" t="s">
        <v>798</v>
      </c>
      <c r="T4" s="2" t="s">
        <v>799</v>
      </c>
      <c r="U4" s="2" t="s">
        <v>800</v>
      </c>
      <c r="V4" s="13" t="s">
        <v>13</v>
      </c>
      <c r="W4" s="13" t="s">
        <v>14</v>
      </c>
      <c r="X4" s="13" t="s">
        <v>15</v>
      </c>
      <c r="Y4" s="13" t="s">
        <v>185</v>
      </c>
      <c r="Z4" s="13" t="s">
        <v>385</v>
      </c>
      <c r="AA4" s="13" t="s">
        <v>67</v>
      </c>
      <c r="AB4" s="446" t="s">
        <v>207</v>
      </c>
      <c r="AC4" s="13" t="s">
        <v>16</v>
      </c>
      <c r="AD4" s="510"/>
      <c r="AE4" s="510"/>
      <c r="AF4" s="510"/>
      <c r="AG4" s="510"/>
      <c r="AH4" s="510"/>
      <c r="AI4" s="510"/>
      <c r="AJ4" s="510"/>
      <c r="AK4" s="510"/>
      <c r="AL4" s="510"/>
      <c r="AM4" s="510"/>
    </row>
    <row r="5" spans="1:57" s="5" customFormat="1" ht="60">
      <c r="A5" s="3">
        <v>1</v>
      </c>
      <c r="B5" s="19">
        <v>1776</v>
      </c>
      <c r="C5" s="3" t="s">
        <v>44</v>
      </c>
      <c r="D5" s="4">
        <v>6102000</v>
      </c>
      <c r="E5" s="4">
        <v>4997000</v>
      </c>
      <c r="F5" s="4">
        <f t="shared" ref="F5:F14" si="0">D5-E5</f>
        <v>1105000</v>
      </c>
      <c r="G5" s="4">
        <v>4597000</v>
      </c>
      <c r="H5" s="4">
        <v>3260998</v>
      </c>
      <c r="I5" s="4"/>
      <c r="J5" s="4">
        <v>834837</v>
      </c>
      <c r="K5" s="4">
        <f>I5+J5</f>
        <v>834837</v>
      </c>
      <c r="L5" s="4">
        <f>H5+K5</f>
        <v>4095835</v>
      </c>
      <c r="M5" s="4">
        <f>P5+S5</f>
        <v>501165</v>
      </c>
      <c r="N5" s="4">
        <f>1105000-505000-100000</f>
        <v>500000</v>
      </c>
      <c r="O5" s="4">
        <f>D5-M5-N5-L5</f>
        <v>1005000</v>
      </c>
      <c r="P5" s="4">
        <f>G5-L5</f>
        <v>501165</v>
      </c>
      <c r="Q5" s="311"/>
      <c r="R5" s="4"/>
      <c r="S5" s="4">
        <f>SUM(Q5:R5)</f>
        <v>0</v>
      </c>
      <c r="T5" s="4">
        <f t="shared" ref="T5:T14" si="1">P5-M5+S5</f>
        <v>0</v>
      </c>
      <c r="U5" s="4">
        <f t="shared" ref="U5:U14" si="2">N5-T5</f>
        <v>500000</v>
      </c>
      <c r="V5" s="4"/>
      <c r="W5" s="4">
        <f t="shared" ref="W5:W11" si="3">U5-V5-Z5-AA5</f>
        <v>500000</v>
      </c>
      <c r="X5" s="4"/>
      <c r="Y5" s="4"/>
      <c r="Z5" s="4"/>
      <c r="AA5" s="258"/>
      <c r="AB5" s="19" t="s">
        <v>1274</v>
      </c>
      <c r="AC5" s="3">
        <v>810000</v>
      </c>
      <c r="AD5" s="510"/>
      <c r="AE5" s="510"/>
      <c r="AF5" s="510"/>
      <c r="AG5" s="510"/>
      <c r="AH5" s="510"/>
      <c r="AI5" s="510"/>
      <c r="AJ5" s="510"/>
      <c r="AK5" s="510"/>
      <c r="AL5" s="510"/>
      <c r="AM5" s="510"/>
      <c r="AN5" s="16"/>
      <c r="AO5" s="16"/>
      <c r="AP5" s="16"/>
      <c r="AQ5" s="16"/>
      <c r="AR5" s="16"/>
      <c r="AS5" s="16"/>
      <c r="AT5" s="16"/>
      <c r="AU5" s="16"/>
      <c r="AV5" s="16"/>
    </row>
    <row r="6" spans="1:57" s="5" customFormat="1" ht="30">
      <c r="A6" s="3">
        <f>A5+1</f>
        <v>2</v>
      </c>
      <c r="B6" s="19">
        <v>2179</v>
      </c>
      <c r="C6" s="3" t="s">
        <v>361</v>
      </c>
      <c r="D6" s="4">
        <v>290000</v>
      </c>
      <c r="E6" s="4">
        <v>290000</v>
      </c>
      <c r="F6" s="4">
        <f t="shared" si="0"/>
        <v>0</v>
      </c>
      <c r="G6" s="4">
        <v>290000</v>
      </c>
      <c r="H6" s="4">
        <v>286987</v>
      </c>
      <c r="I6" s="4"/>
      <c r="J6" s="4">
        <v>0</v>
      </c>
      <c r="K6" s="4">
        <f t="shared" ref="K6:K14" si="4">I6+J6</f>
        <v>0</v>
      </c>
      <c r="L6" s="4">
        <f t="shared" ref="L6:L14" si="5">H6+K6</f>
        <v>286987</v>
      </c>
      <c r="M6" s="4">
        <f t="shared" ref="M6:M14" si="6">P6+S6</f>
        <v>3013</v>
      </c>
      <c r="N6" s="4"/>
      <c r="O6" s="4">
        <f t="shared" ref="O6:O11" si="7">D6-M6-N6-L6</f>
        <v>0</v>
      </c>
      <c r="P6" s="4">
        <f t="shared" ref="P6:P14" si="8">G6-L6</f>
        <v>3013</v>
      </c>
      <c r="Q6" s="311"/>
      <c r="R6" s="4"/>
      <c r="S6" s="4">
        <f t="shared" ref="S6:S14" si="9">SUM(Q6:R6)</f>
        <v>0</v>
      </c>
      <c r="T6" s="4">
        <f t="shared" si="1"/>
        <v>0</v>
      </c>
      <c r="U6" s="4">
        <f t="shared" si="2"/>
        <v>0</v>
      </c>
      <c r="V6" s="4"/>
      <c r="W6" s="4">
        <f t="shared" si="3"/>
        <v>0</v>
      </c>
      <c r="X6" s="4"/>
      <c r="Y6" s="4"/>
      <c r="Z6" s="4"/>
      <c r="AA6" s="258"/>
      <c r="AB6" s="3" t="s">
        <v>666</v>
      </c>
      <c r="AC6" s="3">
        <v>810000</v>
      </c>
      <c r="AD6" s="510"/>
      <c r="AE6" s="510"/>
      <c r="AF6" s="510"/>
      <c r="AG6" s="510"/>
      <c r="AH6" s="510"/>
      <c r="AI6" s="510"/>
      <c r="AJ6" s="510"/>
      <c r="AK6" s="510"/>
      <c r="AL6" s="510"/>
      <c r="AM6" s="510"/>
      <c r="AN6" s="16"/>
      <c r="AO6" s="16"/>
      <c r="AP6" s="16"/>
      <c r="AQ6" s="16"/>
      <c r="AR6" s="16"/>
      <c r="AS6" s="16"/>
      <c r="AT6" s="16"/>
      <c r="AU6" s="16"/>
      <c r="AV6" s="16"/>
    </row>
    <row r="7" spans="1:57" s="5" customFormat="1" ht="30">
      <c r="A7" s="3">
        <f t="shared" ref="A7:A14" si="10">A6+1</f>
        <v>3</v>
      </c>
      <c r="B7" s="19">
        <v>2219</v>
      </c>
      <c r="C7" s="3" t="s">
        <v>363</v>
      </c>
      <c r="D7" s="4">
        <v>440000</v>
      </c>
      <c r="E7" s="4">
        <v>440000</v>
      </c>
      <c r="F7" s="4">
        <f t="shared" si="0"/>
        <v>0</v>
      </c>
      <c r="G7" s="4">
        <v>440000</v>
      </c>
      <c r="H7" s="4">
        <v>302182</v>
      </c>
      <c r="I7" s="4"/>
      <c r="J7" s="4">
        <v>62832</v>
      </c>
      <c r="K7" s="4">
        <f t="shared" si="4"/>
        <v>62832</v>
      </c>
      <c r="L7" s="4">
        <f t="shared" si="5"/>
        <v>365014</v>
      </c>
      <c r="M7" s="4">
        <f t="shared" si="6"/>
        <v>74986</v>
      </c>
      <c r="N7" s="4"/>
      <c r="O7" s="4">
        <f t="shared" si="7"/>
        <v>0</v>
      </c>
      <c r="P7" s="4">
        <f t="shared" si="8"/>
        <v>74986</v>
      </c>
      <c r="Q7" s="311"/>
      <c r="R7" s="4"/>
      <c r="S7" s="4">
        <f t="shared" si="9"/>
        <v>0</v>
      </c>
      <c r="T7" s="4">
        <f t="shared" si="1"/>
        <v>0</v>
      </c>
      <c r="U7" s="4">
        <f t="shared" si="2"/>
        <v>0</v>
      </c>
      <c r="V7" s="4"/>
      <c r="W7" s="4">
        <f t="shared" si="3"/>
        <v>0</v>
      </c>
      <c r="X7" s="4"/>
      <c r="Y7" s="4"/>
      <c r="Z7" s="4"/>
      <c r="AA7" s="258"/>
      <c r="AB7" s="3" t="s">
        <v>651</v>
      </c>
      <c r="AC7" s="3">
        <v>810000</v>
      </c>
      <c r="AD7" s="510"/>
      <c r="AE7" s="510"/>
      <c r="AF7" s="510"/>
      <c r="AG7" s="510"/>
      <c r="AH7" s="510"/>
      <c r="AI7" s="510"/>
      <c r="AJ7" s="510"/>
      <c r="AK7" s="510"/>
      <c r="AL7" s="510"/>
      <c r="AM7" s="510"/>
      <c r="AN7" s="16"/>
      <c r="AO7" s="16"/>
      <c r="AP7" s="16"/>
      <c r="AQ7" s="16"/>
      <c r="AR7" s="16"/>
      <c r="AS7" s="16"/>
      <c r="AT7" s="16"/>
      <c r="AU7" s="16"/>
      <c r="AV7" s="16"/>
    </row>
    <row r="8" spans="1:57" s="5" customFormat="1" ht="42" customHeight="1">
      <c r="A8" s="3">
        <f t="shared" si="10"/>
        <v>4</v>
      </c>
      <c r="B8" s="19">
        <v>2227</v>
      </c>
      <c r="C8" s="3" t="s">
        <v>406</v>
      </c>
      <c r="D8" s="4">
        <v>100000</v>
      </c>
      <c r="E8" s="4">
        <v>100000</v>
      </c>
      <c r="F8" s="4">
        <f t="shared" si="0"/>
        <v>0</v>
      </c>
      <c r="G8" s="4">
        <v>100000</v>
      </c>
      <c r="H8" s="4">
        <v>0</v>
      </c>
      <c r="I8" s="4"/>
      <c r="J8" s="4">
        <v>100000</v>
      </c>
      <c r="K8" s="4">
        <f t="shared" si="4"/>
        <v>100000</v>
      </c>
      <c r="L8" s="4">
        <f t="shared" si="5"/>
        <v>100000</v>
      </c>
      <c r="M8" s="4">
        <f t="shared" si="6"/>
        <v>0</v>
      </c>
      <c r="N8" s="4"/>
      <c r="O8" s="4">
        <f t="shared" si="7"/>
        <v>0</v>
      </c>
      <c r="P8" s="4">
        <f t="shared" si="8"/>
        <v>0</v>
      </c>
      <c r="Q8" s="311"/>
      <c r="R8" s="4"/>
      <c r="S8" s="4">
        <f t="shared" si="9"/>
        <v>0</v>
      </c>
      <c r="T8" s="4">
        <f t="shared" si="1"/>
        <v>0</v>
      </c>
      <c r="U8" s="4">
        <f t="shared" si="2"/>
        <v>0</v>
      </c>
      <c r="V8" s="4"/>
      <c r="W8" s="4">
        <f t="shared" si="3"/>
        <v>0</v>
      </c>
      <c r="X8" s="4"/>
      <c r="Y8" s="4"/>
      <c r="Z8" s="4"/>
      <c r="AA8" s="258"/>
      <c r="AB8" s="3" t="s">
        <v>667</v>
      </c>
      <c r="AC8" s="3">
        <v>810000</v>
      </c>
      <c r="AD8" s="510"/>
      <c r="AE8" s="510"/>
      <c r="AF8" s="510"/>
      <c r="AG8" s="510"/>
      <c r="AH8" s="510"/>
      <c r="AI8" s="510"/>
      <c r="AJ8" s="510"/>
      <c r="AK8" s="510"/>
      <c r="AL8" s="510"/>
      <c r="AM8" s="510"/>
      <c r="AN8" s="16"/>
      <c r="AO8" s="16"/>
      <c r="AP8" s="16"/>
      <c r="AQ8" s="16"/>
      <c r="AR8" s="16"/>
      <c r="AS8" s="16"/>
      <c r="AT8" s="16"/>
      <c r="AU8" s="16"/>
      <c r="AV8" s="16"/>
    </row>
    <row r="9" spans="1:57" s="5" customFormat="1" ht="40.15" customHeight="1">
      <c r="A9" s="3">
        <f t="shared" si="10"/>
        <v>5</v>
      </c>
      <c r="B9" s="19">
        <v>20042</v>
      </c>
      <c r="C9" s="3" t="s">
        <v>447</v>
      </c>
      <c r="D9" s="4">
        <v>1300000</v>
      </c>
      <c r="E9" s="4">
        <v>1300000</v>
      </c>
      <c r="F9" s="4">
        <f t="shared" si="0"/>
        <v>0</v>
      </c>
      <c r="G9" s="4">
        <v>1200000</v>
      </c>
      <c r="H9" s="4">
        <v>871135</v>
      </c>
      <c r="I9" s="4"/>
      <c r="J9" s="4">
        <v>189494</v>
      </c>
      <c r="K9" s="4">
        <f t="shared" si="4"/>
        <v>189494</v>
      </c>
      <c r="L9" s="4">
        <f t="shared" si="5"/>
        <v>1060629</v>
      </c>
      <c r="M9" s="4">
        <f t="shared" si="6"/>
        <v>139371</v>
      </c>
      <c r="N9" s="4"/>
      <c r="O9" s="4">
        <f t="shared" si="7"/>
        <v>100000</v>
      </c>
      <c r="P9" s="4">
        <f t="shared" si="8"/>
        <v>139371</v>
      </c>
      <c r="Q9" s="311"/>
      <c r="R9" s="4"/>
      <c r="S9" s="4">
        <f t="shared" si="9"/>
        <v>0</v>
      </c>
      <c r="T9" s="4">
        <f t="shared" si="1"/>
        <v>0</v>
      </c>
      <c r="U9" s="4">
        <f t="shared" si="2"/>
        <v>0</v>
      </c>
      <c r="V9" s="4"/>
      <c r="W9" s="4">
        <f t="shared" si="3"/>
        <v>0</v>
      </c>
      <c r="X9" s="4"/>
      <c r="Y9" s="4"/>
      <c r="Z9" s="4"/>
      <c r="AA9" s="258"/>
      <c r="AB9" s="3" t="s">
        <v>668</v>
      </c>
      <c r="AC9" s="3">
        <v>810000</v>
      </c>
      <c r="AD9" s="510"/>
      <c r="AE9" s="510"/>
      <c r="AF9" s="510"/>
      <c r="AG9" s="510"/>
      <c r="AH9" s="510"/>
      <c r="AI9" s="510"/>
      <c r="AJ9" s="510"/>
      <c r="AK9" s="510"/>
      <c r="AL9" s="510"/>
      <c r="AM9" s="510"/>
      <c r="AN9" s="16"/>
      <c r="AO9" s="16"/>
      <c r="AP9" s="16"/>
      <c r="AQ9" s="16"/>
      <c r="AR9" s="16"/>
      <c r="AS9" s="16"/>
      <c r="AT9" s="16"/>
      <c r="AU9" s="16"/>
      <c r="AV9" s="16"/>
    </row>
    <row r="10" spans="1:57" s="5" customFormat="1" ht="46.5" customHeight="1">
      <c r="A10" s="3">
        <f t="shared" si="10"/>
        <v>6</v>
      </c>
      <c r="B10" s="19">
        <v>20043</v>
      </c>
      <c r="C10" s="3" t="s">
        <v>448</v>
      </c>
      <c r="D10" s="4">
        <v>650000</v>
      </c>
      <c r="E10" s="4">
        <v>800000</v>
      </c>
      <c r="F10" s="4">
        <f t="shared" si="0"/>
        <v>-150000</v>
      </c>
      <c r="G10" s="4">
        <v>650000</v>
      </c>
      <c r="H10" s="4">
        <v>535685</v>
      </c>
      <c r="I10" s="4"/>
      <c r="J10" s="4">
        <v>99678</v>
      </c>
      <c r="K10" s="4">
        <f t="shared" si="4"/>
        <v>99678</v>
      </c>
      <c r="L10" s="4">
        <f t="shared" si="5"/>
        <v>635363</v>
      </c>
      <c r="M10" s="4">
        <f t="shared" si="6"/>
        <v>14637</v>
      </c>
      <c r="N10" s="4"/>
      <c r="O10" s="4">
        <f t="shared" si="7"/>
        <v>0</v>
      </c>
      <c r="P10" s="4">
        <f t="shared" si="8"/>
        <v>14637</v>
      </c>
      <c r="Q10" s="311"/>
      <c r="R10" s="112"/>
      <c r="S10" s="4">
        <f t="shared" si="9"/>
        <v>0</v>
      </c>
      <c r="T10" s="4">
        <f t="shared" si="1"/>
        <v>0</v>
      </c>
      <c r="U10" s="4">
        <f t="shared" si="2"/>
        <v>0</v>
      </c>
      <c r="V10" s="4"/>
      <c r="W10" s="4">
        <f t="shared" si="3"/>
        <v>0</v>
      </c>
      <c r="X10" s="4"/>
      <c r="Y10" s="4"/>
      <c r="Z10" s="4"/>
      <c r="AA10" s="258"/>
      <c r="AB10" s="3" t="s">
        <v>741</v>
      </c>
      <c r="AC10" s="3">
        <v>810000</v>
      </c>
      <c r="AD10" s="510"/>
      <c r="AE10" s="510"/>
      <c r="AF10" s="510"/>
      <c r="AG10" s="510"/>
      <c r="AH10" s="510"/>
      <c r="AI10" s="510"/>
      <c r="AJ10" s="510"/>
      <c r="AK10" s="510"/>
      <c r="AL10" s="510"/>
      <c r="AM10" s="510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57" s="5" customFormat="1" ht="45">
      <c r="A11" s="3">
        <f t="shared" si="10"/>
        <v>7</v>
      </c>
      <c r="B11" s="19">
        <v>20044</v>
      </c>
      <c r="C11" s="3" t="s">
        <v>92</v>
      </c>
      <c r="D11" s="4">
        <v>4043000</v>
      </c>
      <c r="E11" s="4">
        <v>2848000</v>
      </c>
      <c r="F11" s="4">
        <f t="shared" si="0"/>
        <v>1195000</v>
      </c>
      <c r="G11" s="4">
        <v>2098000</v>
      </c>
      <c r="H11" s="4">
        <v>1390718</v>
      </c>
      <c r="I11" s="4"/>
      <c r="J11" s="4">
        <v>683502</v>
      </c>
      <c r="K11" s="4">
        <f t="shared" si="4"/>
        <v>683502</v>
      </c>
      <c r="L11" s="4">
        <f t="shared" si="5"/>
        <v>2074220</v>
      </c>
      <c r="M11" s="4">
        <f t="shared" si="6"/>
        <v>23780</v>
      </c>
      <c r="N11" s="4">
        <f>1195000-595000-100000</f>
        <v>500000</v>
      </c>
      <c r="O11" s="4">
        <f t="shared" si="7"/>
        <v>1445000</v>
      </c>
      <c r="P11" s="4">
        <f t="shared" si="8"/>
        <v>23780</v>
      </c>
      <c r="Q11" s="4"/>
      <c r="R11" s="4"/>
      <c r="S11" s="4">
        <f t="shared" si="9"/>
        <v>0</v>
      </c>
      <c r="T11" s="4">
        <f t="shared" si="1"/>
        <v>0</v>
      </c>
      <c r="U11" s="4">
        <f t="shared" si="2"/>
        <v>500000</v>
      </c>
      <c r="V11" s="4"/>
      <c r="W11" s="4">
        <f t="shared" si="3"/>
        <v>500000</v>
      </c>
      <c r="X11" s="4"/>
      <c r="Y11" s="4"/>
      <c r="Z11" s="4"/>
      <c r="AA11" s="258"/>
      <c r="AB11" s="3" t="s">
        <v>1275</v>
      </c>
      <c r="AC11" s="3">
        <v>810000</v>
      </c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57" s="5" customFormat="1" ht="48" customHeight="1">
      <c r="A12" s="3">
        <f t="shared" si="10"/>
        <v>8</v>
      </c>
      <c r="B12" s="19">
        <v>20167</v>
      </c>
      <c r="C12" s="127" t="s">
        <v>848</v>
      </c>
      <c r="D12" s="4">
        <v>712000</v>
      </c>
      <c r="E12" s="112"/>
      <c r="F12" s="112">
        <f t="shared" si="0"/>
        <v>712000</v>
      </c>
      <c r="G12" s="112">
        <v>0</v>
      </c>
      <c r="H12" s="112"/>
      <c r="I12" s="112"/>
      <c r="J12" s="112"/>
      <c r="K12" s="112">
        <f t="shared" si="4"/>
        <v>0</v>
      </c>
      <c r="L12" s="112">
        <f t="shared" si="5"/>
        <v>0</v>
      </c>
      <c r="M12" s="112">
        <f t="shared" si="6"/>
        <v>0</v>
      </c>
      <c r="N12" s="4">
        <v>712000</v>
      </c>
      <c r="O12" s="112">
        <f t="shared" ref="O12:O14" si="11">D12-L12-M12-N12</f>
        <v>0</v>
      </c>
      <c r="P12" s="112">
        <f t="shared" si="8"/>
        <v>0</v>
      </c>
      <c r="Q12" s="112"/>
      <c r="R12" s="112"/>
      <c r="S12" s="112">
        <f t="shared" si="9"/>
        <v>0</v>
      </c>
      <c r="T12" s="112">
        <f t="shared" si="1"/>
        <v>0</v>
      </c>
      <c r="U12" s="112">
        <f t="shared" si="2"/>
        <v>712000</v>
      </c>
      <c r="V12" s="112">
        <f t="shared" ref="V12:V14" si="12">U12-W12-Z12-AA12</f>
        <v>0</v>
      </c>
      <c r="W12" s="112">
        <f t="shared" ref="W12:W14" si="13">U12-X12-Y12-Z12-AA12</f>
        <v>178000</v>
      </c>
      <c r="X12" s="112"/>
      <c r="Y12" s="112"/>
      <c r="Z12" s="112"/>
      <c r="AA12" s="112">
        <v>534000</v>
      </c>
      <c r="AB12" s="3" t="s">
        <v>1320</v>
      </c>
      <c r="AC12" s="3">
        <v>810000</v>
      </c>
      <c r="AD12" s="510"/>
      <c r="AE12" s="510"/>
      <c r="AF12" s="510"/>
      <c r="AG12" s="510"/>
      <c r="AH12" s="510"/>
      <c r="AI12" s="510"/>
      <c r="AJ12" s="510"/>
      <c r="AK12" s="510"/>
      <c r="AL12" s="510"/>
      <c r="AM12" s="510"/>
      <c r="AN12" s="16"/>
      <c r="AO12" s="123"/>
      <c r="AP12" s="123"/>
      <c r="AQ12" s="123"/>
      <c r="AR12" s="123"/>
      <c r="AS12" s="123"/>
      <c r="AT12" s="123"/>
      <c r="AU12" s="123"/>
      <c r="AV12" s="123"/>
      <c r="AW12" s="256"/>
      <c r="AX12" s="256"/>
      <c r="AY12" s="256"/>
      <c r="AZ12" s="256"/>
      <c r="BA12" s="256"/>
      <c r="BB12" s="256"/>
      <c r="BC12" s="256"/>
      <c r="BD12" s="256"/>
      <c r="BE12" s="256"/>
    </row>
    <row r="13" spans="1:57" s="5" customFormat="1" ht="37.5" customHeight="1">
      <c r="A13" s="3">
        <f t="shared" si="10"/>
        <v>9</v>
      </c>
      <c r="B13" s="19">
        <v>20168</v>
      </c>
      <c r="C13" s="127" t="s">
        <v>849</v>
      </c>
      <c r="D13" s="4">
        <f>237310+2690</f>
        <v>240000</v>
      </c>
      <c r="E13" s="112"/>
      <c r="F13" s="112">
        <f t="shared" si="0"/>
        <v>240000</v>
      </c>
      <c r="G13" s="112">
        <v>0</v>
      </c>
      <c r="H13" s="112"/>
      <c r="I13" s="112"/>
      <c r="J13" s="112"/>
      <c r="K13" s="112">
        <f t="shared" si="4"/>
        <v>0</v>
      </c>
      <c r="L13" s="112">
        <f t="shared" si="5"/>
        <v>0</v>
      </c>
      <c r="M13" s="112">
        <f t="shared" si="6"/>
        <v>0</v>
      </c>
      <c r="N13" s="4">
        <v>240000</v>
      </c>
      <c r="O13" s="112">
        <f t="shared" si="11"/>
        <v>0</v>
      </c>
      <c r="P13" s="112">
        <f t="shared" si="8"/>
        <v>0</v>
      </c>
      <c r="Q13" s="112"/>
      <c r="R13" s="112"/>
      <c r="S13" s="112">
        <f t="shared" si="9"/>
        <v>0</v>
      </c>
      <c r="T13" s="112">
        <f t="shared" si="1"/>
        <v>0</v>
      </c>
      <c r="U13" s="112">
        <f t="shared" si="2"/>
        <v>240000</v>
      </c>
      <c r="V13" s="112">
        <f t="shared" si="12"/>
        <v>0</v>
      </c>
      <c r="W13" s="112">
        <f t="shared" si="13"/>
        <v>0</v>
      </c>
      <c r="X13" s="112"/>
      <c r="Y13" s="112"/>
      <c r="Z13" s="112"/>
      <c r="AA13" s="112">
        <v>240000</v>
      </c>
      <c r="AB13" s="3" t="s">
        <v>1321</v>
      </c>
      <c r="AC13" s="3">
        <v>810000</v>
      </c>
      <c r="AD13" s="510"/>
      <c r="AE13" s="510"/>
      <c r="AF13" s="510"/>
      <c r="AG13" s="510"/>
      <c r="AH13" s="510"/>
      <c r="AI13" s="510"/>
      <c r="AJ13" s="510"/>
      <c r="AK13" s="510"/>
      <c r="AL13" s="510"/>
      <c r="AM13" s="510"/>
      <c r="AN13" s="16"/>
      <c r="AO13" s="123"/>
      <c r="AP13" s="123"/>
      <c r="AQ13" s="123"/>
      <c r="AR13" s="123"/>
      <c r="AS13" s="123"/>
      <c r="AT13" s="123"/>
      <c r="AU13" s="123"/>
      <c r="AV13" s="123"/>
      <c r="AW13" s="256"/>
      <c r="AX13" s="256"/>
      <c r="AY13" s="256"/>
      <c r="AZ13" s="256"/>
      <c r="BA13" s="256"/>
      <c r="BB13" s="256"/>
      <c r="BC13" s="256"/>
      <c r="BD13" s="256"/>
      <c r="BE13" s="256"/>
    </row>
    <row r="14" spans="1:57" s="5" customFormat="1" ht="31.5" customHeight="1">
      <c r="A14" s="3">
        <f t="shared" si="10"/>
        <v>10</v>
      </c>
      <c r="B14" s="19">
        <v>2019</v>
      </c>
      <c r="C14" s="127" t="s">
        <v>850</v>
      </c>
      <c r="D14" s="4">
        <v>400000</v>
      </c>
      <c r="E14" s="112"/>
      <c r="F14" s="112">
        <f t="shared" si="0"/>
        <v>400000</v>
      </c>
      <c r="G14" s="112">
        <v>0</v>
      </c>
      <c r="H14" s="112"/>
      <c r="I14" s="112"/>
      <c r="J14" s="112"/>
      <c r="K14" s="112">
        <f t="shared" si="4"/>
        <v>0</v>
      </c>
      <c r="L14" s="112">
        <f t="shared" si="5"/>
        <v>0</v>
      </c>
      <c r="M14" s="112">
        <f t="shared" si="6"/>
        <v>0</v>
      </c>
      <c r="N14" s="4">
        <v>400000</v>
      </c>
      <c r="O14" s="112">
        <f t="shared" si="11"/>
        <v>0</v>
      </c>
      <c r="P14" s="112">
        <f t="shared" si="8"/>
        <v>0</v>
      </c>
      <c r="Q14" s="112"/>
      <c r="R14" s="112"/>
      <c r="S14" s="112">
        <f t="shared" si="9"/>
        <v>0</v>
      </c>
      <c r="T14" s="112">
        <f t="shared" si="1"/>
        <v>0</v>
      </c>
      <c r="U14" s="112">
        <f t="shared" si="2"/>
        <v>400000</v>
      </c>
      <c r="V14" s="112">
        <f t="shared" si="12"/>
        <v>0</v>
      </c>
      <c r="W14" s="112">
        <f t="shared" si="13"/>
        <v>0</v>
      </c>
      <c r="X14" s="112"/>
      <c r="Y14" s="112"/>
      <c r="Z14" s="112"/>
      <c r="AA14" s="112">
        <v>400000</v>
      </c>
      <c r="AB14" s="3" t="s">
        <v>1322</v>
      </c>
      <c r="AC14" s="3">
        <v>810000</v>
      </c>
      <c r="AD14" s="510"/>
      <c r="AE14" s="510"/>
      <c r="AF14" s="510"/>
      <c r="AG14" s="510"/>
      <c r="AH14" s="510"/>
      <c r="AI14" s="510"/>
      <c r="AJ14" s="510"/>
      <c r="AK14" s="510"/>
      <c r="AL14" s="510"/>
      <c r="AM14" s="510"/>
      <c r="AN14" s="16"/>
      <c r="AO14" s="123"/>
      <c r="AP14" s="123"/>
      <c r="AQ14" s="123"/>
      <c r="AR14" s="123"/>
      <c r="AS14" s="123"/>
      <c r="AT14" s="123"/>
      <c r="AU14" s="123"/>
      <c r="AV14" s="123"/>
      <c r="AW14" s="256"/>
      <c r="AX14" s="256"/>
      <c r="AY14" s="256"/>
      <c r="AZ14" s="256"/>
      <c r="BA14" s="256"/>
      <c r="BB14" s="256"/>
      <c r="BC14" s="256"/>
      <c r="BD14" s="256"/>
      <c r="BE14" s="256"/>
    </row>
    <row r="15" spans="1:57" s="40" customFormat="1" ht="33" customHeight="1">
      <c r="A15" s="236">
        <f>COUNT(A5:A14)</f>
        <v>10</v>
      </c>
      <c r="B15" s="20"/>
      <c r="C15" s="208" t="s">
        <v>141</v>
      </c>
      <c r="D15" s="236">
        <f>SUM(D5:D14)</f>
        <v>14277000</v>
      </c>
      <c r="E15" s="236">
        <f t="shared" ref="E15:AA15" si="14">SUM(E5:E14)</f>
        <v>10775000</v>
      </c>
      <c r="F15" s="236">
        <f t="shared" si="14"/>
        <v>3502000</v>
      </c>
      <c r="G15" s="236">
        <f t="shared" si="14"/>
        <v>9375000</v>
      </c>
      <c r="H15" s="236">
        <f t="shared" si="14"/>
        <v>6647705</v>
      </c>
      <c r="I15" s="236">
        <f t="shared" si="14"/>
        <v>0</v>
      </c>
      <c r="J15" s="236">
        <f t="shared" si="14"/>
        <v>1970343</v>
      </c>
      <c r="K15" s="236">
        <f t="shared" si="14"/>
        <v>1970343</v>
      </c>
      <c r="L15" s="236">
        <f t="shared" si="14"/>
        <v>8618048</v>
      </c>
      <c r="M15" s="236">
        <f t="shared" si="14"/>
        <v>756952</v>
      </c>
      <c r="N15" s="236">
        <f t="shared" si="14"/>
        <v>2352000</v>
      </c>
      <c r="O15" s="236">
        <f t="shared" si="14"/>
        <v>2550000</v>
      </c>
      <c r="P15" s="236">
        <f t="shared" si="14"/>
        <v>756952</v>
      </c>
      <c r="Q15" s="236">
        <f t="shared" si="14"/>
        <v>0</v>
      </c>
      <c r="R15" s="236">
        <f t="shared" si="14"/>
        <v>0</v>
      </c>
      <c r="S15" s="236">
        <f t="shared" si="14"/>
        <v>0</v>
      </c>
      <c r="T15" s="236">
        <f t="shared" si="14"/>
        <v>0</v>
      </c>
      <c r="U15" s="236">
        <f t="shared" si="14"/>
        <v>2352000</v>
      </c>
      <c r="V15" s="236">
        <f t="shared" si="14"/>
        <v>0</v>
      </c>
      <c r="W15" s="236">
        <f t="shared" si="14"/>
        <v>1178000</v>
      </c>
      <c r="X15" s="236">
        <f t="shared" si="14"/>
        <v>0</v>
      </c>
      <c r="Y15" s="236">
        <f t="shared" si="14"/>
        <v>0</v>
      </c>
      <c r="Z15" s="236">
        <f t="shared" si="14"/>
        <v>0</v>
      </c>
      <c r="AA15" s="236">
        <f t="shared" si="14"/>
        <v>1174000</v>
      </c>
      <c r="AB15" s="20"/>
      <c r="AC15" s="2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16"/>
      <c r="AO15" s="232"/>
      <c r="AP15" s="232"/>
      <c r="AQ15" s="232"/>
      <c r="AR15" s="232"/>
      <c r="AS15" s="232"/>
      <c r="AT15" s="232"/>
      <c r="AU15" s="232"/>
      <c r="AV15" s="232"/>
      <c r="AW15" s="312"/>
      <c r="AX15" s="312"/>
      <c r="AY15" s="312"/>
      <c r="AZ15" s="312"/>
      <c r="BA15" s="312"/>
      <c r="BB15" s="312"/>
      <c r="BC15" s="312"/>
      <c r="BD15" s="312"/>
      <c r="BE15" s="312"/>
    </row>
    <row r="16" spans="1:57" s="618" customFormat="1" ht="20.25" hidden="1" customHeight="1">
      <c r="C16" s="619"/>
      <c r="F16" s="618">
        <f>D15-E15</f>
        <v>3502000</v>
      </c>
      <c r="L16" s="618">
        <f>H15+K15</f>
        <v>8618048</v>
      </c>
      <c r="P16" s="618">
        <f>G15-L16</f>
        <v>756952</v>
      </c>
      <c r="Q16" s="618">
        <f>'ריכוז אגפים 2024'!AV10</f>
        <v>-782837</v>
      </c>
      <c r="R16" s="618">
        <f>'עדכוני תקציב 2024'!AE120</f>
        <v>0</v>
      </c>
      <c r="T16" s="618">
        <f>P16+S15-M15</f>
        <v>0</v>
      </c>
      <c r="U16" s="618">
        <f>N15-T16</f>
        <v>2352000</v>
      </c>
      <c r="AB16" s="619"/>
      <c r="AD16" s="510"/>
      <c r="AE16" s="510"/>
      <c r="AF16" s="510"/>
      <c r="AN16" s="620"/>
      <c r="AO16" s="620"/>
      <c r="AP16" s="620"/>
      <c r="AQ16" s="620"/>
      <c r="AR16" s="620"/>
      <c r="AS16" s="620"/>
      <c r="AT16" s="620"/>
      <c r="AU16" s="620"/>
      <c r="AV16" s="620"/>
    </row>
    <row r="17" spans="10:28" ht="18.75" customHeight="1">
      <c r="Q17" s="11">
        <f>Q15-Q16</f>
        <v>782837</v>
      </c>
      <c r="R17" s="11">
        <f>R15-R16</f>
        <v>0</v>
      </c>
    </row>
    <row r="18" spans="10:28">
      <c r="P18" s="11" t="s">
        <v>1301</v>
      </c>
    </row>
    <row r="19" spans="10:28" ht="45.75" customHeight="1"/>
    <row r="21" spans="10:28" ht="47.25" customHeight="1">
      <c r="J21" s="364"/>
    </row>
    <row r="23" spans="10:28" ht="36.75" customHeight="1"/>
    <row r="26" spans="10:28">
      <c r="AB26" s="400"/>
    </row>
    <row r="27" spans="10:28" ht="45" customHeight="1"/>
    <row r="29" spans="10:28" ht="58.5" customHeight="1"/>
    <row r="30" spans="10:28" ht="50.25" customHeight="1"/>
    <row r="37" ht="51.75" customHeight="1"/>
    <row r="38" ht="35.25" customHeight="1"/>
    <row r="39" ht="31.5" customHeight="1"/>
    <row r="44" ht="37.5" customHeight="1"/>
    <row r="55" ht="48.75" customHeight="1"/>
    <row r="56" ht="31.5" customHeight="1"/>
    <row r="58" ht="45.75" customHeight="1"/>
    <row r="60" ht="33.75" customHeight="1"/>
    <row r="63" ht="27.75" customHeight="1"/>
  </sheetData>
  <sheetProtection formatCells="0" formatColumns="0" formatRows="0" insertColumns="0" insertRows="0" insertHyperlinks="0" deleteColumns="0" deleteRows="0" sort="0" autoFilter="0" pivotTables="0"/>
  <mergeCells count="1">
    <mergeCell ref="W3:AA3"/>
  </mergeCells>
  <conditionalFormatting sqref="A1:AC1 Z2:AC2 A2:X2 AG1:AM1048576">
    <cfRule type="cellIs" dxfId="359" priority="14" operator="equal">
      <formula>0</formula>
    </cfRule>
  </conditionalFormatting>
  <conditionalFormatting sqref="AW1:XFD2">
    <cfRule type="cellIs" dxfId="358" priority="15" operator="equal">
      <formula>0</formula>
    </cfRule>
  </conditionalFormatting>
  <conditionalFormatting sqref="AB4">
    <cfRule type="cellIs" dxfId="357" priority="13" operator="equal">
      <formula>0</formula>
    </cfRule>
  </conditionalFormatting>
  <conditionalFormatting sqref="AG1:AG2">
    <cfRule type="cellIs" dxfId="356" priority="12" operator="equal">
      <formula>0</formula>
    </cfRule>
  </conditionalFormatting>
  <conditionalFormatting sqref="AG4">
    <cfRule type="cellIs" dxfId="355" priority="11" operator="equal">
      <formula>0</formula>
    </cfRule>
  </conditionalFormatting>
  <conditionalFormatting sqref="AK1:AK2">
    <cfRule type="cellIs" dxfId="354" priority="9" operator="equal">
      <formula>0</formula>
    </cfRule>
  </conditionalFormatting>
  <conditionalFormatting sqref="AJ1:AJ2">
    <cfRule type="cellIs" dxfId="353" priority="10" operator="equal">
      <formula>0</formula>
    </cfRule>
  </conditionalFormatting>
  <conditionalFormatting sqref="AL1:AL2">
    <cfRule type="cellIs" dxfId="352" priority="8" operator="equal">
      <formula>0</formula>
    </cfRule>
  </conditionalFormatting>
  <conditionalFormatting sqref="AM1:AM2">
    <cfRule type="cellIs" dxfId="351" priority="7" operator="equal">
      <formula>0</formula>
    </cfRule>
  </conditionalFormatting>
  <conditionalFormatting sqref="AI1:AI2">
    <cfRule type="cellIs" dxfId="350" priority="6" operator="equal">
      <formula>0</formula>
    </cfRule>
  </conditionalFormatting>
  <conditionalFormatting sqref="AG4:AN4">
    <cfRule type="cellIs" dxfId="349" priority="4" operator="equal">
      <formula>0</formula>
    </cfRule>
  </conditionalFormatting>
  <conditionalFormatting sqref="AG1:AN2">
    <cfRule type="cellIs" dxfId="348" priority="5" operator="equal">
      <formula>0</formula>
    </cfRule>
  </conditionalFormatting>
  <conditionalFormatting sqref="AD1:AF1048576">
    <cfRule type="cellIs" dxfId="347" priority="1" operator="equal">
      <formula>0</formula>
    </cfRule>
  </conditionalFormatting>
  <conditionalFormatting sqref="AD1:AF1048576">
    <cfRule type="cellIs" dxfId="346" priority="3" operator="equal">
      <formula>0</formula>
    </cfRule>
  </conditionalFormatting>
  <conditionalFormatting sqref="AD1:AF1048576">
    <cfRule type="cellIs" dxfId="345" priority="2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3:Q27"/>
  <sheetViews>
    <sheetView showZeros="0" rightToLeft="1" workbookViewId="0">
      <selection activeCell="U4" sqref="U4"/>
    </sheetView>
  </sheetViews>
  <sheetFormatPr defaultColWidth="9.140625" defaultRowHeight="14.25"/>
  <cols>
    <col min="1" max="2" width="4.140625" style="167" customWidth="1"/>
    <col min="3" max="3" width="7.7109375" style="167" customWidth="1"/>
    <col min="4" max="4" width="34.85546875" style="167" customWidth="1"/>
    <col min="5" max="5" width="30.42578125" style="167" customWidth="1"/>
    <col min="6" max="6" width="10.855468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3" spans="1:17" ht="20.25">
      <c r="A3" s="166"/>
      <c r="C3" s="168" t="s">
        <v>625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1" thickBot="1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16.5" thickBot="1">
      <c r="A5" s="166"/>
      <c r="B5" s="169" t="s">
        <v>105</v>
      </c>
      <c r="C5" s="166" t="s">
        <v>893</v>
      </c>
      <c r="D5" s="166"/>
      <c r="E5" s="166"/>
      <c r="F5" s="170">
        <f>'תקציב אגף ספורט 2025'!U15</f>
        <v>1547000</v>
      </c>
      <c r="I5" s="166"/>
      <c r="J5" s="166"/>
      <c r="K5" s="166"/>
      <c r="L5" s="166"/>
    </row>
    <row r="6" spans="1:17" ht="21" thickBot="1">
      <c r="A6" s="166"/>
      <c r="C6" s="168"/>
      <c r="D6" s="166"/>
      <c r="E6" s="166"/>
      <c r="F6" s="166"/>
      <c r="H6" s="166"/>
      <c r="I6" s="166"/>
      <c r="J6" s="166"/>
      <c r="K6" s="166"/>
      <c r="L6" s="166"/>
    </row>
    <row r="7" spans="1:17" ht="16.5" thickBot="1">
      <c r="B7" s="169" t="s">
        <v>105</v>
      </c>
      <c r="C7" s="166" t="s">
        <v>785</v>
      </c>
      <c r="D7" s="166"/>
      <c r="F7" s="170">
        <f>'תקציב אגף ספורט 2025'!A15</f>
        <v>10</v>
      </c>
      <c r="I7" s="166"/>
      <c r="J7" s="166"/>
      <c r="K7" s="166"/>
      <c r="L7" s="166"/>
      <c r="M7" s="166"/>
      <c r="N7" s="166"/>
      <c r="O7" s="166"/>
      <c r="P7" s="166"/>
      <c r="Q7" s="166"/>
    </row>
    <row r="8" spans="1:17" ht="15.75">
      <c r="B8" s="169"/>
      <c r="C8" s="166"/>
      <c r="D8" s="166"/>
      <c r="E8" s="166"/>
      <c r="F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B9" s="169" t="s">
        <v>105</v>
      </c>
      <c r="C9" s="166" t="s">
        <v>190</v>
      </c>
      <c r="D9" s="166"/>
      <c r="E9" s="166"/>
      <c r="F9" s="166"/>
      <c r="G9" s="166"/>
      <c r="H9" s="166"/>
      <c r="I9" s="166"/>
      <c r="J9" s="166"/>
      <c r="K9" s="166"/>
      <c r="L9" s="166"/>
    </row>
    <row r="10" spans="1:17" ht="16.5" thickBot="1"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D11" s="177" t="s">
        <v>191</v>
      </c>
      <c r="E11" s="178" t="s">
        <v>192</v>
      </c>
      <c r="F11" s="179" t="s">
        <v>193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 hidden="1">
      <c r="D12" s="173" t="s">
        <v>13</v>
      </c>
      <c r="E12" s="267">
        <f>'תקציב אגף ספורט 2025'!V15</f>
        <v>0</v>
      </c>
      <c r="F12" s="181">
        <f>E12/$E$14</f>
        <v>0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75">
      <c r="C13" s="169"/>
      <c r="D13" s="173" t="s">
        <v>14</v>
      </c>
      <c r="E13" s="180">
        <f>'תקציב אגף ספורט 2025'!W15</f>
        <v>1547000</v>
      </c>
      <c r="F13" s="181">
        <f>E13/$E$14</f>
        <v>1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6.5" thickBot="1">
      <c r="C14" s="169"/>
      <c r="D14" s="175" t="s">
        <v>75</v>
      </c>
      <c r="E14" s="234">
        <f>SUM(E12:E13)</f>
        <v>1547000</v>
      </c>
      <c r="F14" s="235">
        <f>SUM(F12:F13)</f>
        <v>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B15" s="169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5.75">
      <c r="B16" s="169"/>
      <c r="C16" s="166"/>
      <c r="D16" s="166"/>
      <c r="F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15.75">
      <c r="B17" s="169" t="s">
        <v>105</v>
      </c>
      <c r="C17" s="166" t="s">
        <v>1316</v>
      </c>
      <c r="D17" s="166"/>
      <c r="F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15.75">
      <c r="B18" s="169"/>
      <c r="C18" s="166" t="s">
        <v>1317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20" spans="1:17" s="517" customFormat="1" ht="15.75">
      <c r="A20" s="515"/>
      <c r="B20" s="516"/>
      <c r="C20" s="515"/>
      <c r="E20" s="515"/>
      <c r="F20" s="515"/>
      <c r="G20" s="515"/>
      <c r="H20" s="515"/>
      <c r="I20" s="515"/>
      <c r="J20" s="515"/>
      <c r="K20" s="515"/>
      <c r="L20" s="515"/>
    </row>
    <row r="21" spans="1:17" s="517" customFormat="1" ht="15.75">
      <c r="C21" s="515"/>
    </row>
    <row r="22" spans="1:17" s="227" customFormat="1" ht="15.75">
      <c r="C22" s="229"/>
      <c r="D22" s="394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</row>
    <row r="23" spans="1:17" s="227" customFormat="1" ht="15.75">
      <c r="C23" s="229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1:17" s="227" customFormat="1" ht="15.75">
      <c r="A24" s="226"/>
      <c r="B24" s="226"/>
      <c r="C24" s="226"/>
      <c r="D24" s="265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</row>
    <row r="25" spans="1:17" s="227" customFormat="1" ht="15.75">
      <c r="C25" s="229"/>
      <c r="D25" s="322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</row>
    <row r="26" spans="1:17" s="227" customFormat="1" ht="15.75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17" s="227" customFormat="1" ht="15.75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K130"/>
  <sheetViews>
    <sheetView showZeros="0" rightToLeft="1" zoomScaleNormal="100" workbookViewId="0">
      <pane xSplit="3" ySplit="4" topLeftCell="D5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8.75"/>
  <cols>
    <col min="1" max="1" width="3.7109375" style="355" customWidth="1"/>
    <col min="2" max="2" width="5.7109375" style="331" customWidth="1"/>
    <col min="3" max="3" width="18.28515625" style="331" customWidth="1"/>
    <col min="4" max="6" width="10.7109375" style="330" customWidth="1"/>
    <col min="7" max="11" width="10.7109375" style="330" hidden="1" customWidth="1"/>
    <col min="12" max="15" width="10.7109375" style="330" customWidth="1"/>
    <col min="16" max="19" width="10.7109375" style="330" hidden="1" customWidth="1"/>
    <col min="20" max="20" width="10" style="330" customWidth="1"/>
    <col min="21" max="21" width="10.7109375" style="331" customWidth="1"/>
    <col min="22" max="22" width="8" style="331" customWidth="1"/>
    <col min="23" max="23" width="10.7109375" style="331" customWidth="1"/>
    <col min="24" max="26" width="8.5703125" style="331" hidden="1" customWidth="1"/>
    <col min="27" max="27" width="6.85546875" style="331" hidden="1" customWidth="1"/>
    <col min="28" max="28" width="30.85546875" style="355" customWidth="1"/>
    <col min="29" max="29" width="7.85546875" style="331" hidden="1" customWidth="1"/>
    <col min="30" max="31" width="15.85546875" style="447" customWidth="1"/>
    <col min="32" max="32" width="18" style="447" customWidth="1"/>
    <col min="33" max="33" width="34.42578125" style="447" customWidth="1"/>
    <col min="34" max="34" width="26.140625" style="447" customWidth="1"/>
    <col min="35" max="35" width="11.140625" style="447" customWidth="1"/>
    <col min="36" max="36" width="24.85546875" style="447" customWidth="1"/>
    <col min="37" max="37" width="16.5703125" style="447" customWidth="1"/>
    <col min="38" max="38" width="18" style="447" customWidth="1"/>
    <col min="39" max="39" width="34.42578125" style="447" customWidth="1"/>
    <col min="40" max="40" width="22" style="449" customWidth="1"/>
    <col min="41" max="41" width="10.7109375" style="449" customWidth="1"/>
    <col min="42" max="42" width="18.28515625" style="449" customWidth="1"/>
    <col min="43" max="43" width="20.5703125" style="449" customWidth="1"/>
    <col min="44" max="44" width="11.7109375" style="449" customWidth="1"/>
    <col min="45" max="45" width="22.7109375" style="449" customWidth="1"/>
    <col min="46" max="46" width="9.7109375" style="450" customWidth="1"/>
    <col min="47" max="49" width="10.7109375" style="450" customWidth="1"/>
    <col min="50" max="50" width="11.7109375" style="450" customWidth="1"/>
    <col min="51" max="51" width="10.7109375" style="450" customWidth="1"/>
    <col min="52" max="54" width="10.7109375" style="366" customWidth="1"/>
    <col min="55" max="16384" width="9.140625" style="331"/>
  </cols>
  <sheetData>
    <row r="1" spans="1:63" s="450" customFormat="1">
      <c r="A1" s="447"/>
      <c r="B1" s="447"/>
      <c r="C1" s="447"/>
      <c r="D1" s="448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9"/>
      <c r="AO1" s="449"/>
      <c r="AP1" s="449"/>
      <c r="AQ1" s="449"/>
      <c r="AR1" s="449"/>
      <c r="AS1" s="449"/>
      <c r="AZ1" s="366"/>
      <c r="BA1" s="366"/>
      <c r="BB1" s="366"/>
    </row>
    <row r="2" spans="1:63" s="450" customFormat="1">
      <c r="A2" s="447" t="s">
        <v>625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9"/>
      <c r="AO2" s="449"/>
      <c r="AP2" s="449"/>
      <c r="AQ2" s="449"/>
      <c r="AR2" s="449"/>
      <c r="AS2" s="449"/>
      <c r="AZ2" s="366"/>
      <c r="BA2" s="366"/>
      <c r="BB2" s="366"/>
    </row>
    <row r="3" spans="1:63" ht="20.45" customHeight="1">
      <c r="V3" s="447"/>
      <c r="W3" s="447"/>
      <c r="X3" s="447"/>
      <c r="Y3" s="447"/>
      <c r="Z3" s="447"/>
      <c r="AA3" s="447"/>
    </row>
    <row r="4" spans="1:63" s="366" customFormat="1" ht="75" customHeight="1">
      <c r="A4" s="122" t="s">
        <v>0</v>
      </c>
      <c r="B4" s="327" t="s">
        <v>328</v>
      </c>
      <c r="C4" s="327" t="s">
        <v>2</v>
      </c>
      <c r="D4" s="327" t="s">
        <v>72</v>
      </c>
      <c r="E4" s="327" t="s">
        <v>4</v>
      </c>
      <c r="F4" s="327" t="s">
        <v>5</v>
      </c>
      <c r="G4" s="327" t="s">
        <v>6</v>
      </c>
      <c r="H4" s="327" t="s">
        <v>7</v>
      </c>
      <c r="I4" s="327" t="s">
        <v>9</v>
      </c>
      <c r="J4" s="327" t="s">
        <v>101</v>
      </c>
      <c r="K4" s="327" t="s">
        <v>10</v>
      </c>
      <c r="L4" s="327" t="s">
        <v>11</v>
      </c>
      <c r="M4" s="327" t="s">
        <v>793</v>
      </c>
      <c r="N4" s="327" t="s">
        <v>794</v>
      </c>
      <c r="O4" s="328" t="s">
        <v>795</v>
      </c>
      <c r="P4" s="328" t="s">
        <v>12</v>
      </c>
      <c r="Q4" s="328" t="s">
        <v>571</v>
      </c>
      <c r="R4" s="328" t="s">
        <v>572</v>
      </c>
      <c r="S4" s="328" t="s">
        <v>805</v>
      </c>
      <c r="T4" s="328" t="s">
        <v>799</v>
      </c>
      <c r="U4" s="328" t="s">
        <v>800</v>
      </c>
      <c r="V4" s="327" t="s">
        <v>13</v>
      </c>
      <c r="W4" s="327" t="s">
        <v>14</v>
      </c>
      <c r="X4" s="327" t="s">
        <v>15</v>
      </c>
      <c r="Y4" s="327" t="s">
        <v>185</v>
      </c>
      <c r="Z4" s="327" t="s">
        <v>385</v>
      </c>
      <c r="AA4" s="327" t="s">
        <v>67</v>
      </c>
      <c r="AB4" s="327" t="s">
        <v>207</v>
      </c>
      <c r="AC4" s="327" t="s">
        <v>16</v>
      </c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9"/>
      <c r="AO4" s="449"/>
      <c r="AP4" s="449"/>
      <c r="AQ4" s="449"/>
      <c r="AR4" s="449"/>
      <c r="AS4" s="449"/>
      <c r="AT4" s="450"/>
      <c r="AU4" s="450"/>
      <c r="AV4" s="450"/>
      <c r="AW4" s="450"/>
      <c r="AX4" s="450"/>
      <c r="AY4" s="450"/>
    </row>
    <row r="5" spans="1:63" s="343" customFormat="1" ht="40.5" customHeight="1">
      <c r="A5" s="345">
        <v>1</v>
      </c>
      <c r="B5" s="339">
        <v>1582</v>
      </c>
      <c r="C5" s="339" t="s">
        <v>43</v>
      </c>
      <c r="D5" s="340">
        <f>2055000+294000-294000</f>
        <v>2055000</v>
      </c>
      <c r="E5" s="340">
        <v>2055000</v>
      </c>
      <c r="F5" s="340">
        <f>+D5-E5</f>
        <v>0</v>
      </c>
      <c r="G5" s="340">
        <v>1234000</v>
      </c>
      <c r="H5" s="340">
        <v>1233918</v>
      </c>
      <c r="I5" s="340">
        <v>0</v>
      </c>
      <c r="J5" s="340">
        <v>0</v>
      </c>
      <c r="K5" s="340">
        <f t="shared" ref="K5:K10" si="0">I5+J5</f>
        <v>0</v>
      </c>
      <c r="L5" s="340">
        <f t="shared" ref="L5:L10" si="1">H5+K5</f>
        <v>1233918</v>
      </c>
      <c r="M5" s="340">
        <f t="shared" ref="M5:M12" si="2">P5+S5</f>
        <v>82</v>
      </c>
      <c r="N5" s="340">
        <f>750871+364079+50-1115000</f>
        <v>0</v>
      </c>
      <c r="O5" s="340">
        <f t="shared" ref="O5:O10" si="3">D5-L5-M5-N5</f>
        <v>821000</v>
      </c>
      <c r="P5" s="340">
        <f t="shared" ref="P5:P10" si="4">G5-L5</f>
        <v>82</v>
      </c>
      <c r="Q5" s="356"/>
      <c r="R5" s="340"/>
      <c r="S5" s="340">
        <f t="shared" ref="S5:S10" si="5">SUM(Q5:R5)</f>
        <v>0</v>
      </c>
      <c r="T5" s="340">
        <f t="shared" ref="T5:T10" si="6">P5-M5+S5</f>
        <v>0</v>
      </c>
      <c r="U5" s="340">
        <f t="shared" ref="U5:U10" si="7">N5-T5</f>
        <v>0</v>
      </c>
      <c r="V5" s="340"/>
      <c r="W5" s="340">
        <f>U5-V5-Z5-AA5-X5-Y5</f>
        <v>0</v>
      </c>
      <c r="X5" s="340"/>
      <c r="Y5" s="340"/>
      <c r="Z5" s="340"/>
      <c r="AA5" s="339"/>
      <c r="AB5" s="357" t="s">
        <v>1028</v>
      </c>
      <c r="AC5" s="339">
        <v>829000</v>
      </c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9"/>
      <c r="AO5" s="449"/>
      <c r="AP5" s="449"/>
      <c r="AQ5" s="449"/>
      <c r="AR5" s="449"/>
      <c r="AS5" s="449"/>
      <c r="AT5" s="450"/>
      <c r="AU5" s="450"/>
      <c r="AV5" s="450"/>
      <c r="AW5" s="450"/>
      <c r="AX5" s="450"/>
      <c r="AY5" s="450"/>
      <c r="AZ5" s="366"/>
      <c r="BA5" s="366"/>
      <c r="BB5" s="366"/>
    </row>
    <row r="6" spans="1:63" s="343" customFormat="1" ht="45" customHeight="1">
      <c r="A6" s="345">
        <f>1+A5</f>
        <v>2</v>
      </c>
      <c r="B6" s="339">
        <v>1678</v>
      </c>
      <c r="C6" s="339" t="s">
        <v>269</v>
      </c>
      <c r="D6" s="340">
        <f>2565000+200000</f>
        <v>2765000</v>
      </c>
      <c r="E6" s="340">
        <v>2565000</v>
      </c>
      <c r="F6" s="340">
        <f>+D6-E6</f>
        <v>200000</v>
      </c>
      <c r="G6" s="340">
        <v>2565000</v>
      </c>
      <c r="H6" s="340">
        <v>2378571</v>
      </c>
      <c r="I6" s="340">
        <v>0</v>
      </c>
      <c r="J6" s="340">
        <v>107017</v>
      </c>
      <c r="K6" s="340">
        <f t="shared" si="0"/>
        <v>107017</v>
      </c>
      <c r="L6" s="340">
        <f t="shared" si="1"/>
        <v>2485588</v>
      </c>
      <c r="M6" s="340">
        <f t="shared" si="2"/>
        <v>79412</v>
      </c>
      <c r="N6" s="340">
        <f>280000-80000</f>
        <v>200000</v>
      </c>
      <c r="O6" s="340">
        <f t="shared" si="3"/>
        <v>0</v>
      </c>
      <c r="P6" s="340">
        <f t="shared" si="4"/>
        <v>79412</v>
      </c>
      <c r="Q6" s="356"/>
      <c r="R6" s="340"/>
      <c r="S6" s="340">
        <f t="shared" si="5"/>
        <v>0</v>
      </c>
      <c r="T6" s="340">
        <f t="shared" si="6"/>
        <v>0</v>
      </c>
      <c r="U6" s="340">
        <f t="shared" si="7"/>
        <v>200000</v>
      </c>
      <c r="V6" s="340"/>
      <c r="W6" s="340">
        <f t="shared" ref="W6:W14" si="8">U6-V6-Z6-AA6-X6-Y6</f>
        <v>200000</v>
      </c>
      <c r="X6" s="340"/>
      <c r="Y6" s="340"/>
      <c r="Z6" s="340"/>
      <c r="AA6" s="339"/>
      <c r="AB6" s="339" t="s">
        <v>851</v>
      </c>
      <c r="AC6" s="339">
        <v>829000</v>
      </c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9"/>
      <c r="AO6" s="449"/>
      <c r="AP6" s="449"/>
      <c r="AQ6" s="449"/>
      <c r="AR6" s="449"/>
      <c r="AS6" s="449"/>
      <c r="AT6" s="450"/>
      <c r="AU6" s="450"/>
      <c r="AV6" s="450"/>
      <c r="AW6" s="450"/>
      <c r="AX6" s="450"/>
      <c r="AY6" s="450"/>
      <c r="AZ6" s="366"/>
      <c r="BA6" s="366"/>
      <c r="BB6" s="366"/>
    </row>
    <row r="7" spans="1:63" s="343" customFormat="1" ht="45">
      <c r="A7" s="345">
        <f t="shared" ref="A7:A14" si="9">1+A6</f>
        <v>3</v>
      </c>
      <c r="B7" s="358">
        <v>2004</v>
      </c>
      <c r="C7" s="339" t="s">
        <v>103</v>
      </c>
      <c r="D7" s="340">
        <f>1585000+172000+93000-27000</f>
        <v>1823000</v>
      </c>
      <c r="E7" s="340">
        <v>1585000</v>
      </c>
      <c r="F7" s="340">
        <f>+D7-E7</f>
        <v>238000</v>
      </c>
      <c r="G7" s="340">
        <v>1585000</v>
      </c>
      <c r="H7" s="340">
        <v>1465113</v>
      </c>
      <c r="I7" s="340">
        <v>0</v>
      </c>
      <c r="J7" s="340">
        <v>92871</v>
      </c>
      <c r="K7" s="340">
        <f t="shared" si="0"/>
        <v>92871</v>
      </c>
      <c r="L7" s="340">
        <f t="shared" si="1"/>
        <v>1557984</v>
      </c>
      <c r="M7" s="340">
        <f>P7+S7-27000</f>
        <v>16</v>
      </c>
      <c r="N7" s="340">
        <f>150000+62000+53000</f>
        <v>265000</v>
      </c>
      <c r="O7" s="340">
        <f t="shared" si="3"/>
        <v>0</v>
      </c>
      <c r="P7" s="340">
        <f t="shared" si="4"/>
        <v>27016</v>
      </c>
      <c r="Q7" s="340"/>
      <c r="R7" s="340"/>
      <c r="S7" s="340">
        <f t="shared" si="5"/>
        <v>0</v>
      </c>
      <c r="T7" s="340">
        <f t="shared" si="6"/>
        <v>27000</v>
      </c>
      <c r="U7" s="340">
        <f t="shared" si="7"/>
        <v>238000</v>
      </c>
      <c r="V7" s="340"/>
      <c r="W7" s="340">
        <f t="shared" si="8"/>
        <v>238000</v>
      </c>
      <c r="X7" s="340"/>
      <c r="Y7" s="340"/>
      <c r="Z7" s="340"/>
      <c r="AA7" s="339"/>
      <c r="AB7" s="339" t="s">
        <v>1276</v>
      </c>
      <c r="AC7" s="339">
        <v>829000</v>
      </c>
      <c r="AD7" s="447"/>
      <c r="AE7" s="447"/>
      <c r="AF7" s="447"/>
      <c r="AG7" s="447"/>
      <c r="AH7" s="447"/>
      <c r="AI7" s="447"/>
      <c r="AJ7" s="447"/>
      <c r="AK7" s="447"/>
      <c r="AL7" s="447"/>
      <c r="AM7" s="447"/>
      <c r="AN7" s="449"/>
      <c r="AO7" s="449"/>
      <c r="AP7" s="449"/>
      <c r="AQ7" s="449"/>
      <c r="AR7" s="449"/>
      <c r="AS7" s="449"/>
      <c r="AT7" s="450"/>
      <c r="AU7" s="450"/>
      <c r="AV7" s="450"/>
      <c r="AW7" s="450"/>
      <c r="AX7" s="450"/>
      <c r="AY7" s="450"/>
      <c r="AZ7" s="366"/>
      <c r="BA7" s="366"/>
      <c r="BB7" s="366"/>
    </row>
    <row r="8" spans="1:63" s="343" customFormat="1" ht="42" customHeight="1">
      <c r="A8" s="345">
        <f t="shared" si="9"/>
        <v>4</v>
      </c>
      <c r="B8" s="358">
        <v>2060</v>
      </c>
      <c r="C8" s="339" t="s">
        <v>268</v>
      </c>
      <c r="D8" s="340">
        <f>3101000+140000</f>
        <v>3241000</v>
      </c>
      <c r="E8" s="340">
        <v>3101000</v>
      </c>
      <c r="F8" s="340">
        <f>+D8-E8</f>
        <v>140000</v>
      </c>
      <c r="G8" s="340">
        <v>3021000</v>
      </c>
      <c r="H8" s="340">
        <v>3020658</v>
      </c>
      <c r="I8" s="340">
        <v>0</v>
      </c>
      <c r="J8" s="340">
        <v>0</v>
      </c>
      <c r="K8" s="340">
        <f t="shared" si="0"/>
        <v>0</v>
      </c>
      <c r="L8" s="340">
        <f t="shared" si="1"/>
        <v>3020658</v>
      </c>
      <c r="M8" s="340">
        <f t="shared" si="2"/>
        <v>342</v>
      </c>
      <c r="N8" s="340">
        <v>220000</v>
      </c>
      <c r="O8" s="340">
        <f t="shared" si="3"/>
        <v>0</v>
      </c>
      <c r="P8" s="340">
        <f t="shared" si="4"/>
        <v>342</v>
      </c>
      <c r="Q8" s="356"/>
      <c r="R8" s="340"/>
      <c r="S8" s="340">
        <f>SUM(Q8:R8)</f>
        <v>0</v>
      </c>
      <c r="T8" s="340">
        <f t="shared" si="6"/>
        <v>0</v>
      </c>
      <c r="U8" s="340">
        <f t="shared" si="7"/>
        <v>220000</v>
      </c>
      <c r="V8" s="340"/>
      <c r="W8" s="340">
        <f t="shared" si="8"/>
        <v>220000</v>
      </c>
      <c r="X8" s="340"/>
      <c r="Y8" s="340"/>
      <c r="Z8" s="340"/>
      <c r="AA8" s="339"/>
      <c r="AB8" s="339" t="s">
        <v>1277</v>
      </c>
      <c r="AC8" s="339">
        <v>829000</v>
      </c>
      <c r="AD8" s="447"/>
      <c r="AE8" s="447"/>
      <c r="AF8" s="447"/>
      <c r="AG8" s="447"/>
      <c r="AH8" s="447"/>
      <c r="AI8" s="447"/>
      <c r="AJ8" s="447"/>
      <c r="AK8" s="447"/>
      <c r="AL8" s="447"/>
      <c r="AM8" s="447"/>
      <c r="AN8" s="449"/>
      <c r="AO8" s="449"/>
      <c r="AP8" s="449"/>
      <c r="AQ8" s="449"/>
      <c r="AR8" s="449"/>
      <c r="AS8" s="449"/>
      <c r="AT8" s="450"/>
      <c r="AU8" s="450"/>
      <c r="AV8" s="450"/>
      <c r="AW8" s="450"/>
      <c r="AX8" s="450"/>
      <c r="AY8" s="450"/>
      <c r="AZ8" s="366"/>
      <c r="BA8" s="366"/>
      <c r="BB8" s="366"/>
    </row>
    <row r="9" spans="1:63" s="343" customFormat="1" ht="75">
      <c r="A9" s="345">
        <f t="shared" si="9"/>
        <v>5</v>
      </c>
      <c r="B9" s="345">
        <v>20033</v>
      </c>
      <c r="C9" s="339" t="s">
        <v>492</v>
      </c>
      <c r="D9" s="340">
        <v>1845000</v>
      </c>
      <c r="E9" s="340">
        <v>1845000</v>
      </c>
      <c r="F9" s="340">
        <f>D9-E9</f>
        <v>0</v>
      </c>
      <c r="G9" s="340">
        <v>1845000</v>
      </c>
      <c r="H9" s="340">
        <v>1484993</v>
      </c>
      <c r="I9" s="340">
        <v>0</v>
      </c>
      <c r="J9" s="340">
        <v>68641</v>
      </c>
      <c r="K9" s="340">
        <f t="shared" si="0"/>
        <v>68641</v>
      </c>
      <c r="L9" s="340">
        <f t="shared" si="1"/>
        <v>1553634</v>
      </c>
      <c r="M9" s="340">
        <f t="shared" si="2"/>
        <v>291366</v>
      </c>
      <c r="N9" s="340">
        <v>0</v>
      </c>
      <c r="O9" s="340">
        <f t="shared" si="3"/>
        <v>0</v>
      </c>
      <c r="P9" s="340">
        <f t="shared" si="4"/>
        <v>291366</v>
      </c>
      <c r="Q9" s="356"/>
      <c r="R9" s="340"/>
      <c r="S9" s="340">
        <f t="shared" si="5"/>
        <v>0</v>
      </c>
      <c r="T9" s="340">
        <f t="shared" si="6"/>
        <v>0</v>
      </c>
      <c r="U9" s="340">
        <f t="shared" si="7"/>
        <v>0</v>
      </c>
      <c r="V9" s="340"/>
      <c r="W9" s="340">
        <f t="shared" si="8"/>
        <v>0</v>
      </c>
      <c r="X9" s="340"/>
      <c r="Y9" s="340"/>
      <c r="Z9" s="340"/>
      <c r="AA9" s="339"/>
      <c r="AB9" s="339" t="s">
        <v>1515</v>
      </c>
      <c r="AC9" s="339">
        <v>829000</v>
      </c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9"/>
      <c r="AO9" s="449"/>
      <c r="AP9" s="449"/>
      <c r="AQ9" s="449"/>
      <c r="AR9" s="449"/>
      <c r="AS9" s="449"/>
      <c r="AT9" s="450"/>
      <c r="AU9" s="450"/>
      <c r="AV9" s="450"/>
      <c r="AW9" s="450"/>
      <c r="AX9" s="450"/>
      <c r="AY9" s="450"/>
      <c r="AZ9" s="366"/>
      <c r="BA9" s="366"/>
      <c r="BB9" s="366"/>
    </row>
    <row r="10" spans="1:63" s="343" customFormat="1" ht="46.5" customHeight="1">
      <c r="A10" s="345">
        <f t="shared" si="9"/>
        <v>6</v>
      </c>
      <c r="B10" s="345">
        <v>20045</v>
      </c>
      <c r="C10" s="345" t="s">
        <v>696</v>
      </c>
      <c r="D10" s="340">
        <f>1173866+35000*0</f>
        <v>1173866</v>
      </c>
      <c r="E10" s="340">
        <v>1173866</v>
      </c>
      <c r="F10" s="340">
        <f>+D10-E10</f>
        <v>0</v>
      </c>
      <c r="G10" s="340">
        <v>1024866</v>
      </c>
      <c r="H10" s="340">
        <v>773786</v>
      </c>
      <c r="I10" s="340">
        <v>0</v>
      </c>
      <c r="J10" s="340">
        <v>41715</v>
      </c>
      <c r="K10" s="340">
        <f t="shared" si="0"/>
        <v>41715</v>
      </c>
      <c r="L10" s="340">
        <f t="shared" si="1"/>
        <v>815501</v>
      </c>
      <c r="M10" s="340">
        <f>P10+S10-100000</f>
        <v>109365</v>
      </c>
      <c r="N10" s="340">
        <f>149000+35000-100000+100000</f>
        <v>184000</v>
      </c>
      <c r="O10" s="340">
        <f t="shared" si="3"/>
        <v>65000</v>
      </c>
      <c r="P10" s="340">
        <f t="shared" si="4"/>
        <v>209365</v>
      </c>
      <c r="Q10" s="356"/>
      <c r="R10" s="340"/>
      <c r="S10" s="340">
        <f t="shared" si="5"/>
        <v>0</v>
      </c>
      <c r="T10" s="340">
        <f t="shared" si="6"/>
        <v>100000</v>
      </c>
      <c r="U10" s="340">
        <f t="shared" si="7"/>
        <v>84000</v>
      </c>
      <c r="V10" s="340"/>
      <c r="W10" s="340">
        <f t="shared" si="8"/>
        <v>84000</v>
      </c>
      <c r="X10" s="340"/>
      <c r="Y10" s="340"/>
      <c r="Z10" s="340"/>
      <c r="AA10" s="339"/>
      <c r="AB10" s="339" t="s">
        <v>1516</v>
      </c>
      <c r="AC10" s="339">
        <v>829000</v>
      </c>
      <c r="AD10" s="447"/>
      <c r="AE10" s="447"/>
      <c r="AF10" s="447"/>
      <c r="AG10" s="447"/>
      <c r="AH10" s="447"/>
      <c r="AI10" s="447"/>
      <c r="AJ10" s="447"/>
      <c r="AK10" s="447"/>
      <c r="AL10" s="447"/>
      <c r="AM10" s="447"/>
      <c r="AN10" s="449"/>
      <c r="AO10" s="449"/>
      <c r="AP10" s="449"/>
      <c r="AQ10" s="449"/>
      <c r="AR10" s="449"/>
      <c r="AS10" s="449"/>
      <c r="AT10" s="450"/>
      <c r="AU10" s="450"/>
      <c r="AV10" s="450"/>
      <c r="AW10" s="450"/>
      <c r="AX10" s="450"/>
      <c r="AY10" s="450"/>
      <c r="AZ10" s="366"/>
      <c r="BA10" s="366"/>
      <c r="BB10" s="366"/>
    </row>
    <row r="11" spans="1:63" s="343" customFormat="1" ht="60">
      <c r="A11" s="345">
        <f t="shared" si="9"/>
        <v>7</v>
      </c>
      <c r="B11" s="345">
        <v>20124</v>
      </c>
      <c r="C11" s="127" t="s">
        <v>627</v>
      </c>
      <c r="D11" s="112">
        <v>5560000</v>
      </c>
      <c r="E11" s="112">
        <v>5560000</v>
      </c>
      <c r="F11" s="112">
        <f>D11-E11</f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f>I11+J11</f>
        <v>0</v>
      </c>
      <c r="L11" s="112">
        <f>H11+K11</f>
        <v>0</v>
      </c>
      <c r="M11" s="340">
        <f t="shared" si="2"/>
        <v>0</v>
      </c>
      <c r="N11" s="340">
        <f>5560000-5500000</f>
        <v>60000</v>
      </c>
      <c r="O11" s="326">
        <f>D11-L11-M11-N11</f>
        <v>5500000</v>
      </c>
      <c r="P11" s="326">
        <f>G11-L11</f>
        <v>0</v>
      </c>
      <c r="Q11" s="326"/>
      <c r="R11" s="112"/>
      <c r="S11" s="112">
        <f>SUM(Q11:R11)</f>
        <v>0</v>
      </c>
      <c r="T11" s="112">
        <f>P11-M11+S11</f>
        <v>0</v>
      </c>
      <c r="U11" s="112">
        <f>N11-T11</f>
        <v>60000</v>
      </c>
      <c r="V11" s="112"/>
      <c r="W11" s="340">
        <f>U11-V11-Z11-AA11-X11-Y11</f>
        <v>60000</v>
      </c>
      <c r="X11" s="112"/>
      <c r="Y11" s="112"/>
      <c r="Z11" s="112"/>
      <c r="AA11" s="112"/>
      <c r="AB11" s="339" t="s">
        <v>1318</v>
      </c>
      <c r="AC11" s="339">
        <v>829000</v>
      </c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9"/>
      <c r="AO11" s="449"/>
      <c r="AP11" s="449"/>
      <c r="AQ11" s="449"/>
      <c r="AR11" s="449"/>
      <c r="AS11" s="449"/>
      <c r="AT11" s="450"/>
      <c r="AU11" s="348"/>
      <c r="AV11" s="348"/>
      <c r="AW11" s="348"/>
      <c r="AX11" s="348"/>
      <c r="AY11" s="348"/>
      <c r="AZ11" s="348"/>
      <c r="BA11" s="348"/>
      <c r="BB11" s="348"/>
      <c r="BC11" s="256"/>
      <c r="BD11" s="256"/>
      <c r="BE11" s="256"/>
      <c r="BF11" s="256"/>
      <c r="BG11" s="256"/>
      <c r="BH11" s="256"/>
      <c r="BI11" s="256"/>
      <c r="BJ11" s="256"/>
      <c r="BK11" s="256"/>
    </row>
    <row r="12" spans="1:63" s="343" customFormat="1" ht="31.5" customHeight="1">
      <c r="A12" s="345">
        <f t="shared" si="9"/>
        <v>8</v>
      </c>
      <c r="B12" s="345">
        <v>20126</v>
      </c>
      <c r="C12" s="127" t="s">
        <v>674</v>
      </c>
      <c r="D12" s="112">
        <v>150000</v>
      </c>
      <c r="E12" s="112">
        <v>150000</v>
      </c>
      <c r="F12" s="112">
        <f>D12-E12</f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f>I12+J12</f>
        <v>0</v>
      </c>
      <c r="L12" s="112">
        <f>H12+K12</f>
        <v>0</v>
      </c>
      <c r="M12" s="340">
        <f t="shared" si="2"/>
        <v>150000</v>
      </c>
      <c r="N12" s="340"/>
      <c r="O12" s="112">
        <f>D12-L12-M12-N12</f>
        <v>0</v>
      </c>
      <c r="P12" s="112">
        <f>G12-L12</f>
        <v>0</v>
      </c>
      <c r="Q12" s="112">
        <v>150000</v>
      </c>
      <c r="R12" s="112"/>
      <c r="S12" s="112">
        <f>SUM(Q12:R12)</f>
        <v>150000</v>
      </c>
      <c r="T12" s="112">
        <f>P12-M12+S12</f>
        <v>0</v>
      </c>
      <c r="U12" s="112">
        <f>N12-T12</f>
        <v>0</v>
      </c>
      <c r="V12" s="112"/>
      <c r="W12" s="340">
        <f t="shared" si="8"/>
        <v>0</v>
      </c>
      <c r="X12" s="112"/>
      <c r="Y12" s="112"/>
      <c r="Z12" s="112"/>
      <c r="AA12" s="112"/>
      <c r="AB12" s="339" t="s">
        <v>675</v>
      </c>
      <c r="AC12" s="339">
        <v>829000</v>
      </c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9"/>
      <c r="AO12" s="449"/>
      <c r="AP12" s="449"/>
      <c r="AQ12" s="449"/>
      <c r="AR12" s="449"/>
      <c r="AS12" s="449"/>
      <c r="AT12" s="450"/>
      <c r="AU12" s="348"/>
      <c r="AV12" s="348"/>
      <c r="AW12" s="348"/>
      <c r="AX12" s="348"/>
      <c r="AY12" s="348"/>
      <c r="AZ12" s="348"/>
      <c r="BA12" s="348"/>
      <c r="BB12" s="348"/>
      <c r="BC12" s="256"/>
      <c r="BD12" s="256"/>
      <c r="BE12" s="256"/>
      <c r="BF12" s="256"/>
      <c r="BG12" s="256"/>
      <c r="BH12" s="256"/>
      <c r="BI12" s="256"/>
      <c r="BJ12" s="256"/>
      <c r="BK12" s="256"/>
    </row>
    <row r="13" spans="1:63" s="343" customFormat="1" ht="67.5" customHeight="1">
      <c r="A13" s="345">
        <f t="shared" si="9"/>
        <v>9</v>
      </c>
      <c r="B13" s="345">
        <v>20170</v>
      </c>
      <c r="C13" s="127" t="s">
        <v>852</v>
      </c>
      <c r="D13" s="112">
        <v>1080000</v>
      </c>
      <c r="E13" s="112"/>
      <c r="F13" s="112">
        <f t="shared" ref="F13:F14" si="10">D13-E13</f>
        <v>1080000</v>
      </c>
      <c r="G13" s="112">
        <v>0</v>
      </c>
      <c r="H13" s="112"/>
      <c r="I13" s="112"/>
      <c r="J13" s="112"/>
      <c r="K13" s="112">
        <f t="shared" ref="K13:K14" si="11">I13+J13</f>
        <v>0</v>
      </c>
      <c r="L13" s="112">
        <f t="shared" ref="L13:L14" si="12">H13+K13</f>
        <v>0</v>
      </c>
      <c r="M13" s="112">
        <f t="shared" ref="M13:M14" si="13">P13+S13</f>
        <v>0</v>
      </c>
      <c r="N13" s="112">
        <f>405000-200000</f>
        <v>205000</v>
      </c>
      <c r="O13" s="112">
        <f t="shared" ref="O13:O14" si="14">D13-L13-M13-N13</f>
        <v>875000</v>
      </c>
      <c r="P13" s="112">
        <f t="shared" ref="P13:P14" si="15">G13-L13</f>
        <v>0</v>
      </c>
      <c r="Q13" s="112"/>
      <c r="R13" s="112"/>
      <c r="S13" s="112">
        <f t="shared" ref="S13:S14" si="16">SUM(Q13:R13)</f>
        <v>0</v>
      </c>
      <c r="T13" s="112">
        <f t="shared" ref="T13:T14" si="17">P13-M13+S13</f>
        <v>0</v>
      </c>
      <c r="U13" s="112">
        <f t="shared" ref="U13:U14" si="18">N13-T13</f>
        <v>205000</v>
      </c>
      <c r="V13" s="112"/>
      <c r="W13" s="340">
        <f t="shared" si="8"/>
        <v>205000</v>
      </c>
      <c r="X13" s="112"/>
      <c r="Y13" s="112"/>
      <c r="Z13" s="112"/>
      <c r="AA13" s="112"/>
      <c r="AB13" s="339" t="s">
        <v>1279</v>
      </c>
      <c r="AC13" s="339">
        <v>829000</v>
      </c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256"/>
      <c r="BA13" s="256"/>
      <c r="BB13" s="256"/>
      <c r="BC13" s="256"/>
      <c r="BD13" s="256"/>
      <c r="BE13" s="256"/>
      <c r="BF13" s="256"/>
      <c r="BG13" s="256"/>
      <c r="BH13" s="256"/>
    </row>
    <row r="14" spans="1:63" s="343" customFormat="1" ht="31.5" customHeight="1">
      <c r="A14" s="345">
        <f t="shared" si="9"/>
        <v>10</v>
      </c>
      <c r="B14" s="345">
        <v>20171</v>
      </c>
      <c r="C14" s="127" t="s">
        <v>853</v>
      </c>
      <c r="D14" s="112">
        <v>540000</v>
      </c>
      <c r="E14" s="112"/>
      <c r="F14" s="112">
        <f t="shared" si="10"/>
        <v>540000</v>
      </c>
      <c r="G14" s="112">
        <v>0</v>
      </c>
      <c r="H14" s="112"/>
      <c r="I14" s="112"/>
      <c r="J14" s="112"/>
      <c r="K14" s="112">
        <f t="shared" si="11"/>
        <v>0</v>
      </c>
      <c r="L14" s="112">
        <f t="shared" si="12"/>
        <v>0</v>
      </c>
      <c r="M14" s="112">
        <f t="shared" si="13"/>
        <v>0</v>
      </c>
      <c r="N14" s="112">
        <v>540000</v>
      </c>
      <c r="O14" s="112">
        <f t="shared" si="14"/>
        <v>0</v>
      </c>
      <c r="P14" s="112">
        <f t="shared" si="15"/>
        <v>0</v>
      </c>
      <c r="Q14" s="112"/>
      <c r="R14" s="112"/>
      <c r="S14" s="112">
        <f t="shared" si="16"/>
        <v>0</v>
      </c>
      <c r="T14" s="112">
        <f t="shared" si="17"/>
        <v>0</v>
      </c>
      <c r="U14" s="112">
        <f t="shared" si="18"/>
        <v>540000</v>
      </c>
      <c r="V14" s="112"/>
      <c r="W14" s="340">
        <f t="shared" si="8"/>
        <v>540000</v>
      </c>
      <c r="X14" s="112"/>
      <c r="Y14" s="112"/>
      <c r="Z14" s="112"/>
      <c r="AA14" s="112"/>
      <c r="AB14" s="339" t="s">
        <v>1319</v>
      </c>
      <c r="AC14" s="339">
        <v>829000</v>
      </c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256"/>
      <c r="BA14" s="256"/>
      <c r="BB14" s="256"/>
      <c r="BC14" s="256"/>
      <c r="BD14" s="256"/>
      <c r="BE14" s="256"/>
      <c r="BF14" s="256"/>
      <c r="BG14" s="256"/>
      <c r="BH14" s="256"/>
    </row>
    <row r="15" spans="1:63" s="372" customFormat="1" ht="33" customHeight="1">
      <c r="A15" s="371">
        <f>COUNT(A5:A14)</f>
        <v>10</v>
      </c>
      <c r="B15" s="370"/>
      <c r="C15" s="208" t="s">
        <v>75</v>
      </c>
      <c r="D15" s="371">
        <f t="shared" ref="D15:AA15" si="19">SUM(D5:D14)</f>
        <v>20232866</v>
      </c>
      <c r="E15" s="371">
        <f t="shared" si="19"/>
        <v>18034866</v>
      </c>
      <c r="F15" s="371">
        <f t="shared" si="19"/>
        <v>2198000</v>
      </c>
      <c r="G15" s="371">
        <f t="shared" si="19"/>
        <v>11274866</v>
      </c>
      <c r="H15" s="371">
        <f t="shared" si="19"/>
        <v>10357039</v>
      </c>
      <c r="I15" s="371">
        <f t="shared" si="19"/>
        <v>0</v>
      </c>
      <c r="J15" s="371">
        <f t="shared" si="19"/>
        <v>310244</v>
      </c>
      <c r="K15" s="371">
        <f t="shared" si="19"/>
        <v>310244</v>
      </c>
      <c r="L15" s="371">
        <f t="shared" si="19"/>
        <v>10667283</v>
      </c>
      <c r="M15" s="371">
        <f t="shared" si="19"/>
        <v>630583</v>
      </c>
      <c r="N15" s="371">
        <f t="shared" si="19"/>
        <v>1674000</v>
      </c>
      <c r="O15" s="371">
        <f t="shared" si="19"/>
        <v>7261000</v>
      </c>
      <c r="P15" s="371">
        <f t="shared" si="19"/>
        <v>607583</v>
      </c>
      <c r="Q15" s="371">
        <f t="shared" si="19"/>
        <v>150000</v>
      </c>
      <c r="R15" s="371">
        <f t="shared" si="19"/>
        <v>0</v>
      </c>
      <c r="S15" s="371">
        <f t="shared" si="19"/>
        <v>150000</v>
      </c>
      <c r="T15" s="371">
        <f t="shared" si="19"/>
        <v>127000</v>
      </c>
      <c r="U15" s="371">
        <f t="shared" si="19"/>
        <v>1547000</v>
      </c>
      <c r="V15" s="371">
        <f t="shared" si="19"/>
        <v>0</v>
      </c>
      <c r="W15" s="371">
        <f t="shared" si="19"/>
        <v>1547000</v>
      </c>
      <c r="X15" s="371">
        <f t="shared" si="19"/>
        <v>0</v>
      </c>
      <c r="Y15" s="371">
        <f t="shared" si="19"/>
        <v>0</v>
      </c>
      <c r="Z15" s="371">
        <f t="shared" si="19"/>
        <v>0</v>
      </c>
      <c r="AA15" s="371">
        <f t="shared" si="19"/>
        <v>0</v>
      </c>
      <c r="AB15" s="370"/>
      <c r="AC15" s="370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9"/>
      <c r="AO15" s="449"/>
      <c r="AP15" s="449"/>
      <c r="AQ15" s="449"/>
      <c r="AR15" s="449"/>
      <c r="AS15" s="449"/>
      <c r="AT15" s="450"/>
      <c r="AU15" s="451"/>
      <c r="AV15" s="451"/>
      <c r="AW15" s="451"/>
      <c r="AX15" s="451"/>
      <c r="AY15" s="451"/>
      <c r="AZ15" s="366"/>
      <c r="BA15" s="366"/>
      <c r="BB15" s="366"/>
    </row>
    <row r="16" spans="1:63" hidden="1">
      <c r="D16" s="330">
        <f>SUM(L15:O15)</f>
        <v>20232866</v>
      </c>
      <c r="F16" s="330">
        <f>D15-E15</f>
        <v>2198000</v>
      </c>
      <c r="L16" s="330">
        <f>H15+K15</f>
        <v>10667283</v>
      </c>
      <c r="P16" s="330">
        <f>G15-L16</f>
        <v>607583</v>
      </c>
      <c r="Q16" s="330">
        <f>'ריכוז אגפים 2024'!AV11</f>
        <v>150000</v>
      </c>
      <c r="R16" s="330">
        <f>'עדכוני תקציב 2024'!AE126</f>
        <v>0</v>
      </c>
      <c r="T16" s="330">
        <f>P16+S15-M15</f>
        <v>127000</v>
      </c>
      <c r="U16" s="330">
        <f>N15-T16</f>
        <v>1547000</v>
      </c>
    </row>
    <row r="17" spans="1:54" s="338" customFormat="1" ht="21.75" customHeight="1">
      <c r="A17" s="337"/>
      <c r="C17" s="599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AB17" s="337"/>
      <c r="AD17" s="447"/>
      <c r="AE17" s="447"/>
      <c r="AF17" s="447"/>
      <c r="AG17" s="447"/>
      <c r="AH17" s="447"/>
      <c r="AI17" s="447"/>
      <c r="AJ17" s="447"/>
      <c r="AK17" s="447"/>
      <c r="AL17" s="447"/>
      <c r="AM17" s="447"/>
      <c r="AN17" s="601"/>
      <c r="AO17" s="601"/>
      <c r="AP17" s="601"/>
      <c r="AQ17" s="601"/>
      <c r="AR17" s="601"/>
      <c r="AS17" s="601"/>
      <c r="AT17" s="602"/>
      <c r="AU17" s="602"/>
      <c r="AV17" s="602"/>
      <c r="AW17" s="602"/>
      <c r="AX17" s="602"/>
      <c r="AY17" s="602"/>
      <c r="AZ17" s="603"/>
      <c r="BA17" s="603"/>
      <c r="BB17" s="603"/>
    </row>
    <row r="19" spans="1:54" ht="45.75" customHeight="1"/>
    <row r="21" spans="1:54" ht="47.25" customHeight="1"/>
    <row r="23" spans="1:54" ht="36.75" customHeight="1"/>
    <row r="27" spans="1:54" ht="45" customHeight="1"/>
    <row r="29" spans="1:54" ht="58.5" customHeight="1"/>
    <row r="30" spans="1:54" ht="50.25" customHeight="1"/>
    <row r="37" ht="51.75" customHeight="1"/>
    <row r="38" ht="35.25" customHeight="1"/>
    <row r="39" ht="31.5" customHeight="1"/>
    <row r="44" ht="37.5" customHeight="1"/>
    <row r="55" ht="48.75" customHeight="1"/>
    <row r="56" ht="31.5" customHeight="1"/>
    <row r="58" ht="45.75" customHeight="1"/>
    <row r="60" ht="33.75" customHeight="1"/>
    <row r="63" ht="27.75" customHeight="1"/>
    <row r="114" spans="1:1">
      <c r="A114" s="355">
        <f>COUNT(A5:A113)</f>
        <v>11</v>
      </c>
    </row>
    <row r="117" spans="1:1">
      <c r="A117" s="355">
        <f>A114+1</f>
        <v>12</v>
      </c>
    </row>
    <row r="120" spans="1:1" ht="37.9" customHeight="1"/>
    <row r="123" spans="1:1" ht="70.900000000000006" customHeight="1"/>
    <row r="126" spans="1:1" ht="72" customHeight="1"/>
    <row r="128" spans="1:1" ht="43.9" customHeight="1"/>
    <row r="130" ht="30" customHeight="1"/>
  </sheetData>
  <sheetProtection formatCells="0" formatColumns="0" formatRows="0" insertColumns="0" insertRows="0" insertHyperlinks="0" deleteColumns="0" deleteRows="0" sort="0" autoFilter="0" pivotTables="0"/>
  <conditionalFormatting sqref="A1:A2 BC1:XFD2 AU1:AY10 AN16:AY1048576 AN1:AT12">
    <cfRule type="cellIs" dxfId="344" priority="9" operator="equal">
      <formula>0</formula>
    </cfRule>
  </conditionalFormatting>
  <conditionalFormatting sqref="AX1:AX2">
    <cfRule type="cellIs" dxfId="343" priority="8" operator="equal">
      <formula>0</formula>
    </cfRule>
  </conditionalFormatting>
  <conditionalFormatting sqref="AU1:AY3">
    <cfRule type="cellIs" dxfId="342" priority="7" operator="equal">
      <formula>0</formula>
    </cfRule>
  </conditionalFormatting>
  <conditionalFormatting sqref="AN15:AY15">
    <cfRule type="cellIs" dxfId="341" priority="4" operator="equal">
      <formula>0</formula>
    </cfRule>
  </conditionalFormatting>
  <conditionalFormatting sqref="AU15:AY15">
    <cfRule type="cellIs" dxfId="340" priority="3" operator="equal">
      <formula>0</formula>
    </cfRule>
  </conditionalFormatting>
  <conditionalFormatting sqref="AG4:AL4">
    <cfRule type="cellIs" dxfId="339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3B956-C211-4471-9033-3174E7A74CE0}">
  <dimension ref="A1:BK130"/>
  <sheetViews>
    <sheetView showZeros="0" rightToLeft="1" zoomScaleNormal="100" workbookViewId="0">
      <pane xSplit="3" ySplit="4" topLeftCell="D11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9.140625" defaultRowHeight="18.75"/>
  <cols>
    <col min="1" max="1" width="3.7109375" style="355" customWidth="1"/>
    <col min="2" max="2" width="5.7109375" style="331" customWidth="1"/>
    <col min="3" max="3" width="18.28515625" style="331" customWidth="1"/>
    <col min="4" max="4" width="10.7109375" style="330" customWidth="1"/>
    <col min="5" max="5" width="10.7109375" style="330" hidden="1" customWidth="1"/>
    <col min="6" max="6" width="9.7109375" style="330" hidden="1" customWidth="1"/>
    <col min="7" max="8" width="10.140625" style="330" hidden="1" customWidth="1"/>
    <col min="9" max="11" width="9.7109375" style="330" hidden="1" customWidth="1"/>
    <col min="12" max="12" width="10.7109375" style="330" customWidth="1"/>
    <col min="13" max="13" width="8.5703125" style="330" customWidth="1"/>
    <col min="14" max="14" width="10.7109375" style="330" customWidth="1"/>
    <col min="15" max="15" width="8.85546875" style="330" customWidth="1"/>
    <col min="16" max="18" width="9.7109375" style="330" hidden="1" customWidth="1"/>
    <col min="19" max="19" width="8.85546875" style="330" hidden="1" customWidth="1"/>
    <col min="20" max="20" width="7.85546875" style="330" customWidth="1"/>
    <col min="21" max="21" width="9.140625" style="331" bestFit="1" customWidth="1"/>
    <col min="22" max="22" width="9.140625" style="331" hidden="1" customWidth="1"/>
    <col min="23" max="23" width="11.28515625" style="331" customWidth="1"/>
    <col min="24" max="26" width="8.5703125" style="331" hidden="1" customWidth="1"/>
    <col min="27" max="27" width="6.85546875" style="331" hidden="1" customWidth="1"/>
    <col min="28" max="28" width="38.85546875" style="355" customWidth="1"/>
    <col min="29" max="29" width="7.85546875" style="331" customWidth="1"/>
    <col min="30" max="31" width="15.85546875" style="447" customWidth="1"/>
    <col min="32" max="32" width="18" style="447" customWidth="1"/>
    <col min="33" max="33" width="34.42578125" style="447" customWidth="1"/>
    <col min="34" max="34" width="26.140625" style="447" customWidth="1"/>
    <col min="35" max="35" width="11.140625" style="447" customWidth="1"/>
    <col min="36" max="36" width="24.85546875" style="447" customWidth="1"/>
    <col min="37" max="37" width="16.5703125" style="447" customWidth="1"/>
    <col min="38" max="38" width="18" style="447" customWidth="1"/>
    <col min="39" max="39" width="34.42578125" style="447" customWidth="1"/>
    <col min="40" max="40" width="22" style="449" customWidth="1"/>
    <col min="41" max="41" width="10.7109375" style="449" customWidth="1"/>
    <col min="42" max="42" width="18.28515625" style="449" customWidth="1"/>
    <col min="43" max="43" width="20.5703125" style="449" customWidth="1"/>
    <col min="44" max="44" width="11.7109375" style="449" customWidth="1"/>
    <col min="45" max="45" width="22.7109375" style="449" customWidth="1"/>
    <col min="46" max="46" width="9.7109375" style="450" customWidth="1"/>
    <col min="47" max="49" width="10.7109375" style="450" customWidth="1"/>
    <col min="50" max="50" width="11.7109375" style="450" customWidth="1"/>
    <col min="51" max="51" width="10.7109375" style="450" customWidth="1"/>
    <col min="52" max="54" width="10.7109375" style="366" customWidth="1"/>
    <col min="55" max="16384" width="9.140625" style="331"/>
  </cols>
  <sheetData>
    <row r="1" spans="1:63" s="450" customFormat="1">
      <c r="A1" s="447"/>
      <c r="B1" s="447"/>
      <c r="C1" s="447"/>
      <c r="D1" s="448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9"/>
      <c r="AO1" s="449"/>
      <c r="AP1" s="449"/>
      <c r="AQ1" s="449"/>
      <c r="AR1" s="449"/>
      <c r="AS1" s="449"/>
      <c r="AZ1" s="366"/>
      <c r="BA1" s="366"/>
      <c r="BB1" s="366"/>
    </row>
    <row r="2" spans="1:63" s="450" customFormat="1">
      <c r="A2" s="447" t="s">
        <v>625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9"/>
      <c r="AO2" s="449"/>
      <c r="AP2" s="449"/>
      <c r="AQ2" s="449"/>
      <c r="AR2" s="449"/>
      <c r="AS2" s="449"/>
      <c r="AZ2" s="366"/>
      <c r="BA2" s="366"/>
      <c r="BB2" s="366"/>
    </row>
    <row r="3" spans="1:63" ht="20.45" customHeight="1">
      <c r="V3" s="447"/>
      <c r="W3" s="447"/>
      <c r="X3" s="447"/>
      <c r="Y3" s="447"/>
      <c r="Z3" s="447"/>
      <c r="AA3" s="447"/>
    </row>
    <row r="4" spans="1:63" s="366" customFormat="1" ht="75" customHeight="1">
      <c r="A4" s="122" t="s">
        <v>0</v>
      </c>
      <c r="B4" s="327" t="s">
        <v>328</v>
      </c>
      <c r="C4" s="327" t="s">
        <v>2</v>
      </c>
      <c r="D4" s="327" t="s">
        <v>72</v>
      </c>
      <c r="E4" s="327" t="s">
        <v>4</v>
      </c>
      <c r="F4" s="327" t="s">
        <v>5</v>
      </c>
      <c r="G4" s="327" t="s">
        <v>6</v>
      </c>
      <c r="H4" s="327" t="s">
        <v>7</v>
      </c>
      <c r="I4" s="327" t="s">
        <v>9</v>
      </c>
      <c r="J4" s="327" t="s">
        <v>101</v>
      </c>
      <c r="K4" s="327" t="s">
        <v>10</v>
      </c>
      <c r="L4" s="327" t="s">
        <v>11</v>
      </c>
      <c r="M4" s="327" t="s">
        <v>793</v>
      </c>
      <c r="N4" s="327" t="s">
        <v>794</v>
      </c>
      <c r="O4" s="328" t="s">
        <v>795</v>
      </c>
      <c r="P4" s="328" t="s">
        <v>12</v>
      </c>
      <c r="Q4" s="328" t="s">
        <v>571</v>
      </c>
      <c r="R4" s="328" t="s">
        <v>572</v>
      </c>
      <c r="S4" s="328" t="s">
        <v>805</v>
      </c>
      <c r="T4" s="328" t="s">
        <v>799</v>
      </c>
      <c r="U4" s="328" t="s">
        <v>800</v>
      </c>
      <c r="V4" s="327" t="s">
        <v>13</v>
      </c>
      <c r="W4" s="327" t="s">
        <v>14</v>
      </c>
      <c r="X4" s="327" t="s">
        <v>15</v>
      </c>
      <c r="Y4" s="327" t="s">
        <v>185</v>
      </c>
      <c r="Z4" s="327" t="s">
        <v>385</v>
      </c>
      <c r="AA4" s="327" t="s">
        <v>67</v>
      </c>
      <c r="AB4" s="327" t="s">
        <v>207</v>
      </c>
      <c r="AC4" s="327" t="s">
        <v>16</v>
      </c>
      <c r="AD4" s="447"/>
      <c r="AE4" s="447"/>
      <c r="AF4" s="447"/>
      <c r="AG4" s="447"/>
      <c r="AH4" s="447"/>
      <c r="AI4" s="447"/>
      <c r="AJ4" s="447"/>
      <c r="AK4" s="447"/>
      <c r="AL4" s="447"/>
      <c r="AM4" s="447"/>
      <c r="AN4" s="449"/>
      <c r="AO4" s="449"/>
      <c r="AP4" s="449"/>
      <c r="AQ4" s="449"/>
      <c r="AR4" s="449"/>
      <c r="AS4" s="449"/>
      <c r="AT4" s="450"/>
      <c r="AU4" s="450"/>
      <c r="AV4" s="450"/>
      <c r="AW4" s="450"/>
      <c r="AX4" s="450"/>
      <c r="AY4" s="450"/>
    </row>
    <row r="5" spans="1:63" s="343" customFormat="1" ht="40.5" customHeight="1">
      <c r="A5" s="345">
        <v>1</v>
      </c>
      <c r="B5" s="339">
        <v>1582</v>
      </c>
      <c r="C5" s="339" t="s">
        <v>43</v>
      </c>
      <c r="D5" s="340">
        <f>2055000+294000-294000</f>
        <v>2055000</v>
      </c>
      <c r="E5" s="340">
        <v>2055000</v>
      </c>
      <c r="F5" s="340">
        <f>+D5-E5</f>
        <v>0</v>
      </c>
      <c r="G5" s="340">
        <v>1234000</v>
      </c>
      <c r="H5" s="340">
        <v>1233918</v>
      </c>
      <c r="I5" s="340">
        <v>0</v>
      </c>
      <c r="J5" s="340">
        <v>0</v>
      </c>
      <c r="K5" s="340">
        <f t="shared" ref="K5:K10" si="0">I5+J5</f>
        <v>0</v>
      </c>
      <c r="L5" s="340">
        <f t="shared" ref="L5:L10" si="1">H5+K5</f>
        <v>1233918</v>
      </c>
      <c r="M5" s="340">
        <f t="shared" ref="M5:M14" si="2">P5+S5</f>
        <v>82</v>
      </c>
      <c r="N5" s="340">
        <f>750871+364079+50-1115000</f>
        <v>0</v>
      </c>
      <c r="O5" s="340">
        <f t="shared" ref="O5:O10" si="3">D5-L5-M5-N5</f>
        <v>821000</v>
      </c>
      <c r="P5" s="340">
        <f t="shared" ref="P5:P10" si="4">G5-L5</f>
        <v>82</v>
      </c>
      <c r="Q5" s="356"/>
      <c r="R5" s="340"/>
      <c r="S5" s="340">
        <f t="shared" ref="S5:S10" si="5">SUM(Q5:R5)</f>
        <v>0</v>
      </c>
      <c r="T5" s="340">
        <f t="shared" ref="T5:T10" si="6">P5-M5+S5</f>
        <v>0</v>
      </c>
      <c r="U5" s="340">
        <f t="shared" ref="U5:U10" si="7">N5-T5</f>
        <v>0</v>
      </c>
      <c r="V5" s="340"/>
      <c r="W5" s="340">
        <f>U5-V5-Z5-AA5-X5-Y5</f>
        <v>0</v>
      </c>
      <c r="X5" s="340"/>
      <c r="Y5" s="340"/>
      <c r="Z5" s="340"/>
      <c r="AA5" s="339"/>
      <c r="AB5" s="357" t="s">
        <v>1028</v>
      </c>
      <c r="AC5" s="339">
        <v>829000</v>
      </c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9"/>
      <c r="AO5" s="449"/>
      <c r="AP5" s="449"/>
      <c r="AQ5" s="449"/>
      <c r="AR5" s="449"/>
      <c r="AS5" s="449"/>
      <c r="AT5" s="450"/>
      <c r="AU5" s="450"/>
      <c r="AV5" s="450"/>
      <c r="AW5" s="450"/>
      <c r="AX5" s="450"/>
      <c r="AY5" s="450"/>
      <c r="AZ5" s="366"/>
      <c r="BA5" s="366"/>
      <c r="BB5" s="366"/>
    </row>
    <row r="6" spans="1:63" s="343" customFormat="1" ht="45" customHeight="1">
      <c r="A6" s="345">
        <f>1+A5</f>
        <v>2</v>
      </c>
      <c r="B6" s="339">
        <v>1678</v>
      </c>
      <c r="C6" s="339" t="s">
        <v>269</v>
      </c>
      <c r="D6" s="340">
        <f>2565000+200000</f>
        <v>2765000</v>
      </c>
      <c r="E6" s="340">
        <v>2565000</v>
      </c>
      <c r="F6" s="340">
        <f>+D6-E6</f>
        <v>200000</v>
      </c>
      <c r="G6" s="340">
        <v>2565000</v>
      </c>
      <c r="H6" s="340">
        <v>2378571</v>
      </c>
      <c r="I6" s="340">
        <v>0</v>
      </c>
      <c r="J6" s="340">
        <v>107017</v>
      </c>
      <c r="K6" s="340">
        <f t="shared" si="0"/>
        <v>107017</v>
      </c>
      <c r="L6" s="340">
        <f t="shared" si="1"/>
        <v>2485588</v>
      </c>
      <c r="M6" s="340">
        <f t="shared" si="2"/>
        <v>79412</v>
      </c>
      <c r="N6" s="340">
        <f>280000-80000</f>
        <v>200000</v>
      </c>
      <c r="O6" s="340">
        <f t="shared" si="3"/>
        <v>0</v>
      </c>
      <c r="P6" s="340">
        <f t="shared" si="4"/>
        <v>79412</v>
      </c>
      <c r="Q6" s="356"/>
      <c r="R6" s="340"/>
      <c r="S6" s="340">
        <f t="shared" si="5"/>
        <v>0</v>
      </c>
      <c r="T6" s="340">
        <f t="shared" si="6"/>
        <v>0</v>
      </c>
      <c r="U6" s="340">
        <f t="shared" si="7"/>
        <v>200000</v>
      </c>
      <c r="V6" s="340"/>
      <c r="W6" s="340">
        <f t="shared" ref="W6:W14" si="8">U6-V6-Z6-AA6-X6-Y6</f>
        <v>200000</v>
      </c>
      <c r="X6" s="340"/>
      <c r="Y6" s="340"/>
      <c r="Z6" s="340"/>
      <c r="AA6" s="339"/>
      <c r="AB6" s="339" t="s">
        <v>851</v>
      </c>
      <c r="AC6" s="339">
        <v>829000</v>
      </c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9"/>
      <c r="AO6" s="449"/>
      <c r="AP6" s="449"/>
      <c r="AQ6" s="449"/>
      <c r="AR6" s="449"/>
      <c r="AS6" s="449"/>
      <c r="AT6" s="450"/>
      <c r="AU6" s="450"/>
      <c r="AV6" s="450"/>
      <c r="AW6" s="450"/>
      <c r="AX6" s="450"/>
      <c r="AY6" s="450"/>
      <c r="AZ6" s="366"/>
      <c r="BA6" s="366"/>
      <c r="BB6" s="366"/>
    </row>
    <row r="7" spans="1:63" s="343" customFormat="1" ht="36.75" customHeight="1">
      <c r="A7" s="345">
        <f t="shared" ref="A7:A14" si="9">1+A6</f>
        <v>3</v>
      </c>
      <c r="B7" s="358">
        <v>2004</v>
      </c>
      <c r="C7" s="339" t="s">
        <v>103</v>
      </c>
      <c r="D7" s="340">
        <f>1585000+172000+93000-27000</f>
        <v>1823000</v>
      </c>
      <c r="E7" s="340">
        <v>1585000</v>
      </c>
      <c r="F7" s="340">
        <f>+D7-E7</f>
        <v>238000</v>
      </c>
      <c r="G7" s="340">
        <v>1585000</v>
      </c>
      <c r="H7" s="340">
        <v>1465113</v>
      </c>
      <c r="I7" s="340">
        <v>0</v>
      </c>
      <c r="J7" s="340">
        <v>92871</v>
      </c>
      <c r="K7" s="340">
        <f t="shared" si="0"/>
        <v>92871</v>
      </c>
      <c r="L7" s="340">
        <f t="shared" si="1"/>
        <v>1557984</v>
      </c>
      <c r="M7" s="340">
        <f>P7+S7-27000</f>
        <v>16</v>
      </c>
      <c r="N7" s="340">
        <f>150000+62000+53000</f>
        <v>265000</v>
      </c>
      <c r="O7" s="340">
        <f t="shared" si="3"/>
        <v>0</v>
      </c>
      <c r="P7" s="340">
        <f t="shared" si="4"/>
        <v>27016</v>
      </c>
      <c r="Q7" s="340"/>
      <c r="R7" s="340"/>
      <c r="S7" s="340">
        <f t="shared" si="5"/>
        <v>0</v>
      </c>
      <c r="T7" s="340">
        <f t="shared" si="6"/>
        <v>27000</v>
      </c>
      <c r="U7" s="340">
        <f t="shared" si="7"/>
        <v>238000</v>
      </c>
      <c r="V7" s="340"/>
      <c r="W7" s="340">
        <f t="shared" si="8"/>
        <v>238000</v>
      </c>
      <c r="X7" s="340"/>
      <c r="Y7" s="340"/>
      <c r="Z7" s="340"/>
      <c r="AA7" s="339"/>
      <c r="AB7" s="339" t="s">
        <v>1276</v>
      </c>
      <c r="AC7" s="339">
        <v>829000</v>
      </c>
      <c r="AD7" s="447"/>
      <c r="AE7" s="447"/>
      <c r="AF7" s="447"/>
      <c r="AG7" s="447"/>
      <c r="AH7" s="447"/>
      <c r="AI7" s="447"/>
      <c r="AJ7" s="447"/>
      <c r="AK7" s="447"/>
      <c r="AL7" s="447"/>
      <c r="AM7" s="447"/>
      <c r="AN7" s="449"/>
      <c r="AO7" s="449"/>
      <c r="AP7" s="449"/>
      <c r="AQ7" s="449"/>
      <c r="AR7" s="449"/>
      <c r="AS7" s="449"/>
      <c r="AT7" s="450"/>
      <c r="AU7" s="450"/>
      <c r="AV7" s="450"/>
      <c r="AW7" s="450"/>
      <c r="AX7" s="450"/>
      <c r="AY7" s="450"/>
      <c r="AZ7" s="366"/>
      <c r="BA7" s="366"/>
      <c r="BB7" s="366"/>
    </row>
    <row r="8" spans="1:63" s="343" customFormat="1" ht="42" customHeight="1">
      <c r="A8" s="345">
        <f t="shared" si="9"/>
        <v>4</v>
      </c>
      <c r="B8" s="358">
        <v>2060</v>
      </c>
      <c r="C8" s="339" t="s">
        <v>268</v>
      </c>
      <c r="D8" s="340">
        <f>3101000+140000</f>
        <v>3241000</v>
      </c>
      <c r="E8" s="340">
        <v>3101000</v>
      </c>
      <c r="F8" s="340">
        <f>+D8-E8</f>
        <v>140000</v>
      </c>
      <c r="G8" s="340">
        <v>3021000</v>
      </c>
      <c r="H8" s="340">
        <v>3020658</v>
      </c>
      <c r="I8" s="340">
        <v>0</v>
      </c>
      <c r="J8" s="340">
        <v>0</v>
      </c>
      <c r="K8" s="340">
        <f t="shared" si="0"/>
        <v>0</v>
      </c>
      <c r="L8" s="340">
        <f t="shared" si="1"/>
        <v>3020658</v>
      </c>
      <c r="M8" s="340">
        <f t="shared" si="2"/>
        <v>342</v>
      </c>
      <c r="N8" s="340">
        <v>220000</v>
      </c>
      <c r="O8" s="340">
        <f t="shared" si="3"/>
        <v>0</v>
      </c>
      <c r="P8" s="340">
        <f t="shared" si="4"/>
        <v>342</v>
      </c>
      <c r="Q8" s="356"/>
      <c r="R8" s="340"/>
      <c r="S8" s="340">
        <f>SUM(Q8:R8)</f>
        <v>0</v>
      </c>
      <c r="T8" s="340">
        <f t="shared" si="6"/>
        <v>0</v>
      </c>
      <c r="U8" s="340">
        <f t="shared" si="7"/>
        <v>220000</v>
      </c>
      <c r="V8" s="340"/>
      <c r="W8" s="340">
        <f t="shared" si="8"/>
        <v>220000</v>
      </c>
      <c r="X8" s="340"/>
      <c r="Y8" s="340"/>
      <c r="Z8" s="340"/>
      <c r="AA8" s="339"/>
      <c r="AB8" s="339" t="s">
        <v>1277</v>
      </c>
      <c r="AC8" s="339">
        <v>829000</v>
      </c>
      <c r="AD8" s="447"/>
      <c r="AE8" s="447"/>
      <c r="AF8" s="447"/>
      <c r="AG8" s="447"/>
      <c r="AH8" s="447"/>
      <c r="AI8" s="447"/>
      <c r="AJ8" s="447"/>
      <c r="AK8" s="447"/>
      <c r="AL8" s="447"/>
      <c r="AM8" s="447"/>
      <c r="AN8" s="449"/>
      <c r="AO8" s="449"/>
      <c r="AP8" s="449"/>
      <c r="AQ8" s="449"/>
      <c r="AR8" s="449"/>
      <c r="AS8" s="449"/>
      <c r="AT8" s="450"/>
      <c r="AU8" s="450"/>
      <c r="AV8" s="450"/>
      <c r="AW8" s="450"/>
      <c r="AX8" s="450"/>
      <c r="AY8" s="450"/>
      <c r="AZ8" s="366"/>
      <c r="BA8" s="366"/>
      <c r="BB8" s="366"/>
    </row>
    <row r="9" spans="1:63" s="343" customFormat="1" ht="53.25" customHeight="1">
      <c r="A9" s="345">
        <f t="shared" si="9"/>
        <v>5</v>
      </c>
      <c r="B9" s="345">
        <v>20033</v>
      </c>
      <c r="C9" s="339" t="s">
        <v>492</v>
      </c>
      <c r="D9" s="340">
        <v>1845000</v>
      </c>
      <c r="E9" s="340">
        <v>1845000</v>
      </c>
      <c r="F9" s="340">
        <f>D9-E9</f>
        <v>0</v>
      </c>
      <c r="G9" s="340">
        <v>1845000</v>
      </c>
      <c r="H9" s="340">
        <v>1484993</v>
      </c>
      <c r="I9" s="340">
        <v>0</v>
      </c>
      <c r="J9" s="340">
        <v>68641</v>
      </c>
      <c r="K9" s="340">
        <f t="shared" si="0"/>
        <v>68641</v>
      </c>
      <c r="L9" s="340">
        <f t="shared" si="1"/>
        <v>1553634</v>
      </c>
      <c r="M9" s="340">
        <f t="shared" si="2"/>
        <v>291366</v>
      </c>
      <c r="N9" s="340">
        <v>0</v>
      </c>
      <c r="O9" s="340">
        <f t="shared" si="3"/>
        <v>0</v>
      </c>
      <c r="P9" s="340">
        <f t="shared" si="4"/>
        <v>291366</v>
      </c>
      <c r="Q9" s="356"/>
      <c r="R9" s="340"/>
      <c r="S9" s="340">
        <f t="shared" si="5"/>
        <v>0</v>
      </c>
      <c r="T9" s="340">
        <f t="shared" si="6"/>
        <v>0</v>
      </c>
      <c r="U9" s="340">
        <f t="shared" si="7"/>
        <v>0</v>
      </c>
      <c r="V9" s="340"/>
      <c r="W9" s="340">
        <f t="shared" si="8"/>
        <v>0</v>
      </c>
      <c r="X9" s="340"/>
      <c r="Y9" s="340"/>
      <c r="Z9" s="340"/>
      <c r="AA9" s="339"/>
      <c r="AB9" s="339" t="s">
        <v>626</v>
      </c>
      <c r="AC9" s="339">
        <v>829000</v>
      </c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9"/>
      <c r="AO9" s="449"/>
      <c r="AP9" s="449"/>
      <c r="AQ9" s="449"/>
      <c r="AR9" s="449"/>
      <c r="AS9" s="449"/>
      <c r="AT9" s="450"/>
      <c r="AU9" s="450"/>
      <c r="AV9" s="450"/>
      <c r="AW9" s="450"/>
      <c r="AX9" s="450"/>
      <c r="AY9" s="450"/>
      <c r="AZ9" s="366"/>
      <c r="BA9" s="366"/>
      <c r="BB9" s="366"/>
    </row>
    <row r="10" spans="1:63" s="343" customFormat="1" ht="46.5" customHeight="1">
      <c r="A10" s="345">
        <f t="shared" si="9"/>
        <v>6</v>
      </c>
      <c r="B10" s="345">
        <v>20045</v>
      </c>
      <c r="C10" s="345" t="s">
        <v>696</v>
      </c>
      <c r="D10" s="340">
        <f>1173866+35000*0</f>
        <v>1173866</v>
      </c>
      <c r="E10" s="340">
        <v>1173866</v>
      </c>
      <c r="F10" s="340">
        <f>+D10-E10</f>
        <v>0</v>
      </c>
      <c r="G10" s="340">
        <v>1024866</v>
      </c>
      <c r="H10" s="340">
        <v>773786</v>
      </c>
      <c r="I10" s="340">
        <v>0</v>
      </c>
      <c r="J10" s="340">
        <v>41715</v>
      </c>
      <c r="K10" s="340">
        <f t="shared" si="0"/>
        <v>41715</v>
      </c>
      <c r="L10" s="340">
        <f t="shared" si="1"/>
        <v>815501</v>
      </c>
      <c r="M10" s="340">
        <f>P10+S10-100000</f>
        <v>109365</v>
      </c>
      <c r="N10" s="340">
        <f>149000+35000-100000+100000</f>
        <v>184000</v>
      </c>
      <c r="O10" s="340">
        <f t="shared" si="3"/>
        <v>65000</v>
      </c>
      <c r="P10" s="340">
        <f t="shared" si="4"/>
        <v>209365</v>
      </c>
      <c r="Q10" s="356"/>
      <c r="R10" s="340"/>
      <c r="S10" s="340">
        <f t="shared" si="5"/>
        <v>0</v>
      </c>
      <c r="T10" s="340">
        <f t="shared" si="6"/>
        <v>100000</v>
      </c>
      <c r="U10" s="340">
        <f t="shared" si="7"/>
        <v>84000</v>
      </c>
      <c r="V10" s="340"/>
      <c r="W10" s="340">
        <f t="shared" si="8"/>
        <v>84000</v>
      </c>
      <c r="X10" s="340"/>
      <c r="Y10" s="340"/>
      <c r="Z10" s="340"/>
      <c r="AA10" s="339"/>
      <c r="AB10" s="339" t="s">
        <v>1278</v>
      </c>
      <c r="AC10" s="339">
        <v>829000</v>
      </c>
      <c r="AD10" s="447"/>
      <c r="AE10" s="447"/>
      <c r="AF10" s="447"/>
      <c r="AG10" s="447"/>
      <c r="AH10" s="447"/>
      <c r="AI10" s="447"/>
      <c r="AJ10" s="447"/>
      <c r="AK10" s="447"/>
      <c r="AL10" s="447"/>
      <c r="AM10" s="447"/>
      <c r="AN10" s="449"/>
      <c r="AO10" s="449"/>
      <c r="AP10" s="449"/>
      <c r="AQ10" s="449"/>
      <c r="AR10" s="449"/>
      <c r="AS10" s="449"/>
      <c r="AT10" s="450"/>
      <c r="AU10" s="450"/>
      <c r="AV10" s="450"/>
      <c r="AW10" s="450"/>
      <c r="AX10" s="450"/>
      <c r="AY10" s="450"/>
      <c r="AZ10" s="366"/>
      <c r="BA10" s="366"/>
      <c r="BB10" s="366"/>
    </row>
    <row r="11" spans="1:63" s="343" customFormat="1" ht="72.75" customHeight="1">
      <c r="A11" s="345">
        <f t="shared" si="9"/>
        <v>7</v>
      </c>
      <c r="B11" s="345">
        <v>20124</v>
      </c>
      <c r="C11" s="127" t="s">
        <v>627</v>
      </c>
      <c r="D11" s="112">
        <v>5560000</v>
      </c>
      <c r="E11" s="112">
        <v>5560000</v>
      </c>
      <c r="F11" s="112">
        <f>D11-E11</f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f>I11+J11</f>
        <v>0</v>
      </c>
      <c r="L11" s="112">
        <f>H11+K11</f>
        <v>0</v>
      </c>
      <c r="M11" s="340">
        <f t="shared" si="2"/>
        <v>0</v>
      </c>
      <c r="N11" s="340">
        <f>5560000-5500000</f>
        <v>60000</v>
      </c>
      <c r="O11" s="326">
        <f>D11-L11-M11-N11</f>
        <v>5500000</v>
      </c>
      <c r="P11" s="326">
        <f>G11-L11</f>
        <v>0</v>
      </c>
      <c r="Q11" s="326"/>
      <c r="R11" s="112"/>
      <c r="S11" s="112">
        <f>SUM(Q11:R11)</f>
        <v>0</v>
      </c>
      <c r="T11" s="112">
        <f>P11-M11+S11</f>
        <v>0</v>
      </c>
      <c r="U11" s="112">
        <f>N11-T11</f>
        <v>60000</v>
      </c>
      <c r="V11" s="112"/>
      <c r="W11" s="340">
        <f>U11-V11-Z11-AA11-X11-Y11</f>
        <v>60000</v>
      </c>
      <c r="X11" s="112"/>
      <c r="Y11" s="112"/>
      <c r="Z11" s="112"/>
      <c r="AA11" s="112"/>
      <c r="AB11" s="339" t="s">
        <v>1318</v>
      </c>
      <c r="AC11" s="339">
        <v>829000</v>
      </c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9"/>
      <c r="AO11" s="449"/>
      <c r="AP11" s="449"/>
      <c r="AQ11" s="449"/>
      <c r="AR11" s="449"/>
      <c r="AS11" s="449"/>
      <c r="AT11" s="450"/>
      <c r="AU11" s="348"/>
      <c r="AV11" s="348"/>
      <c r="AW11" s="348"/>
      <c r="AX11" s="348"/>
      <c r="AY11" s="348"/>
      <c r="AZ11" s="348"/>
      <c r="BA11" s="348"/>
      <c r="BB11" s="348"/>
      <c r="BC11" s="256"/>
      <c r="BD11" s="256"/>
      <c r="BE11" s="256"/>
      <c r="BF11" s="256"/>
      <c r="BG11" s="256"/>
      <c r="BH11" s="256"/>
      <c r="BI11" s="256"/>
      <c r="BJ11" s="256"/>
      <c r="BK11" s="256"/>
    </row>
    <row r="12" spans="1:63" s="343" customFormat="1" ht="31.5" customHeight="1">
      <c r="A12" s="345">
        <f t="shared" si="9"/>
        <v>8</v>
      </c>
      <c r="B12" s="345">
        <v>20126</v>
      </c>
      <c r="C12" s="127" t="s">
        <v>674</v>
      </c>
      <c r="D12" s="112">
        <v>150000</v>
      </c>
      <c r="E12" s="112">
        <v>150000</v>
      </c>
      <c r="F12" s="112">
        <f>D12-E12</f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f>I12+J12</f>
        <v>0</v>
      </c>
      <c r="L12" s="112">
        <f>H12+K12</f>
        <v>0</v>
      </c>
      <c r="M12" s="340">
        <f t="shared" si="2"/>
        <v>150000</v>
      </c>
      <c r="N12" s="340"/>
      <c r="O12" s="112">
        <f>D12-L12-M12-N12</f>
        <v>0</v>
      </c>
      <c r="P12" s="112">
        <f>G12-L12</f>
        <v>0</v>
      </c>
      <c r="Q12" s="112">
        <v>150000</v>
      </c>
      <c r="R12" s="112"/>
      <c r="S12" s="112">
        <f>SUM(Q12:R12)</f>
        <v>150000</v>
      </c>
      <c r="T12" s="112">
        <f>P12-M12+S12</f>
        <v>0</v>
      </c>
      <c r="U12" s="112">
        <f>N12-T12</f>
        <v>0</v>
      </c>
      <c r="V12" s="112"/>
      <c r="W12" s="340">
        <f t="shared" si="8"/>
        <v>0</v>
      </c>
      <c r="X12" s="112"/>
      <c r="Y12" s="112"/>
      <c r="Z12" s="112"/>
      <c r="AA12" s="112"/>
      <c r="AB12" s="339" t="s">
        <v>675</v>
      </c>
      <c r="AC12" s="339">
        <v>829000</v>
      </c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9"/>
      <c r="AO12" s="449"/>
      <c r="AP12" s="449"/>
      <c r="AQ12" s="449"/>
      <c r="AR12" s="449"/>
      <c r="AS12" s="449"/>
      <c r="AT12" s="450"/>
      <c r="AU12" s="348"/>
      <c r="AV12" s="348"/>
      <c r="AW12" s="348"/>
      <c r="AX12" s="348"/>
      <c r="AY12" s="348"/>
      <c r="AZ12" s="348"/>
      <c r="BA12" s="348"/>
      <c r="BB12" s="348"/>
      <c r="BC12" s="256"/>
      <c r="BD12" s="256"/>
      <c r="BE12" s="256"/>
      <c r="BF12" s="256"/>
      <c r="BG12" s="256"/>
      <c r="BH12" s="256"/>
      <c r="BI12" s="256"/>
      <c r="BJ12" s="256"/>
      <c r="BK12" s="256"/>
    </row>
    <row r="13" spans="1:63" s="343" customFormat="1" ht="67.5" customHeight="1">
      <c r="A13" s="345">
        <f t="shared" si="9"/>
        <v>9</v>
      </c>
      <c r="B13" s="345">
        <v>20170</v>
      </c>
      <c r="C13" s="127" t="s">
        <v>852</v>
      </c>
      <c r="D13" s="112">
        <v>1080000</v>
      </c>
      <c r="E13" s="112"/>
      <c r="F13" s="112">
        <f t="shared" ref="F13:F14" si="10">D13-E13</f>
        <v>1080000</v>
      </c>
      <c r="G13" s="112">
        <v>0</v>
      </c>
      <c r="H13" s="112"/>
      <c r="I13" s="112"/>
      <c r="J13" s="112"/>
      <c r="K13" s="112">
        <f t="shared" ref="K13:K14" si="11">I13+J13</f>
        <v>0</v>
      </c>
      <c r="L13" s="112">
        <f t="shared" ref="L13:L14" si="12">H13+K13</f>
        <v>0</v>
      </c>
      <c r="M13" s="112">
        <f t="shared" si="2"/>
        <v>0</v>
      </c>
      <c r="N13" s="112">
        <f>405000-200000</f>
        <v>205000</v>
      </c>
      <c r="O13" s="112">
        <f t="shared" ref="O13:O14" si="13">D13-L13-M13-N13</f>
        <v>875000</v>
      </c>
      <c r="P13" s="112">
        <f t="shared" ref="P13:P14" si="14">G13-L13</f>
        <v>0</v>
      </c>
      <c r="Q13" s="112"/>
      <c r="R13" s="112"/>
      <c r="S13" s="112">
        <f t="shared" ref="S13:S14" si="15">SUM(Q13:R13)</f>
        <v>0</v>
      </c>
      <c r="T13" s="112">
        <f t="shared" ref="T13:T14" si="16">P13-M13+S13</f>
        <v>0</v>
      </c>
      <c r="U13" s="112">
        <f t="shared" ref="U13:U14" si="17">N13-T13</f>
        <v>205000</v>
      </c>
      <c r="V13" s="112"/>
      <c r="W13" s="340">
        <f t="shared" si="8"/>
        <v>205000</v>
      </c>
      <c r="X13" s="112"/>
      <c r="Y13" s="112"/>
      <c r="Z13" s="112"/>
      <c r="AA13" s="112"/>
      <c r="AB13" s="339" t="s">
        <v>1279</v>
      </c>
      <c r="AC13" s="339">
        <v>829000</v>
      </c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256"/>
      <c r="BA13" s="256"/>
      <c r="BB13" s="256"/>
      <c r="BC13" s="256"/>
      <c r="BD13" s="256"/>
      <c r="BE13" s="256"/>
      <c r="BF13" s="256"/>
      <c r="BG13" s="256"/>
      <c r="BH13" s="256"/>
    </row>
    <row r="14" spans="1:63" s="343" customFormat="1" ht="31.5" customHeight="1">
      <c r="A14" s="345">
        <f t="shared" si="9"/>
        <v>10</v>
      </c>
      <c r="B14" s="345">
        <v>20171</v>
      </c>
      <c r="C14" s="127" t="s">
        <v>853</v>
      </c>
      <c r="D14" s="112">
        <v>540000</v>
      </c>
      <c r="E14" s="112"/>
      <c r="F14" s="112">
        <f t="shared" si="10"/>
        <v>540000</v>
      </c>
      <c r="G14" s="112">
        <v>0</v>
      </c>
      <c r="H14" s="112"/>
      <c r="I14" s="112"/>
      <c r="J14" s="112"/>
      <c r="K14" s="112">
        <f t="shared" si="11"/>
        <v>0</v>
      </c>
      <c r="L14" s="112">
        <f t="shared" si="12"/>
        <v>0</v>
      </c>
      <c r="M14" s="112">
        <f t="shared" si="2"/>
        <v>0</v>
      </c>
      <c r="N14" s="112">
        <v>540000</v>
      </c>
      <c r="O14" s="112">
        <f t="shared" si="13"/>
        <v>0</v>
      </c>
      <c r="P14" s="112">
        <f t="shared" si="14"/>
        <v>0</v>
      </c>
      <c r="Q14" s="112"/>
      <c r="R14" s="112"/>
      <c r="S14" s="112">
        <f t="shared" si="15"/>
        <v>0</v>
      </c>
      <c r="T14" s="112">
        <f t="shared" si="16"/>
        <v>0</v>
      </c>
      <c r="U14" s="112">
        <f t="shared" si="17"/>
        <v>540000</v>
      </c>
      <c r="V14" s="112"/>
      <c r="W14" s="340">
        <f t="shared" si="8"/>
        <v>540000</v>
      </c>
      <c r="X14" s="112"/>
      <c r="Y14" s="112"/>
      <c r="Z14" s="112"/>
      <c r="AA14" s="112"/>
      <c r="AB14" s="339" t="s">
        <v>1319</v>
      </c>
      <c r="AC14" s="339">
        <v>829000</v>
      </c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256"/>
      <c r="BA14" s="256"/>
      <c r="BB14" s="256"/>
      <c r="BC14" s="256"/>
      <c r="BD14" s="256"/>
      <c r="BE14" s="256"/>
      <c r="BF14" s="256"/>
      <c r="BG14" s="256"/>
      <c r="BH14" s="256"/>
    </row>
    <row r="15" spans="1:63" s="372" customFormat="1" ht="21.75" customHeight="1">
      <c r="A15" s="371">
        <f>COUNT(A5:A14)</f>
        <v>10</v>
      </c>
      <c r="B15" s="370"/>
      <c r="C15" s="208" t="s">
        <v>75</v>
      </c>
      <c r="D15" s="371">
        <f t="shared" ref="D15:AA15" si="18">SUM(D5:D14)</f>
        <v>20232866</v>
      </c>
      <c r="E15" s="371">
        <f t="shared" si="18"/>
        <v>18034866</v>
      </c>
      <c r="F15" s="371">
        <f t="shared" si="18"/>
        <v>2198000</v>
      </c>
      <c r="G15" s="371">
        <f t="shared" si="18"/>
        <v>11274866</v>
      </c>
      <c r="H15" s="371">
        <f t="shared" si="18"/>
        <v>10357039</v>
      </c>
      <c r="I15" s="371">
        <f t="shared" si="18"/>
        <v>0</v>
      </c>
      <c r="J15" s="371">
        <f t="shared" si="18"/>
        <v>310244</v>
      </c>
      <c r="K15" s="371">
        <f t="shared" si="18"/>
        <v>310244</v>
      </c>
      <c r="L15" s="371">
        <f t="shared" si="18"/>
        <v>10667283</v>
      </c>
      <c r="M15" s="371">
        <f t="shared" si="18"/>
        <v>630583</v>
      </c>
      <c r="N15" s="371">
        <f t="shared" si="18"/>
        <v>1674000</v>
      </c>
      <c r="O15" s="371">
        <f t="shared" si="18"/>
        <v>7261000</v>
      </c>
      <c r="P15" s="371">
        <f t="shared" si="18"/>
        <v>607583</v>
      </c>
      <c r="Q15" s="371">
        <f t="shared" si="18"/>
        <v>150000</v>
      </c>
      <c r="R15" s="371">
        <f t="shared" si="18"/>
        <v>0</v>
      </c>
      <c r="S15" s="371">
        <f t="shared" si="18"/>
        <v>150000</v>
      </c>
      <c r="T15" s="371">
        <f t="shared" si="18"/>
        <v>127000</v>
      </c>
      <c r="U15" s="371">
        <f t="shared" si="18"/>
        <v>1547000</v>
      </c>
      <c r="V15" s="371">
        <f t="shared" si="18"/>
        <v>0</v>
      </c>
      <c r="W15" s="371">
        <f t="shared" si="18"/>
        <v>1547000</v>
      </c>
      <c r="X15" s="371">
        <f t="shared" si="18"/>
        <v>0</v>
      </c>
      <c r="Y15" s="371">
        <f t="shared" si="18"/>
        <v>0</v>
      </c>
      <c r="Z15" s="371">
        <f t="shared" si="18"/>
        <v>0</v>
      </c>
      <c r="AA15" s="371">
        <f t="shared" si="18"/>
        <v>0</v>
      </c>
      <c r="AB15" s="370"/>
      <c r="AC15" s="370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9"/>
      <c r="AO15" s="449"/>
      <c r="AP15" s="449"/>
      <c r="AQ15" s="449"/>
      <c r="AR15" s="449"/>
      <c r="AS15" s="449"/>
      <c r="AT15" s="450"/>
      <c r="AU15" s="451"/>
      <c r="AV15" s="451"/>
      <c r="AW15" s="451"/>
      <c r="AX15" s="451"/>
      <c r="AY15" s="451"/>
      <c r="AZ15" s="366"/>
      <c r="BA15" s="366"/>
      <c r="BB15" s="366"/>
    </row>
    <row r="16" spans="1:63" hidden="1">
      <c r="D16" s="330">
        <f>SUM(L15:O15)</f>
        <v>20232866</v>
      </c>
      <c r="F16" s="330">
        <f>D15-E15</f>
        <v>2198000</v>
      </c>
      <c r="L16" s="330">
        <f>H15+K15</f>
        <v>10667283</v>
      </c>
      <c r="P16" s="330">
        <f>G15-L16</f>
        <v>607583</v>
      </c>
      <c r="Q16" s="330">
        <f>'ריכוז אגפים 2024'!AV11</f>
        <v>150000</v>
      </c>
      <c r="R16" s="330">
        <f>'עדכוני תקציב 2024'!AE126</f>
        <v>0</v>
      </c>
      <c r="T16" s="330">
        <f>P16+S15-M15</f>
        <v>127000</v>
      </c>
      <c r="U16" s="330">
        <f>N15-T16</f>
        <v>1547000</v>
      </c>
    </row>
    <row r="17" spans="1:54" s="338" customFormat="1" ht="21.75" customHeight="1">
      <c r="A17" s="337"/>
      <c r="C17" s="599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AB17" s="337"/>
      <c r="AD17" s="447"/>
      <c r="AE17" s="447"/>
      <c r="AF17" s="447"/>
      <c r="AG17" s="447"/>
      <c r="AH17" s="447"/>
      <c r="AI17" s="447"/>
      <c r="AJ17" s="447"/>
      <c r="AK17" s="447"/>
      <c r="AL17" s="447"/>
      <c r="AM17" s="447"/>
      <c r="AN17" s="601"/>
      <c r="AO17" s="601"/>
      <c r="AP17" s="601"/>
      <c r="AQ17" s="601"/>
      <c r="AR17" s="601"/>
      <c r="AS17" s="601"/>
      <c r="AT17" s="602"/>
      <c r="AU17" s="602"/>
      <c r="AV17" s="602"/>
      <c r="AW17" s="602"/>
      <c r="AX17" s="602"/>
      <c r="AY17" s="602"/>
      <c r="AZ17" s="603"/>
      <c r="BA17" s="603"/>
      <c r="BB17" s="603"/>
    </row>
    <row r="19" spans="1:54" ht="45.75" customHeight="1"/>
    <row r="21" spans="1:54" ht="47.25" customHeight="1"/>
    <row r="23" spans="1:54" ht="36.75" customHeight="1"/>
    <row r="27" spans="1:54" ht="45" customHeight="1"/>
    <row r="29" spans="1:54" ht="58.5" customHeight="1"/>
    <row r="30" spans="1:54" ht="50.25" customHeight="1"/>
    <row r="37" ht="51.75" customHeight="1"/>
    <row r="38" ht="35.25" customHeight="1"/>
    <row r="39" ht="31.5" customHeight="1"/>
    <row r="44" ht="37.5" customHeight="1"/>
    <row r="55" ht="48.75" customHeight="1"/>
    <row r="56" ht="31.5" customHeight="1"/>
    <row r="58" ht="45.75" customHeight="1"/>
    <row r="60" ht="33.75" customHeight="1"/>
    <row r="63" ht="27.75" customHeight="1"/>
    <row r="114" spans="1:1">
      <c r="A114" s="355">
        <f>COUNT(A5:A113)</f>
        <v>11</v>
      </c>
    </row>
    <row r="117" spans="1:1">
      <c r="A117" s="355">
        <f>A114+1</f>
        <v>12</v>
      </c>
    </row>
    <row r="120" spans="1:1" ht="37.9" customHeight="1"/>
    <row r="123" spans="1:1" ht="70.900000000000006" customHeight="1"/>
    <row r="126" spans="1:1" ht="72" customHeight="1"/>
    <row r="128" spans="1:1" ht="43.9" customHeight="1"/>
    <row r="130" ht="30" customHeight="1"/>
  </sheetData>
  <sheetProtection formatCells="0" formatColumns="0" formatRows="0" insertColumns="0" insertRows="0" insertHyperlinks="0" deleteColumns="0" deleteRows="0" sort="0" autoFilter="0" pivotTables="0"/>
  <conditionalFormatting sqref="A1:A2 BC1:XFD2 AU1:AY10 AN16:AY1048576 AN1:AT12">
    <cfRule type="cellIs" dxfId="338" priority="6" operator="equal">
      <formula>0</formula>
    </cfRule>
  </conditionalFormatting>
  <conditionalFormatting sqref="AX1:AX2">
    <cfRule type="cellIs" dxfId="337" priority="5" operator="equal">
      <formula>0</formula>
    </cfRule>
  </conditionalFormatting>
  <conditionalFormatting sqref="AU1:AY3">
    <cfRule type="cellIs" dxfId="336" priority="4" operator="equal">
      <formula>0</formula>
    </cfRule>
  </conditionalFormatting>
  <conditionalFormatting sqref="AN15:AY15">
    <cfRule type="cellIs" dxfId="335" priority="3" operator="equal">
      <formula>0</formula>
    </cfRule>
  </conditionalFormatting>
  <conditionalFormatting sqref="AU15:AY15">
    <cfRule type="cellIs" dxfId="334" priority="2" operator="equal">
      <formula>0</formula>
    </cfRule>
  </conditionalFormatting>
  <conditionalFormatting sqref="AG4:AL4">
    <cfRule type="cellIs" dxfId="333" priority="1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3:Q27"/>
  <sheetViews>
    <sheetView showZeros="0" rightToLeft="1" workbookViewId="0">
      <selection activeCell="U4" sqref="U4"/>
    </sheetView>
  </sheetViews>
  <sheetFormatPr defaultColWidth="9.140625" defaultRowHeight="14.25"/>
  <cols>
    <col min="1" max="2" width="4.140625" style="167" customWidth="1"/>
    <col min="3" max="3" width="7.7109375" style="167" customWidth="1"/>
    <col min="4" max="4" width="34.85546875" style="167" customWidth="1"/>
    <col min="5" max="5" width="30.42578125" style="167" customWidth="1"/>
    <col min="6" max="6" width="10.855468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3" spans="1:17" ht="20.25">
      <c r="A3" s="166"/>
      <c r="C3" s="168" t="s">
        <v>1457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1" thickBot="1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16.5" thickBot="1">
      <c r="A5" s="166"/>
      <c r="B5" s="169" t="s">
        <v>105</v>
      </c>
      <c r="C5" s="166" t="s">
        <v>894</v>
      </c>
      <c r="D5" s="166"/>
      <c r="E5" s="166"/>
      <c r="F5" s="170">
        <f>'תקציב אגף תנוק 2025 '!U7</f>
        <v>1500000</v>
      </c>
      <c r="I5" s="166"/>
      <c r="J5" s="166"/>
      <c r="K5" s="166"/>
      <c r="L5" s="166"/>
    </row>
    <row r="6" spans="1:17" ht="21" thickBot="1">
      <c r="A6" s="166"/>
      <c r="C6" s="168"/>
      <c r="D6" s="166"/>
      <c r="E6" s="166"/>
      <c r="F6" s="166"/>
      <c r="H6" s="166"/>
      <c r="I6" s="166"/>
      <c r="J6" s="166"/>
      <c r="K6" s="166"/>
      <c r="L6" s="166"/>
    </row>
    <row r="7" spans="1:17" ht="16.5" thickBot="1">
      <c r="B7" s="169" t="s">
        <v>105</v>
      </c>
      <c r="C7" s="166" t="s">
        <v>786</v>
      </c>
      <c r="D7" s="166"/>
      <c r="F7" s="170">
        <f>'תקציב אגף תנוק 2025 '!A7</f>
        <v>2</v>
      </c>
      <c r="I7" s="166"/>
      <c r="J7" s="166"/>
      <c r="K7" s="166"/>
      <c r="L7" s="166"/>
      <c r="M7" s="166"/>
      <c r="N7" s="166"/>
      <c r="O7" s="166"/>
      <c r="P7" s="166"/>
      <c r="Q7" s="166"/>
    </row>
    <row r="8" spans="1:17" ht="15.75">
      <c r="B8" s="169"/>
      <c r="C8" s="166"/>
      <c r="D8" s="166"/>
      <c r="E8" s="166"/>
      <c r="F8" s="166"/>
      <c r="H8" s="166"/>
      <c r="I8" s="166"/>
      <c r="J8" s="166"/>
      <c r="K8" s="166"/>
      <c r="L8" s="166"/>
      <c r="M8" s="166"/>
      <c r="N8" s="166"/>
      <c r="O8" s="166"/>
      <c r="P8" s="166"/>
      <c r="Q8" s="166"/>
    </row>
    <row r="9" spans="1:17" ht="15.75">
      <c r="B9" s="169" t="s">
        <v>105</v>
      </c>
      <c r="C9" s="166" t="s">
        <v>190</v>
      </c>
      <c r="D9" s="166"/>
      <c r="E9" s="166"/>
      <c r="F9" s="166"/>
      <c r="G9" s="166"/>
      <c r="H9" s="166"/>
      <c r="I9" s="166"/>
      <c r="J9" s="166"/>
      <c r="K9" s="166"/>
      <c r="L9" s="166"/>
    </row>
    <row r="10" spans="1:17" ht="16.5" thickBot="1"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D11" s="177" t="s">
        <v>191</v>
      </c>
      <c r="E11" s="178" t="s">
        <v>192</v>
      </c>
      <c r="F11" s="179" t="s">
        <v>193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 hidden="1">
      <c r="D12" s="173" t="s">
        <v>13</v>
      </c>
      <c r="E12" s="267"/>
      <c r="F12" s="181">
        <f>E12/$E$14</f>
        <v>0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</row>
    <row r="13" spans="1:17" ht="15.75">
      <c r="C13" s="169"/>
      <c r="D13" s="173" t="s">
        <v>14</v>
      </c>
      <c r="E13" s="180">
        <f>'תקציב אגף תנוק 2025 '!W7</f>
        <v>1500000</v>
      </c>
      <c r="F13" s="181">
        <f>E13/$E$14</f>
        <v>1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6.5" thickBot="1">
      <c r="C14" s="169"/>
      <c r="D14" s="175" t="s">
        <v>75</v>
      </c>
      <c r="E14" s="234">
        <f>SUM(E12:E13)</f>
        <v>1500000</v>
      </c>
      <c r="F14" s="235">
        <f>SUM(F12:F13)</f>
        <v>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B15" s="169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5.75">
      <c r="B16" s="169"/>
      <c r="C16" s="166"/>
      <c r="D16" s="166"/>
      <c r="F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15.75">
      <c r="B17" s="169" t="s">
        <v>105</v>
      </c>
      <c r="C17" s="166" t="s">
        <v>1315</v>
      </c>
      <c r="D17" s="166"/>
      <c r="F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15.75">
      <c r="B18" s="169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20" spans="1:17" s="517" customFormat="1" ht="15.75">
      <c r="A20" s="515"/>
      <c r="B20" s="516"/>
      <c r="C20" s="515"/>
      <c r="E20" s="515"/>
      <c r="F20" s="515"/>
      <c r="G20" s="515"/>
      <c r="H20" s="515"/>
      <c r="I20" s="515"/>
      <c r="J20" s="515"/>
      <c r="K20" s="515"/>
      <c r="L20" s="515"/>
    </row>
    <row r="21" spans="1:17" s="517" customFormat="1" ht="15.75">
      <c r="C21" s="515"/>
    </row>
    <row r="22" spans="1:17" s="227" customFormat="1" ht="15.75">
      <c r="C22" s="229"/>
      <c r="D22" s="394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</row>
    <row r="23" spans="1:17" s="227" customFormat="1" ht="15.75">
      <c r="C23" s="229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</row>
    <row r="24" spans="1:17" s="227" customFormat="1" ht="15.75">
      <c r="A24" s="226"/>
      <c r="B24" s="226"/>
      <c r="C24" s="226"/>
      <c r="D24" s="265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</row>
    <row r="25" spans="1:17" s="227" customFormat="1" ht="15.75">
      <c r="C25" s="229"/>
      <c r="D25" s="322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</row>
    <row r="26" spans="1:17" s="227" customFormat="1" ht="15.75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17" s="227" customFormat="1" ht="15.75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K129"/>
  <sheetViews>
    <sheetView showZeros="0" rightToLeft="1" zoomScaleNormal="100" workbookViewId="0">
      <pane xSplit="3" ySplit="4" topLeftCell="D5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8.75"/>
  <cols>
    <col min="1" max="1" width="3.7109375" style="355" customWidth="1"/>
    <col min="2" max="2" width="5.7109375" style="331" customWidth="1"/>
    <col min="3" max="3" width="18.28515625" style="331" customWidth="1"/>
    <col min="4" max="5" width="10.7109375" style="330" customWidth="1"/>
    <col min="6" max="6" width="9.7109375" style="330" customWidth="1"/>
    <col min="7" max="8" width="10.140625" style="330" hidden="1" customWidth="1"/>
    <col min="9" max="11" width="9.7109375" style="330" hidden="1" customWidth="1"/>
    <col min="12" max="12" width="10.7109375" style="330" customWidth="1"/>
    <col min="13" max="13" width="10.85546875" style="330" customWidth="1"/>
    <col min="14" max="14" width="9.7109375" style="330" customWidth="1"/>
    <col min="15" max="15" width="9.28515625" style="330" customWidth="1"/>
    <col min="16" max="19" width="9.7109375" style="330" hidden="1" customWidth="1"/>
    <col min="20" max="20" width="9.28515625" style="330" customWidth="1"/>
    <col min="21" max="21" width="9.7109375" style="331" customWidth="1"/>
    <col min="22" max="22" width="8.28515625" style="331" customWidth="1"/>
    <col min="23" max="23" width="9.7109375" style="331" customWidth="1"/>
    <col min="24" max="27" width="8.5703125" style="331" hidden="1" customWidth="1"/>
    <col min="28" max="28" width="35.7109375" style="355" customWidth="1"/>
    <col min="29" max="29" width="7.85546875" style="331" hidden="1" customWidth="1"/>
    <col min="30" max="32" width="13.5703125" style="447" customWidth="1"/>
    <col min="33" max="33" width="12.28515625" style="449" customWidth="1"/>
    <col min="34" max="34" width="35.7109375" style="447" customWidth="1"/>
    <col min="35" max="35" width="33.42578125" style="447" customWidth="1"/>
    <col min="36" max="36" width="10.7109375" style="447" customWidth="1"/>
    <col min="37" max="37" width="21.7109375" style="447" customWidth="1"/>
    <col min="38" max="38" width="13.5703125" style="447" customWidth="1"/>
    <col min="39" max="39" width="21.7109375" style="447" customWidth="1"/>
    <col min="40" max="40" width="23.85546875" style="449" customWidth="1"/>
    <col min="41" max="41" width="26.7109375" style="450" customWidth="1"/>
    <col min="42" max="42" width="24.28515625" style="450" customWidth="1"/>
    <col min="43" max="45" width="10.7109375" style="450" customWidth="1"/>
    <col min="46" max="46" width="11.7109375" style="450" customWidth="1"/>
    <col min="47" max="47" width="10.7109375" style="450" customWidth="1"/>
    <col min="48" max="50" width="10.7109375" style="366" customWidth="1"/>
    <col min="51" max="16384" width="9.140625" style="331"/>
  </cols>
  <sheetData>
    <row r="1" spans="1:63" s="450" customFormat="1">
      <c r="A1" s="447"/>
      <c r="B1" s="447"/>
      <c r="C1" s="447"/>
      <c r="D1" s="448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9"/>
      <c r="AH1" s="447"/>
      <c r="AI1" s="447"/>
      <c r="AJ1" s="447"/>
      <c r="AK1" s="447"/>
      <c r="AL1" s="447"/>
      <c r="AM1" s="447"/>
      <c r="AN1" s="449"/>
      <c r="AV1" s="366"/>
      <c r="AW1" s="366"/>
      <c r="AX1" s="366"/>
    </row>
    <row r="2" spans="1:63" s="450" customFormat="1">
      <c r="A2" s="447" t="s">
        <v>629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Z2" s="447"/>
      <c r="AA2" s="447"/>
      <c r="AB2" s="447"/>
      <c r="AC2" s="447"/>
      <c r="AD2" s="447"/>
      <c r="AE2" s="447"/>
      <c r="AF2" s="447"/>
      <c r="AG2" s="449"/>
      <c r="AH2" s="447"/>
      <c r="AI2" s="447"/>
      <c r="AJ2" s="447"/>
      <c r="AK2" s="447"/>
      <c r="AL2" s="447"/>
      <c r="AM2" s="447"/>
      <c r="AN2" s="449"/>
      <c r="AV2" s="366"/>
      <c r="AW2" s="366"/>
      <c r="AX2" s="366"/>
    </row>
    <row r="3" spans="1:63" ht="20.45" customHeight="1">
      <c r="V3" s="447"/>
      <c r="W3" s="447"/>
      <c r="X3" s="447"/>
      <c r="Y3" s="447"/>
      <c r="Z3" s="447"/>
      <c r="AA3" s="447"/>
    </row>
    <row r="4" spans="1:63" s="366" customFormat="1" ht="75" customHeight="1">
      <c r="A4" s="122" t="s">
        <v>0</v>
      </c>
      <c r="B4" s="327" t="s">
        <v>328</v>
      </c>
      <c r="C4" s="327" t="s">
        <v>2</v>
      </c>
      <c r="D4" s="327" t="s">
        <v>3</v>
      </c>
      <c r="E4" s="327" t="s">
        <v>4</v>
      </c>
      <c r="F4" s="327" t="s">
        <v>5</v>
      </c>
      <c r="G4" s="327" t="s">
        <v>6</v>
      </c>
      <c r="H4" s="327" t="s">
        <v>7</v>
      </c>
      <c r="I4" s="327" t="s">
        <v>9</v>
      </c>
      <c r="J4" s="327" t="s">
        <v>101</v>
      </c>
      <c r="K4" s="327" t="s">
        <v>10</v>
      </c>
      <c r="L4" s="327" t="s">
        <v>11</v>
      </c>
      <c r="M4" s="327" t="s">
        <v>793</v>
      </c>
      <c r="N4" s="327" t="s">
        <v>794</v>
      </c>
      <c r="O4" s="328" t="s">
        <v>795</v>
      </c>
      <c r="P4" s="328" t="s">
        <v>12</v>
      </c>
      <c r="Q4" s="328" t="s">
        <v>571</v>
      </c>
      <c r="R4" s="328" t="s">
        <v>572</v>
      </c>
      <c r="S4" s="328" t="s">
        <v>798</v>
      </c>
      <c r="T4" s="328" t="s">
        <v>799</v>
      </c>
      <c r="U4" s="328" t="s">
        <v>800</v>
      </c>
      <c r="V4" s="327" t="s">
        <v>13</v>
      </c>
      <c r="W4" s="327" t="s">
        <v>14</v>
      </c>
      <c r="X4" s="327" t="s">
        <v>15</v>
      </c>
      <c r="Y4" s="327" t="s">
        <v>185</v>
      </c>
      <c r="Z4" s="327" t="s">
        <v>385</v>
      </c>
      <c r="AA4" s="327" t="s">
        <v>67</v>
      </c>
      <c r="AB4" s="327" t="s">
        <v>207</v>
      </c>
      <c r="AC4" s="327" t="s">
        <v>16</v>
      </c>
      <c r="AD4" s="447"/>
      <c r="AE4" s="447"/>
      <c r="AF4" s="447"/>
      <c r="AG4" s="449"/>
      <c r="AH4" s="447"/>
      <c r="AI4" s="447"/>
      <c r="AJ4" s="447"/>
      <c r="AK4" s="447"/>
      <c r="AL4" s="447"/>
      <c r="AM4" s="447"/>
      <c r="AN4" s="449"/>
      <c r="AO4" s="450"/>
      <c r="AP4" s="450"/>
      <c r="AQ4" s="450"/>
      <c r="AR4" s="450"/>
      <c r="AS4" s="450"/>
      <c r="AT4" s="450"/>
      <c r="AU4" s="450"/>
    </row>
    <row r="5" spans="1:63" s="343" customFormat="1" ht="60" customHeight="1">
      <c r="A5" s="339">
        <v>1</v>
      </c>
      <c r="B5" s="339">
        <v>1486</v>
      </c>
      <c r="C5" s="339" t="s">
        <v>301</v>
      </c>
      <c r="D5" s="340">
        <f>10570365+600000+2200000</f>
        <v>13370365</v>
      </c>
      <c r="E5" s="340">
        <v>10570365</v>
      </c>
      <c r="F5" s="340">
        <f>D5-E5</f>
        <v>2800000</v>
      </c>
      <c r="G5" s="340">
        <v>9370365</v>
      </c>
      <c r="H5" s="340">
        <v>8539674</v>
      </c>
      <c r="I5" s="340">
        <v>0</v>
      </c>
      <c r="J5" s="340">
        <v>618017</v>
      </c>
      <c r="K5" s="340">
        <f>I5+J5</f>
        <v>618017</v>
      </c>
      <c r="L5" s="340">
        <f>H5+K5</f>
        <v>9157691</v>
      </c>
      <c r="M5" s="340">
        <f>P5+S5</f>
        <v>212674</v>
      </c>
      <c r="N5" s="340">
        <f>4000000-2500000</f>
        <v>1500000</v>
      </c>
      <c r="O5" s="340">
        <f>D5-L5-M5-N5</f>
        <v>2500000</v>
      </c>
      <c r="P5" s="340">
        <f>G5-L5</f>
        <v>212674</v>
      </c>
      <c r="Q5" s="340"/>
      <c r="R5" s="340"/>
      <c r="S5" s="340">
        <f>SUM(Q5:R5)</f>
        <v>0</v>
      </c>
      <c r="T5" s="340">
        <f>P5-M5+S5</f>
        <v>0</v>
      </c>
      <c r="U5" s="340">
        <f>N5-T5</f>
        <v>1500000</v>
      </c>
      <c r="V5" s="340"/>
      <c r="W5" s="340">
        <f>U5-V5-Z5-AA5</f>
        <v>1500000</v>
      </c>
      <c r="X5" s="340"/>
      <c r="Y5" s="340"/>
      <c r="Z5" s="340"/>
      <c r="AA5" s="339"/>
      <c r="AB5" s="339" t="s">
        <v>1233</v>
      </c>
      <c r="AC5" s="339">
        <v>930000</v>
      </c>
      <c r="AD5" s="447"/>
      <c r="AE5" s="447"/>
      <c r="AF5" s="447"/>
      <c r="AG5" s="449"/>
      <c r="AH5" s="447"/>
      <c r="AI5" s="447"/>
      <c r="AJ5" s="447"/>
      <c r="AK5" s="447"/>
      <c r="AL5" s="447"/>
      <c r="AM5" s="447"/>
      <c r="AN5" s="449"/>
      <c r="AO5" s="450"/>
      <c r="AP5" s="450"/>
      <c r="AQ5" s="450"/>
      <c r="AR5" s="450"/>
      <c r="AS5" s="450"/>
      <c r="AT5" s="450"/>
      <c r="AU5" s="450"/>
      <c r="AV5" s="366"/>
      <c r="AW5" s="366"/>
      <c r="AX5" s="366"/>
    </row>
    <row r="6" spans="1:63" s="343" customFormat="1" ht="60">
      <c r="A6" s="339">
        <f>A5+1</f>
        <v>2</v>
      </c>
      <c r="B6" s="345">
        <v>20075</v>
      </c>
      <c r="C6" s="339" t="s">
        <v>493</v>
      </c>
      <c r="D6" s="340">
        <f>668000-142000</f>
        <v>526000</v>
      </c>
      <c r="E6" s="340">
        <v>668000</v>
      </c>
      <c r="F6" s="340">
        <f>+D6-E6</f>
        <v>-142000</v>
      </c>
      <c r="G6" s="340">
        <v>400000</v>
      </c>
      <c r="H6" s="340">
        <v>250023</v>
      </c>
      <c r="I6" s="340">
        <v>0</v>
      </c>
      <c r="J6" s="340">
        <v>1390</v>
      </c>
      <c r="K6" s="340">
        <f>I6+J6</f>
        <v>1390</v>
      </c>
      <c r="L6" s="340">
        <f>H6+K6</f>
        <v>251413</v>
      </c>
      <c r="M6" s="340">
        <f t="shared" ref="M6" si="0">P6+S6</f>
        <v>274587</v>
      </c>
      <c r="N6" s="340"/>
      <c r="O6" s="340">
        <f>D6-L6-M6-N6</f>
        <v>0</v>
      </c>
      <c r="P6" s="340">
        <f>G6-L6</f>
        <v>148587</v>
      </c>
      <c r="Q6" s="340">
        <v>126000</v>
      </c>
      <c r="R6" s="340"/>
      <c r="S6" s="340">
        <f>SUM(Q6:R6)</f>
        <v>126000</v>
      </c>
      <c r="T6" s="340">
        <f>P6-M6+S6</f>
        <v>0</v>
      </c>
      <c r="U6" s="340">
        <f>N6-T6</f>
        <v>0</v>
      </c>
      <c r="V6" s="340"/>
      <c r="W6" s="340">
        <f>U6-V6-Z6-AA6</f>
        <v>0</v>
      </c>
      <c r="X6" s="340"/>
      <c r="Y6" s="340"/>
      <c r="Z6" s="340"/>
      <c r="AA6" s="339"/>
      <c r="AB6" s="339" t="s">
        <v>778</v>
      </c>
      <c r="AC6" s="339">
        <v>826000</v>
      </c>
      <c r="AD6" s="447"/>
      <c r="AE6" s="447"/>
      <c r="AF6" s="447"/>
      <c r="AG6" s="449"/>
      <c r="AH6" s="447"/>
      <c r="AI6" s="447"/>
      <c r="AJ6" s="447"/>
      <c r="AK6" s="447"/>
      <c r="AL6" s="447"/>
      <c r="AM6" s="447"/>
      <c r="AN6" s="449"/>
      <c r="AO6" s="450"/>
      <c r="AP6" s="450"/>
      <c r="AQ6" s="450"/>
      <c r="AR6" s="450"/>
      <c r="AS6" s="450"/>
      <c r="AT6" s="450"/>
      <c r="AU6" s="450"/>
      <c r="AV6" s="366"/>
      <c r="AW6" s="366"/>
      <c r="AX6" s="36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</row>
    <row r="7" spans="1:63" s="346" customFormat="1" ht="33" customHeight="1">
      <c r="A7" s="367">
        <f>COUNT(A5:A6)</f>
        <v>2</v>
      </c>
      <c r="B7" s="344"/>
      <c r="C7" s="368" t="s">
        <v>630</v>
      </c>
      <c r="D7" s="332">
        <f t="shared" ref="D7:AB7" si="1">SUM(D5:D6)</f>
        <v>13896365</v>
      </c>
      <c r="E7" s="332">
        <f t="shared" si="1"/>
        <v>11238365</v>
      </c>
      <c r="F7" s="332">
        <f t="shared" si="1"/>
        <v>2658000</v>
      </c>
      <c r="G7" s="332">
        <f t="shared" si="1"/>
        <v>9770365</v>
      </c>
      <c r="H7" s="332">
        <f t="shared" si="1"/>
        <v>8789697</v>
      </c>
      <c r="I7" s="332">
        <f t="shared" si="1"/>
        <v>0</v>
      </c>
      <c r="J7" s="332">
        <f t="shared" si="1"/>
        <v>619407</v>
      </c>
      <c r="K7" s="332">
        <f t="shared" si="1"/>
        <v>619407</v>
      </c>
      <c r="L7" s="332">
        <f t="shared" si="1"/>
        <v>9409104</v>
      </c>
      <c r="M7" s="332">
        <f t="shared" si="1"/>
        <v>487261</v>
      </c>
      <c r="N7" s="332">
        <f t="shared" si="1"/>
        <v>1500000</v>
      </c>
      <c r="O7" s="332">
        <f t="shared" si="1"/>
        <v>2500000</v>
      </c>
      <c r="P7" s="332">
        <f t="shared" si="1"/>
        <v>361261</v>
      </c>
      <c r="Q7" s="332">
        <f t="shared" si="1"/>
        <v>126000</v>
      </c>
      <c r="R7" s="332">
        <f t="shared" si="1"/>
        <v>0</v>
      </c>
      <c r="S7" s="332">
        <f t="shared" si="1"/>
        <v>126000</v>
      </c>
      <c r="T7" s="332">
        <f t="shared" si="1"/>
        <v>0</v>
      </c>
      <c r="U7" s="332">
        <f t="shared" si="1"/>
        <v>1500000</v>
      </c>
      <c r="V7" s="332">
        <f t="shared" si="1"/>
        <v>0</v>
      </c>
      <c r="W7" s="332">
        <f t="shared" si="1"/>
        <v>1500000</v>
      </c>
      <c r="X7" s="332">
        <f t="shared" si="1"/>
        <v>0</v>
      </c>
      <c r="Y7" s="332">
        <f t="shared" si="1"/>
        <v>0</v>
      </c>
      <c r="Z7" s="332">
        <f t="shared" si="1"/>
        <v>0</v>
      </c>
      <c r="AA7" s="332">
        <f t="shared" si="1"/>
        <v>0</v>
      </c>
      <c r="AB7" s="332">
        <f t="shared" si="1"/>
        <v>0</v>
      </c>
      <c r="AC7" s="624"/>
      <c r="AD7" s="447"/>
      <c r="AE7" s="447"/>
      <c r="AF7" s="447"/>
      <c r="AG7" s="449"/>
      <c r="AH7" s="447"/>
      <c r="AI7" s="447"/>
      <c r="AJ7" s="447"/>
      <c r="AK7" s="447"/>
      <c r="AL7" s="447"/>
      <c r="AM7" s="447"/>
      <c r="AN7" s="449"/>
      <c r="AO7" s="450"/>
      <c r="AP7" s="450"/>
      <c r="AQ7" s="450"/>
      <c r="AR7" s="450"/>
      <c r="AS7" s="450"/>
      <c r="AT7" s="450"/>
      <c r="AU7" s="450"/>
      <c r="AV7" s="366"/>
      <c r="AW7" s="366"/>
      <c r="AX7" s="366"/>
      <c r="AY7" s="314"/>
      <c r="AZ7" s="314"/>
      <c r="BA7" s="314"/>
      <c r="BB7" s="314"/>
      <c r="BC7" s="314"/>
      <c r="BD7" s="314"/>
      <c r="BE7" s="314"/>
      <c r="BF7" s="314"/>
      <c r="BG7" s="314"/>
      <c r="BH7" s="314"/>
      <c r="BI7" s="314"/>
      <c r="BJ7" s="314"/>
      <c r="BK7" s="314"/>
    </row>
    <row r="8" spans="1:63" s="629" customFormat="1" ht="17.25" hidden="1" customHeight="1">
      <c r="A8" s="625"/>
      <c r="B8" s="626"/>
      <c r="C8" s="627"/>
      <c r="D8" s="363">
        <f>SUM(L7:O7)</f>
        <v>13896365</v>
      </c>
      <c r="E8" s="363"/>
      <c r="F8" s="363">
        <f>D7-E7</f>
        <v>2658000</v>
      </c>
      <c r="G8" s="363"/>
      <c r="H8" s="363"/>
      <c r="I8" s="363"/>
      <c r="J8" s="363"/>
      <c r="K8" s="363"/>
      <c r="L8" s="363">
        <f>H7+K7</f>
        <v>9409104</v>
      </c>
      <c r="M8" s="363"/>
      <c r="N8" s="363"/>
      <c r="O8" s="363"/>
      <c r="P8" s="363">
        <f>G7-L8</f>
        <v>361261</v>
      </c>
      <c r="Q8" s="363">
        <f>'ריכוז אגפים 2024'!AV12</f>
        <v>126000</v>
      </c>
      <c r="R8" s="363">
        <f>'עדכוני תקציב 2024'!AE131</f>
        <v>0</v>
      </c>
      <c r="S8" s="363"/>
      <c r="T8" s="363">
        <f>P8+S7-M7</f>
        <v>0</v>
      </c>
      <c r="U8" s="363">
        <f>N7-T8</f>
        <v>1500000</v>
      </c>
      <c r="V8" s="363"/>
      <c r="W8" s="363"/>
      <c r="X8" s="363"/>
      <c r="Y8" s="363"/>
      <c r="Z8" s="363"/>
      <c r="AA8" s="363"/>
      <c r="AB8" s="628"/>
      <c r="AD8" s="630"/>
      <c r="AE8" s="630"/>
      <c r="AF8" s="630"/>
      <c r="AG8" s="631"/>
      <c r="AH8" s="630"/>
      <c r="AI8" s="630"/>
      <c r="AJ8" s="630"/>
      <c r="AK8" s="630"/>
      <c r="AL8" s="630"/>
      <c r="AM8" s="630"/>
      <c r="AN8" s="631"/>
      <c r="AO8" s="632"/>
      <c r="AP8" s="632"/>
      <c r="AQ8" s="359"/>
      <c r="AR8" s="359"/>
      <c r="AS8" s="359"/>
      <c r="AT8" s="359"/>
      <c r="AU8" s="359"/>
      <c r="AV8" s="359"/>
      <c r="AW8" s="359"/>
      <c r="AX8" s="359"/>
    </row>
    <row r="9" spans="1:63" s="350" customFormat="1" ht="17.25" customHeight="1"/>
    <row r="10" spans="1:63" s="355" customFormat="1" ht="17.25" customHeight="1">
      <c r="B10" s="331"/>
      <c r="C10" s="331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S10" s="330"/>
      <c r="T10" s="330"/>
      <c r="U10" s="331"/>
      <c r="V10" s="331"/>
      <c r="W10" s="331"/>
      <c r="X10" s="331"/>
      <c r="Y10" s="331"/>
      <c r="Z10" s="331"/>
      <c r="AA10" s="331"/>
      <c r="AC10" s="331"/>
      <c r="AD10" s="447"/>
      <c r="AE10" s="447"/>
      <c r="AF10" s="447"/>
      <c r="AG10" s="449"/>
      <c r="AH10" s="447"/>
      <c r="AI10" s="447"/>
      <c r="AJ10" s="447"/>
      <c r="AK10" s="447"/>
      <c r="AL10" s="447"/>
      <c r="AM10" s="447"/>
      <c r="AN10" s="449"/>
      <c r="AO10" s="450"/>
      <c r="AP10" s="450"/>
      <c r="AQ10" s="450"/>
      <c r="AR10" s="450"/>
      <c r="AS10" s="450"/>
      <c r="AT10" s="450"/>
      <c r="AU10" s="450"/>
      <c r="AV10" s="366"/>
      <c r="AW10" s="366"/>
      <c r="AX10" s="366"/>
      <c r="AY10" s="331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1"/>
      <c r="BK10" s="331"/>
    </row>
    <row r="11" spans="1:63" s="348" customFormat="1">
      <c r="A11" s="347"/>
      <c r="C11" s="349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R11" s="350"/>
      <c r="S11" s="350"/>
      <c r="T11" s="350"/>
      <c r="AB11" s="351"/>
      <c r="AD11" s="447"/>
      <c r="AE11" s="447"/>
      <c r="AF11" s="447"/>
      <c r="AG11" s="449"/>
      <c r="AH11" s="447"/>
      <c r="AI11" s="447"/>
      <c r="AJ11" s="447"/>
      <c r="AK11" s="447"/>
      <c r="AL11" s="447"/>
      <c r="AM11" s="447"/>
      <c r="AN11" s="449"/>
      <c r="AO11" s="450"/>
      <c r="AP11" s="450"/>
    </row>
    <row r="12" spans="1:63" ht="31.5" customHeight="1"/>
    <row r="16" spans="1:63" ht="39" customHeight="1"/>
    <row r="17" ht="50.25" customHeight="1"/>
    <row r="20" ht="37.5" customHeight="1"/>
    <row r="21" ht="31.5" customHeight="1"/>
    <row r="24" ht="39.75" customHeight="1"/>
    <row r="25" ht="33" customHeight="1"/>
    <row r="27" ht="33" customHeight="1"/>
    <row r="29" ht="45.75" customHeight="1"/>
    <row r="31" ht="47.25" customHeight="1"/>
    <row r="33" ht="36.75" customHeight="1"/>
    <row r="37" ht="45" customHeight="1"/>
    <row r="39" ht="58.5" customHeight="1"/>
    <row r="40" ht="50.25" customHeight="1"/>
    <row r="47" ht="51.75" customHeight="1"/>
    <row r="48" ht="35.25" customHeight="1"/>
    <row r="49" ht="31.5" customHeight="1"/>
    <row r="54" ht="37.5" customHeight="1"/>
    <row r="65" ht="48.75" customHeight="1"/>
    <row r="66" ht="31.5" customHeight="1"/>
    <row r="68" ht="45.75" customHeight="1"/>
    <row r="70" ht="33.75" customHeight="1"/>
    <row r="73" ht="27.75" customHeight="1"/>
    <row r="113" spans="1:1">
      <c r="A113" s="355">
        <f>COUNT(A5:A112)</f>
        <v>3</v>
      </c>
    </row>
    <row r="116" spans="1:1">
      <c r="A116" s="355">
        <f>A113+1</f>
        <v>4</v>
      </c>
    </row>
    <row r="119" spans="1:1" ht="37.9" customHeight="1"/>
    <row r="122" spans="1:1" ht="70.900000000000006" customHeight="1"/>
    <row r="125" spans="1:1" ht="72" customHeight="1"/>
    <row r="127" spans="1:1" ht="43.9" customHeight="1"/>
    <row r="129" ht="30" customHeight="1"/>
  </sheetData>
  <sheetProtection formatCells="0" formatColumns="0" formatRows="0" insertColumns="0" insertRows="0" insertHyperlinks="0" deleteColumns="0" deleteRows="0" sort="0" autoFilter="0" pivotTables="0"/>
  <conditionalFormatting sqref="A1:A2 AY1:XFD2 AQ10:AU10 AQ1:AU4 AQ7:AU7 AO12:AU1048576 AG1:AP8 AG10:AN1048576 AO10:AP11">
    <cfRule type="cellIs" dxfId="332" priority="23" operator="equal">
      <formula>0</formula>
    </cfRule>
  </conditionalFormatting>
  <conditionalFormatting sqref="AT1:AT2">
    <cfRule type="cellIs" dxfId="331" priority="22" operator="equal">
      <formula>0</formula>
    </cfRule>
  </conditionalFormatting>
  <conditionalFormatting sqref="AQ10:AU10 AO1:AU3">
    <cfRule type="cellIs" dxfId="330" priority="21" operator="equal">
      <formula>0</formula>
    </cfRule>
  </conditionalFormatting>
  <conditionalFormatting sqref="AP10 AP1:AP2">
    <cfRule type="cellIs" dxfId="329" priority="20" operator="equal">
      <formula>0</formula>
    </cfRule>
  </conditionalFormatting>
  <conditionalFormatting sqref="AO1:AO3 AO10">
    <cfRule type="cellIs" dxfId="328" priority="17" operator="equal">
      <formula>0</formula>
    </cfRule>
  </conditionalFormatting>
  <conditionalFormatting sqref="AO10 AO1:AO2">
    <cfRule type="cellIs" dxfId="327" priority="16" operator="equal">
      <formula>0</formula>
    </cfRule>
  </conditionalFormatting>
  <conditionalFormatting sqref="AO1:AO3 AO10">
    <cfRule type="cellIs" dxfId="326" priority="18" operator="equal">
      <formula>0</formula>
    </cfRule>
  </conditionalFormatting>
  <conditionalFormatting sqref="AQ5:AU5">
    <cfRule type="cellIs" dxfId="325" priority="15" operator="equal">
      <formula>0</formula>
    </cfRule>
  </conditionalFormatting>
  <conditionalFormatting sqref="AQ5:AU5">
    <cfRule type="cellIs" dxfId="324" priority="14" operator="equal">
      <formula>0</formula>
    </cfRule>
  </conditionalFormatting>
  <conditionalFormatting sqref="AQ6:AU6">
    <cfRule type="cellIs" dxfId="323" priority="13" operator="equal">
      <formula>0</formula>
    </cfRule>
  </conditionalFormatting>
  <conditionalFormatting sqref="AQ6:AU6">
    <cfRule type="cellIs" dxfId="322" priority="12" operator="equal">
      <formula>0</formula>
    </cfRule>
  </conditionalFormatting>
  <conditionalFormatting sqref="AD1:AF8 AD10:AF1048576">
    <cfRule type="cellIs" dxfId="32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B9C3-B147-40E8-BA09-D7B109EDE885}">
  <dimension ref="A1:BK129"/>
  <sheetViews>
    <sheetView showZeros="0" rightToLeft="1" zoomScaleNormal="100" workbookViewId="0">
      <pane xSplit="3" ySplit="4" topLeftCell="D5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9.140625" defaultRowHeight="18.75"/>
  <cols>
    <col min="1" max="1" width="3.7109375" style="355" customWidth="1"/>
    <col min="2" max="2" width="5.7109375" style="331" customWidth="1"/>
    <col min="3" max="3" width="18.28515625" style="331" customWidth="1"/>
    <col min="4" max="4" width="10.7109375" style="330" customWidth="1"/>
    <col min="5" max="5" width="10.7109375" style="330" hidden="1" customWidth="1"/>
    <col min="6" max="6" width="9.7109375" style="330" hidden="1" customWidth="1"/>
    <col min="7" max="8" width="10.140625" style="330" hidden="1" customWidth="1"/>
    <col min="9" max="11" width="9.7109375" style="330" hidden="1" customWidth="1"/>
    <col min="12" max="12" width="10.7109375" style="330" customWidth="1"/>
    <col min="13" max="13" width="10.85546875" style="330" customWidth="1"/>
    <col min="14" max="14" width="9.7109375" style="330" customWidth="1"/>
    <col min="15" max="15" width="9.28515625" style="330" customWidth="1"/>
    <col min="16" max="19" width="9.7109375" style="330" hidden="1" customWidth="1"/>
    <col min="20" max="20" width="11" style="330" hidden="1" customWidth="1"/>
    <col min="21" max="23" width="9.7109375" style="331" customWidth="1"/>
    <col min="24" max="27" width="8.5703125" style="331" hidden="1" customWidth="1"/>
    <col min="28" max="28" width="43.7109375" style="355" customWidth="1"/>
    <col min="29" max="29" width="7.85546875" style="331" customWidth="1"/>
    <col min="30" max="32" width="13.5703125" style="447" customWidth="1"/>
    <col min="33" max="33" width="12.28515625" style="449" customWidth="1"/>
    <col min="34" max="34" width="35.7109375" style="447" customWidth="1"/>
    <col min="35" max="35" width="33.42578125" style="447" customWidth="1"/>
    <col min="36" max="36" width="10.7109375" style="447" customWidth="1"/>
    <col min="37" max="37" width="21.7109375" style="447" customWidth="1"/>
    <col min="38" max="38" width="13.5703125" style="447" customWidth="1"/>
    <col min="39" max="39" width="21.7109375" style="447" customWidth="1"/>
    <col min="40" max="40" width="23.85546875" style="449" customWidth="1"/>
    <col min="41" max="41" width="26.7109375" style="450" customWidth="1"/>
    <col min="42" max="42" width="24.28515625" style="450" customWidth="1"/>
    <col min="43" max="45" width="10.7109375" style="450" customWidth="1"/>
    <col min="46" max="46" width="11.7109375" style="450" customWidth="1"/>
    <col min="47" max="47" width="10.7109375" style="450" customWidth="1"/>
    <col min="48" max="50" width="10.7109375" style="366" customWidth="1"/>
    <col min="51" max="16384" width="9.140625" style="331"/>
  </cols>
  <sheetData>
    <row r="1" spans="1:63" s="450" customFormat="1">
      <c r="A1" s="447"/>
      <c r="B1" s="447"/>
      <c r="C1" s="447"/>
      <c r="D1" s="448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9"/>
      <c r="AH1" s="447"/>
      <c r="AI1" s="447"/>
      <c r="AJ1" s="447"/>
      <c r="AK1" s="447"/>
      <c r="AL1" s="447"/>
      <c r="AM1" s="447"/>
      <c r="AN1" s="449"/>
      <c r="AV1" s="366"/>
      <c r="AW1" s="366"/>
      <c r="AX1" s="366"/>
    </row>
    <row r="2" spans="1:63" s="450" customFormat="1">
      <c r="A2" s="447" t="s">
        <v>629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Z2" s="447"/>
      <c r="AA2" s="447"/>
      <c r="AB2" s="447"/>
      <c r="AC2" s="447"/>
      <c r="AD2" s="447"/>
      <c r="AE2" s="447"/>
      <c r="AF2" s="447"/>
      <c r="AG2" s="449"/>
      <c r="AH2" s="447"/>
      <c r="AI2" s="447"/>
      <c r="AJ2" s="447"/>
      <c r="AK2" s="447"/>
      <c r="AL2" s="447"/>
      <c r="AM2" s="447"/>
      <c r="AN2" s="449"/>
      <c r="AV2" s="366"/>
      <c r="AW2" s="366"/>
      <c r="AX2" s="366"/>
    </row>
    <row r="3" spans="1:63" ht="20.45" customHeight="1">
      <c r="V3" s="447"/>
      <c r="W3" s="447"/>
      <c r="X3" s="447"/>
      <c r="Y3" s="447"/>
      <c r="Z3" s="447"/>
      <c r="AA3" s="447"/>
    </row>
    <row r="4" spans="1:63" s="366" customFormat="1" ht="75" customHeight="1">
      <c r="A4" s="122" t="s">
        <v>0</v>
      </c>
      <c r="B4" s="327" t="s">
        <v>328</v>
      </c>
      <c r="C4" s="327" t="s">
        <v>2</v>
      </c>
      <c r="D4" s="327" t="s">
        <v>3</v>
      </c>
      <c r="E4" s="327" t="s">
        <v>4</v>
      </c>
      <c r="F4" s="327" t="s">
        <v>5</v>
      </c>
      <c r="G4" s="327" t="s">
        <v>6</v>
      </c>
      <c r="H4" s="327" t="s">
        <v>7</v>
      </c>
      <c r="I4" s="327" t="s">
        <v>9</v>
      </c>
      <c r="J4" s="327" t="s">
        <v>101</v>
      </c>
      <c r="K4" s="327" t="s">
        <v>10</v>
      </c>
      <c r="L4" s="327" t="s">
        <v>11</v>
      </c>
      <c r="M4" s="327" t="s">
        <v>793</v>
      </c>
      <c r="N4" s="327" t="s">
        <v>794</v>
      </c>
      <c r="O4" s="328" t="s">
        <v>795</v>
      </c>
      <c r="P4" s="328" t="s">
        <v>12</v>
      </c>
      <c r="Q4" s="328" t="s">
        <v>571</v>
      </c>
      <c r="R4" s="328" t="s">
        <v>572</v>
      </c>
      <c r="S4" s="328" t="s">
        <v>798</v>
      </c>
      <c r="T4" s="328" t="s">
        <v>799</v>
      </c>
      <c r="U4" s="328" t="s">
        <v>800</v>
      </c>
      <c r="V4" s="327" t="s">
        <v>13</v>
      </c>
      <c r="W4" s="327" t="s">
        <v>14</v>
      </c>
      <c r="X4" s="327" t="s">
        <v>15</v>
      </c>
      <c r="Y4" s="327" t="s">
        <v>185</v>
      </c>
      <c r="Z4" s="327" t="s">
        <v>385</v>
      </c>
      <c r="AA4" s="327" t="s">
        <v>67</v>
      </c>
      <c r="AB4" s="327" t="s">
        <v>207</v>
      </c>
      <c r="AC4" s="327" t="s">
        <v>16</v>
      </c>
      <c r="AD4" s="447"/>
      <c r="AE4" s="447"/>
      <c r="AF4" s="447"/>
      <c r="AG4" s="449"/>
      <c r="AH4" s="447"/>
      <c r="AI4" s="447"/>
      <c r="AJ4" s="447"/>
      <c r="AK4" s="447"/>
      <c r="AL4" s="447"/>
      <c r="AM4" s="447"/>
      <c r="AN4" s="449"/>
      <c r="AO4" s="450"/>
      <c r="AP4" s="450"/>
      <c r="AQ4" s="450"/>
      <c r="AR4" s="450"/>
      <c r="AS4" s="450"/>
      <c r="AT4" s="450"/>
      <c r="AU4" s="450"/>
    </row>
    <row r="5" spans="1:63" s="343" customFormat="1" ht="60" customHeight="1">
      <c r="A5" s="339">
        <v>1</v>
      </c>
      <c r="B5" s="339">
        <v>1486</v>
      </c>
      <c r="C5" s="339" t="s">
        <v>301</v>
      </c>
      <c r="D5" s="340">
        <f>10570365+600000+2200000</f>
        <v>13370365</v>
      </c>
      <c r="E5" s="340">
        <v>10570365</v>
      </c>
      <c r="F5" s="340">
        <f>D5-E5</f>
        <v>2800000</v>
      </c>
      <c r="G5" s="340">
        <v>9370365</v>
      </c>
      <c r="H5" s="340">
        <v>8539674</v>
      </c>
      <c r="I5" s="340">
        <v>0</v>
      </c>
      <c r="J5" s="340">
        <v>618017</v>
      </c>
      <c r="K5" s="340">
        <f>I5+J5</f>
        <v>618017</v>
      </c>
      <c r="L5" s="340">
        <f>H5+K5</f>
        <v>9157691</v>
      </c>
      <c r="M5" s="340">
        <f>P5+S5</f>
        <v>212674</v>
      </c>
      <c r="N5" s="340">
        <f>4000000-2500000</f>
        <v>1500000</v>
      </c>
      <c r="O5" s="340">
        <f>D5-L5-M5-N5</f>
        <v>2500000</v>
      </c>
      <c r="P5" s="340">
        <f>G5-L5</f>
        <v>212674</v>
      </c>
      <c r="Q5" s="340"/>
      <c r="R5" s="340"/>
      <c r="S5" s="340">
        <f>SUM(Q5:R5)</f>
        <v>0</v>
      </c>
      <c r="T5" s="340">
        <f>P5-M5+S5</f>
        <v>0</v>
      </c>
      <c r="U5" s="340">
        <f>N5-T5</f>
        <v>1500000</v>
      </c>
      <c r="V5" s="340"/>
      <c r="W5" s="340">
        <f>U5-V5-Z5-AA5</f>
        <v>1500000</v>
      </c>
      <c r="X5" s="340"/>
      <c r="Y5" s="340"/>
      <c r="Z5" s="340"/>
      <c r="AA5" s="339"/>
      <c r="AB5" s="339" t="s">
        <v>1233</v>
      </c>
      <c r="AC5" s="339">
        <v>930000</v>
      </c>
      <c r="AD5" s="447"/>
      <c r="AE5" s="447"/>
      <c r="AF5" s="447"/>
      <c r="AG5" s="449"/>
      <c r="AH5" s="447"/>
      <c r="AI5" s="447"/>
      <c r="AJ5" s="447"/>
      <c r="AK5" s="447"/>
      <c r="AL5" s="447"/>
      <c r="AM5" s="447"/>
      <c r="AN5" s="449"/>
      <c r="AO5" s="450"/>
      <c r="AP5" s="450"/>
      <c r="AQ5" s="450"/>
      <c r="AR5" s="450"/>
      <c r="AS5" s="450"/>
      <c r="AT5" s="450"/>
      <c r="AU5" s="450"/>
      <c r="AV5" s="366"/>
      <c r="AW5" s="366"/>
      <c r="AX5" s="366"/>
    </row>
    <row r="6" spans="1:63" s="343" customFormat="1" ht="45">
      <c r="A6" s="339">
        <f>A5+1</f>
        <v>2</v>
      </c>
      <c r="B6" s="345">
        <v>20075</v>
      </c>
      <c r="C6" s="339" t="s">
        <v>493</v>
      </c>
      <c r="D6" s="340">
        <f>668000-142000</f>
        <v>526000</v>
      </c>
      <c r="E6" s="340">
        <v>668000</v>
      </c>
      <c r="F6" s="340">
        <f>+D6-E6</f>
        <v>-142000</v>
      </c>
      <c r="G6" s="340">
        <v>400000</v>
      </c>
      <c r="H6" s="340">
        <v>250023</v>
      </c>
      <c r="I6" s="340">
        <v>0</v>
      </c>
      <c r="J6" s="340">
        <v>1390</v>
      </c>
      <c r="K6" s="340">
        <f>I6+J6</f>
        <v>1390</v>
      </c>
      <c r="L6" s="340">
        <f>H6+K6</f>
        <v>251413</v>
      </c>
      <c r="M6" s="340">
        <f t="shared" ref="M6" si="0">P6+S6</f>
        <v>274587</v>
      </c>
      <c r="N6" s="340"/>
      <c r="O6" s="340">
        <f>D6-L6-M6-N6</f>
        <v>0</v>
      </c>
      <c r="P6" s="340">
        <f>G6-L6</f>
        <v>148587</v>
      </c>
      <c r="Q6" s="340">
        <v>126000</v>
      </c>
      <c r="R6" s="340"/>
      <c r="S6" s="340">
        <f>SUM(Q6:R6)</f>
        <v>126000</v>
      </c>
      <c r="T6" s="340">
        <f>P6-M6+S6</f>
        <v>0</v>
      </c>
      <c r="U6" s="340">
        <f>N6-T6</f>
        <v>0</v>
      </c>
      <c r="V6" s="340"/>
      <c r="W6" s="340">
        <f>U6-V6-Z6-AA6</f>
        <v>0</v>
      </c>
      <c r="X6" s="340"/>
      <c r="Y6" s="340"/>
      <c r="Z6" s="340"/>
      <c r="AA6" s="339"/>
      <c r="AB6" s="339" t="s">
        <v>778</v>
      </c>
      <c r="AC6" s="339">
        <v>826000</v>
      </c>
      <c r="AD6" s="447"/>
      <c r="AE6" s="447"/>
      <c r="AF6" s="447"/>
      <c r="AG6" s="449"/>
      <c r="AH6" s="447"/>
      <c r="AI6" s="447"/>
      <c r="AJ6" s="447"/>
      <c r="AK6" s="447"/>
      <c r="AL6" s="447"/>
      <c r="AM6" s="447"/>
      <c r="AN6" s="449"/>
      <c r="AO6" s="450"/>
      <c r="AP6" s="450"/>
      <c r="AQ6" s="450"/>
      <c r="AR6" s="450"/>
      <c r="AS6" s="450"/>
      <c r="AT6" s="450"/>
      <c r="AU6" s="450"/>
      <c r="AV6" s="366"/>
      <c r="AW6" s="366"/>
      <c r="AX6" s="36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</row>
    <row r="7" spans="1:63" s="346" customFormat="1" ht="33" customHeight="1">
      <c r="A7" s="621">
        <f>COUNT(A5:A6)</f>
        <v>2</v>
      </c>
      <c r="B7" s="622"/>
      <c r="C7" s="623" t="s">
        <v>630</v>
      </c>
      <c r="D7" s="624">
        <f t="shared" ref="D7:AB7" si="1">SUM(D5:D6)</f>
        <v>13896365</v>
      </c>
      <c r="E7" s="624">
        <f t="shared" si="1"/>
        <v>11238365</v>
      </c>
      <c r="F7" s="624">
        <f t="shared" si="1"/>
        <v>2658000</v>
      </c>
      <c r="G7" s="624">
        <f t="shared" si="1"/>
        <v>9770365</v>
      </c>
      <c r="H7" s="624">
        <f t="shared" si="1"/>
        <v>8789697</v>
      </c>
      <c r="I7" s="624">
        <f t="shared" si="1"/>
        <v>0</v>
      </c>
      <c r="J7" s="624">
        <f t="shared" si="1"/>
        <v>619407</v>
      </c>
      <c r="K7" s="624">
        <f t="shared" si="1"/>
        <v>619407</v>
      </c>
      <c r="L7" s="624">
        <f t="shared" si="1"/>
        <v>9409104</v>
      </c>
      <c r="M7" s="624">
        <f t="shared" si="1"/>
        <v>487261</v>
      </c>
      <c r="N7" s="624">
        <f t="shared" si="1"/>
        <v>1500000</v>
      </c>
      <c r="O7" s="624">
        <f t="shared" si="1"/>
        <v>2500000</v>
      </c>
      <c r="P7" s="624">
        <f t="shared" si="1"/>
        <v>361261</v>
      </c>
      <c r="Q7" s="624">
        <f t="shared" si="1"/>
        <v>126000</v>
      </c>
      <c r="R7" s="624">
        <f t="shared" si="1"/>
        <v>0</v>
      </c>
      <c r="S7" s="624">
        <f t="shared" si="1"/>
        <v>126000</v>
      </c>
      <c r="T7" s="624">
        <f t="shared" si="1"/>
        <v>0</v>
      </c>
      <c r="U7" s="624">
        <f t="shared" si="1"/>
        <v>1500000</v>
      </c>
      <c r="V7" s="624">
        <f t="shared" si="1"/>
        <v>0</v>
      </c>
      <c r="W7" s="624">
        <f t="shared" si="1"/>
        <v>1500000</v>
      </c>
      <c r="X7" s="624">
        <f t="shared" si="1"/>
        <v>0</v>
      </c>
      <c r="Y7" s="624">
        <f t="shared" si="1"/>
        <v>0</v>
      </c>
      <c r="Z7" s="624">
        <f t="shared" si="1"/>
        <v>0</v>
      </c>
      <c r="AA7" s="624">
        <f t="shared" si="1"/>
        <v>0</v>
      </c>
      <c r="AB7" s="624">
        <f t="shared" si="1"/>
        <v>0</v>
      </c>
      <c r="AC7" s="624"/>
      <c r="AD7" s="447"/>
      <c r="AE7" s="447"/>
      <c r="AF7" s="447"/>
      <c r="AG7" s="449"/>
      <c r="AH7" s="447"/>
      <c r="AI7" s="447"/>
      <c r="AJ7" s="447"/>
      <c r="AK7" s="447"/>
      <c r="AL7" s="447"/>
      <c r="AM7" s="447"/>
      <c r="AN7" s="449"/>
      <c r="AO7" s="450"/>
      <c r="AP7" s="450"/>
      <c r="AQ7" s="450"/>
      <c r="AR7" s="450"/>
      <c r="AS7" s="450"/>
      <c r="AT7" s="450"/>
      <c r="AU7" s="450"/>
      <c r="AV7" s="366"/>
      <c r="AW7" s="366"/>
      <c r="AX7" s="366"/>
      <c r="AY7" s="314"/>
      <c r="AZ7" s="314"/>
      <c r="BA7" s="314"/>
      <c r="BB7" s="314"/>
      <c r="BC7" s="314"/>
      <c r="BD7" s="314"/>
      <c r="BE7" s="314"/>
      <c r="BF7" s="314"/>
      <c r="BG7" s="314"/>
      <c r="BH7" s="314"/>
      <c r="BI7" s="314"/>
      <c r="BJ7" s="314"/>
      <c r="BK7" s="314"/>
    </row>
    <row r="8" spans="1:63" s="629" customFormat="1" ht="17.25" hidden="1" customHeight="1">
      <c r="A8" s="625"/>
      <c r="B8" s="626"/>
      <c r="C8" s="627"/>
      <c r="D8" s="363">
        <f>SUM(L7:O7)</f>
        <v>13896365</v>
      </c>
      <c r="E8" s="363"/>
      <c r="F8" s="363">
        <f>D7-E7</f>
        <v>2658000</v>
      </c>
      <c r="G8" s="363"/>
      <c r="H8" s="363"/>
      <c r="I8" s="363"/>
      <c r="J8" s="363"/>
      <c r="K8" s="363"/>
      <c r="L8" s="363">
        <f>H7+K7</f>
        <v>9409104</v>
      </c>
      <c r="M8" s="363"/>
      <c r="N8" s="363"/>
      <c r="O8" s="363"/>
      <c r="P8" s="363">
        <f>G7-L8</f>
        <v>361261</v>
      </c>
      <c r="Q8" s="363">
        <f>'ריכוז אגפים 2024'!AV12</f>
        <v>126000</v>
      </c>
      <c r="R8" s="363">
        <f>'עדכוני תקציב 2024'!AE131</f>
        <v>0</v>
      </c>
      <c r="S8" s="363"/>
      <c r="T8" s="363">
        <f>P8+S7-M7</f>
        <v>0</v>
      </c>
      <c r="U8" s="363">
        <f>N7-T8</f>
        <v>1500000</v>
      </c>
      <c r="V8" s="363"/>
      <c r="W8" s="363"/>
      <c r="X8" s="363"/>
      <c r="Y8" s="363"/>
      <c r="Z8" s="363"/>
      <c r="AA8" s="363"/>
      <c r="AB8" s="628"/>
      <c r="AD8" s="630"/>
      <c r="AE8" s="630"/>
      <c r="AF8" s="630"/>
      <c r="AG8" s="631"/>
      <c r="AH8" s="630"/>
      <c r="AI8" s="630"/>
      <c r="AJ8" s="630"/>
      <c r="AK8" s="630"/>
      <c r="AL8" s="630"/>
      <c r="AM8" s="630"/>
      <c r="AN8" s="631"/>
      <c r="AO8" s="632"/>
      <c r="AP8" s="632"/>
      <c r="AQ8" s="359"/>
      <c r="AR8" s="359"/>
      <c r="AS8" s="359"/>
      <c r="AT8" s="359"/>
      <c r="AU8" s="359"/>
      <c r="AV8" s="359"/>
      <c r="AW8" s="359"/>
      <c r="AX8" s="359"/>
    </row>
    <row r="9" spans="1:63" s="350" customFormat="1" ht="17.25" customHeight="1"/>
    <row r="10" spans="1:63" s="355" customFormat="1" ht="17.25" customHeight="1">
      <c r="B10" s="331"/>
      <c r="C10" s="331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S10" s="330"/>
      <c r="T10" s="330"/>
      <c r="U10" s="331"/>
      <c r="V10" s="331"/>
      <c r="W10" s="331"/>
      <c r="X10" s="331"/>
      <c r="Y10" s="331"/>
      <c r="Z10" s="331"/>
      <c r="AA10" s="331"/>
      <c r="AC10" s="331"/>
      <c r="AD10" s="447"/>
      <c r="AE10" s="447"/>
      <c r="AF10" s="447"/>
      <c r="AG10" s="449"/>
      <c r="AH10" s="447"/>
      <c r="AI10" s="447"/>
      <c r="AJ10" s="447"/>
      <c r="AK10" s="447"/>
      <c r="AL10" s="447"/>
      <c r="AM10" s="447"/>
      <c r="AN10" s="449"/>
      <c r="AO10" s="450"/>
      <c r="AP10" s="450"/>
      <c r="AQ10" s="450"/>
      <c r="AR10" s="450"/>
      <c r="AS10" s="450"/>
      <c r="AT10" s="450"/>
      <c r="AU10" s="450"/>
      <c r="AV10" s="366"/>
      <c r="AW10" s="366"/>
      <c r="AX10" s="366"/>
      <c r="AY10" s="331"/>
      <c r="AZ10" s="331"/>
      <c r="BA10" s="331"/>
      <c r="BB10" s="331"/>
      <c r="BC10" s="331"/>
      <c r="BD10" s="331"/>
      <c r="BE10" s="331"/>
      <c r="BF10" s="331"/>
      <c r="BG10" s="331"/>
      <c r="BH10" s="331"/>
      <c r="BI10" s="331"/>
      <c r="BJ10" s="331"/>
      <c r="BK10" s="331"/>
    </row>
    <row r="11" spans="1:63" s="348" customFormat="1">
      <c r="A11" s="347"/>
      <c r="C11" s="349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R11" s="350"/>
      <c r="S11" s="350"/>
      <c r="T11" s="350"/>
      <c r="AB11" s="351"/>
      <c r="AD11" s="447"/>
      <c r="AE11" s="447"/>
      <c r="AF11" s="447"/>
      <c r="AG11" s="449"/>
      <c r="AH11" s="447"/>
      <c r="AI11" s="447"/>
      <c r="AJ11" s="447"/>
      <c r="AK11" s="447"/>
      <c r="AL11" s="447"/>
      <c r="AM11" s="447"/>
      <c r="AN11" s="449"/>
      <c r="AO11" s="450"/>
      <c r="AP11" s="450"/>
    </row>
    <row r="12" spans="1:63" ht="31.5" customHeight="1"/>
    <row r="16" spans="1:63" ht="39" customHeight="1"/>
    <row r="17" ht="50.25" customHeight="1"/>
    <row r="20" ht="37.5" customHeight="1"/>
    <row r="21" ht="31.5" customHeight="1"/>
    <row r="24" ht="39.75" customHeight="1"/>
    <row r="25" ht="33" customHeight="1"/>
    <row r="27" ht="33" customHeight="1"/>
    <row r="29" ht="45.75" customHeight="1"/>
    <row r="31" ht="47.25" customHeight="1"/>
    <row r="33" ht="36.75" customHeight="1"/>
    <row r="37" ht="45" customHeight="1"/>
    <row r="39" ht="58.5" customHeight="1"/>
    <row r="40" ht="50.25" customHeight="1"/>
    <row r="47" ht="51.75" customHeight="1"/>
    <row r="48" ht="35.25" customHeight="1"/>
    <row r="49" ht="31.5" customHeight="1"/>
    <row r="54" ht="37.5" customHeight="1"/>
    <row r="65" ht="48.75" customHeight="1"/>
    <row r="66" ht="31.5" customHeight="1"/>
    <row r="68" ht="45.75" customHeight="1"/>
    <row r="70" ht="33.75" customHeight="1"/>
    <row r="73" ht="27.75" customHeight="1"/>
    <row r="113" spans="1:1">
      <c r="A113" s="355">
        <f>COUNT(A5:A112)</f>
        <v>3</v>
      </c>
    </row>
    <row r="116" spans="1:1">
      <c r="A116" s="355">
        <f>A113+1</f>
        <v>4</v>
      </c>
    </row>
    <row r="119" spans="1:1" ht="37.9" customHeight="1"/>
    <row r="122" spans="1:1" ht="70.900000000000006" customHeight="1"/>
    <row r="125" spans="1:1" ht="72" customHeight="1"/>
    <row r="127" spans="1:1" ht="43.9" customHeight="1"/>
    <row r="129" ht="30" customHeight="1"/>
  </sheetData>
  <sheetProtection formatCells="0" formatColumns="0" formatRows="0" insertColumns="0" insertRows="0" insertHyperlinks="0" deleteColumns="0" deleteRows="0" sort="0" autoFilter="0" pivotTables="0"/>
  <conditionalFormatting sqref="A1:A2 AY1:XFD2 AQ10:AU10 AQ1:AU4 AQ7:AU7 AO12:AU1048576 AG1:AP8 AG10:AN1048576 AO10:AP11">
    <cfRule type="cellIs" dxfId="320" priority="12" operator="equal">
      <formula>0</formula>
    </cfRule>
  </conditionalFormatting>
  <conditionalFormatting sqref="AT1:AT2">
    <cfRule type="cellIs" dxfId="319" priority="11" operator="equal">
      <formula>0</formula>
    </cfRule>
  </conditionalFormatting>
  <conditionalFormatting sqref="AQ10:AU10 AO1:AU3">
    <cfRule type="cellIs" dxfId="318" priority="10" operator="equal">
      <formula>0</formula>
    </cfRule>
  </conditionalFormatting>
  <conditionalFormatting sqref="AP10 AP1:AP2">
    <cfRule type="cellIs" dxfId="317" priority="9" operator="equal">
      <formula>0</formula>
    </cfRule>
  </conditionalFormatting>
  <conditionalFormatting sqref="AO1:AO3 AO10">
    <cfRule type="cellIs" dxfId="316" priority="7" operator="equal">
      <formula>0</formula>
    </cfRule>
  </conditionalFormatting>
  <conditionalFormatting sqref="AO10 AO1:AO2">
    <cfRule type="cellIs" dxfId="315" priority="6" operator="equal">
      <formula>0</formula>
    </cfRule>
  </conditionalFormatting>
  <conditionalFormatting sqref="AO1:AO3 AO10">
    <cfRule type="cellIs" dxfId="314" priority="8" operator="equal">
      <formula>0</formula>
    </cfRule>
  </conditionalFormatting>
  <conditionalFormatting sqref="AQ5:AU5">
    <cfRule type="cellIs" dxfId="313" priority="5" operator="equal">
      <formula>0</formula>
    </cfRule>
  </conditionalFormatting>
  <conditionalFormatting sqref="AQ5:AU5">
    <cfRule type="cellIs" dxfId="312" priority="4" operator="equal">
      <formula>0</formula>
    </cfRule>
  </conditionalFormatting>
  <conditionalFormatting sqref="AQ6:AU6">
    <cfRule type="cellIs" dxfId="311" priority="3" operator="equal">
      <formula>0</formula>
    </cfRule>
  </conditionalFormatting>
  <conditionalFormatting sqref="AQ6:AU6">
    <cfRule type="cellIs" dxfId="310" priority="2" operator="equal">
      <formula>0</formula>
    </cfRule>
  </conditionalFormatting>
  <conditionalFormatting sqref="AD1:AF8 AD10:AF1048576">
    <cfRule type="cellIs" dxfId="309" priority="1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8"/>
  <sheetViews>
    <sheetView rightToLeft="1" zoomScaleNormal="100" workbookViewId="0">
      <selection activeCell="U4" sqref="U4"/>
    </sheetView>
  </sheetViews>
  <sheetFormatPr defaultColWidth="9.140625" defaultRowHeight="14.25"/>
  <cols>
    <col min="1" max="2" width="4.140625" style="63" customWidth="1"/>
    <col min="3" max="3" width="34.7109375" style="63" customWidth="1"/>
    <col min="4" max="4" width="10.7109375" style="63" customWidth="1"/>
    <col min="5" max="5" width="12.140625" style="63" customWidth="1"/>
    <col min="6" max="6" width="9" style="63" customWidth="1"/>
    <col min="7" max="7" width="13" style="63" customWidth="1"/>
    <col min="8" max="8" width="9.140625" style="63" hidden="1" customWidth="1"/>
    <col min="9" max="9" width="12.28515625" style="63" customWidth="1"/>
    <col min="10" max="10" width="13.28515625" style="63" customWidth="1"/>
    <col min="11" max="11" width="7.85546875" style="63" customWidth="1"/>
    <col min="12" max="14" width="9.140625" style="63" customWidth="1"/>
    <col min="15" max="18" width="9.140625" style="63"/>
    <col min="19" max="19" width="9.140625" style="63" customWidth="1"/>
    <col min="20" max="16384" width="9.140625" style="63"/>
  </cols>
  <sheetData>
    <row r="2" spans="1:17" s="73" customFormat="1" ht="18.75">
      <c r="A2" s="71" t="s">
        <v>134</v>
      </c>
      <c r="B2" s="71"/>
      <c r="C2" s="72" t="s">
        <v>870</v>
      </c>
      <c r="D2" s="71"/>
      <c r="E2" s="71"/>
      <c r="F2" s="71"/>
      <c r="G2" s="71"/>
      <c r="I2" s="71"/>
      <c r="J2" s="71"/>
    </row>
    <row r="3" spans="1:17" ht="15.75">
      <c r="A3" s="65"/>
      <c r="B3" s="65"/>
      <c r="C3" s="66"/>
      <c r="D3" s="65"/>
      <c r="E3" s="65"/>
      <c r="F3" s="65"/>
      <c r="G3" s="65"/>
      <c r="I3" s="65"/>
      <c r="J3" s="65"/>
    </row>
    <row r="4" spans="1:17" ht="15.75">
      <c r="C4" s="65" t="s">
        <v>871</v>
      </c>
      <c r="D4" s="65"/>
      <c r="E4" s="65"/>
      <c r="F4" s="65"/>
      <c r="G4" s="65"/>
      <c r="I4" s="65"/>
      <c r="J4" s="65"/>
    </row>
    <row r="5" spans="1:17" ht="15.75">
      <c r="C5" s="65" t="s">
        <v>872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15.75"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ht="15.75">
      <c r="C7" s="65" t="s">
        <v>135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17" ht="15.75"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</row>
    <row r="9" spans="1:17" ht="15.75">
      <c r="B9" s="68" t="s">
        <v>105</v>
      </c>
      <c r="C9" s="65" t="s">
        <v>13</v>
      </c>
      <c r="D9" s="74">
        <v>273999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17" ht="15.75">
      <c r="B10" s="68" t="s">
        <v>105</v>
      </c>
      <c r="C10" s="65" t="s">
        <v>14</v>
      </c>
      <c r="D10" s="74">
        <v>30000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7" ht="15.75">
      <c r="B11" s="68" t="s">
        <v>105</v>
      </c>
      <c r="C11" s="65" t="s">
        <v>136</v>
      </c>
      <c r="D11" s="74">
        <v>-770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7" ht="15.75">
      <c r="B12" s="68" t="s">
        <v>105</v>
      </c>
      <c r="C12" s="65" t="s">
        <v>873</v>
      </c>
      <c r="D12" s="74">
        <v>40141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7" ht="15.75" hidden="1">
      <c r="B13" s="68" t="s">
        <v>105</v>
      </c>
      <c r="C13" s="65" t="s">
        <v>385</v>
      </c>
      <c r="D13" s="74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7" ht="18">
      <c r="B14" s="68" t="s">
        <v>105</v>
      </c>
      <c r="C14" s="65" t="s">
        <v>137</v>
      </c>
      <c r="D14" s="75">
        <v>109294</v>
      </c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1:17" ht="18">
      <c r="C15" s="67" t="s">
        <v>75</v>
      </c>
      <c r="D15" s="76">
        <f>SUM(D9:D14)</f>
        <v>452664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1:17" ht="11.45" hidden="1" customHeight="1">
      <c r="C16" s="67"/>
      <c r="D16" s="76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</row>
    <row r="17" spans="1:17" ht="15.75" hidden="1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17" ht="18">
      <c r="C18" s="67"/>
      <c r="D18" s="76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</row>
    <row r="19" spans="1:17" ht="15.75">
      <c r="B19" s="65"/>
      <c r="C19" s="65" t="s">
        <v>874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</row>
    <row r="20" spans="1:17" ht="15.75"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ht="47.25">
      <c r="C21" s="77" t="s">
        <v>138</v>
      </c>
      <c r="D21" s="78" t="s">
        <v>13</v>
      </c>
      <c r="E21" s="78" t="s">
        <v>14</v>
      </c>
      <c r="F21" s="78" t="s">
        <v>15</v>
      </c>
      <c r="G21" s="78" t="s">
        <v>873</v>
      </c>
      <c r="H21" s="78" t="s">
        <v>385</v>
      </c>
      <c r="I21" s="78" t="s">
        <v>139</v>
      </c>
      <c r="J21" s="78" t="s">
        <v>75</v>
      </c>
      <c r="K21" s="65"/>
      <c r="L21" s="65"/>
      <c r="M21" s="65"/>
      <c r="N21" s="65"/>
      <c r="O21" s="65"/>
      <c r="P21" s="65"/>
      <c r="Q21" s="65"/>
    </row>
    <row r="22" spans="1:17" ht="31.5" customHeight="1">
      <c r="C22" s="79" t="s">
        <v>642</v>
      </c>
      <c r="D22" s="80">
        <f>D9</f>
        <v>273999</v>
      </c>
      <c r="E22" s="80">
        <f>D10</f>
        <v>30000</v>
      </c>
      <c r="F22" s="80">
        <f>D11</f>
        <v>-770</v>
      </c>
      <c r="G22" s="80">
        <f>D12</f>
        <v>40141</v>
      </c>
      <c r="H22" s="80">
        <f>D13</f>
        <v>0</v>
      </c>
      <c r="I22" s="80">
        <f>D14</f>
        <v>109294</v>
      </c>
      <c r="J22" s="80">
        <f>SUM(D22:I22)</f>
        <v>452664</v>
      </c>
      <c r="K22" s="65"/>
      <c r="L22" s="65"/>
      <c r="M22" s="65"/>
      <c r="N22" s="65"/>
      <c r="O22" s="65"/>
      <c r="P22" s="65"/>
      <c r="Q22" s="65"/>
    </row>
    <row r="23" spans="1:17" ht="31.5" customHeight="1">
      <c r="C23" s="79" t="s">
        <v>875</v>
      </c>
      <c r="D23" s="80">
        <f>'ריכוז אגפים 2024'!BE17/1000</f>
        <v>214435.96100000001</v>
      </c>
      <c r="E23" s="80">
        <f>'ריכוז אגפים 2024'!BF17/1000</f>
        <v>26171.121999999999</v>
      </c>
      <c r="F23" s="80">
        <f>'ריכוז אגפים 2024'!BG17/1000</f>
        <v>-770</v>
      </c>
      <c r="G23" s="80">
        <f>'ריכוז אגפים 2024'!BH17/1000</f>
        <v>31405</v>
      </c>
      <c r="H23" s="80">
        <f>'ריכוז אגפים 2024'!BI17/1000</f>
        <v>0</v>
      </c>
      <c r="I23" s="80">
        <f>'ריכוז אגפים 2024'!BJ17/1000</f>
        <v>67451.479000000007</v>
      </c>
      <c r="J23" s="80">
        <f>SUM(D23:I23)</f>
        <v>338693.56199999998</v>
      </c>
      <c r="K23" s="65"/>
      <c r="L23" s="65"/>
      <c r="M23" s="65"/>
      <c r="N23" s="65"/>
      <c r="O23" s="65"/>
      <c r="P23" s="65"/>
      <c r="Q23" s="65"/>
    </row>
    <row r="24" spans="1:17" ht="31.5" customHeight="1">
      <c r="C24" s="79" t="s">
        <v>140</v>
      </c>
      <c r="D24" s="80">
        <f t="shared" ref="D24:J24" si="0">D23/D22*100</f>
        <v>78.26158526126008</v>
      </c>
      <c r="E24" s="80">
        <f t="shared" si="0"/>
        <v>87.237073333333328</v>
      </c>
      <c r="F24" s="80">
        <f t="shared" si="0"/>
        <v>100</v>
      </c>
      <c r="G24" s="80">
        <f t="shared" si="0"/>
        <v>78.236715577588996</v>
      </c>
      <c r="H24" s="80" t="e">
        <f t="shared" si="0"/>
        <v>#DIV/0!</v>
      </c>
      <c r="I24" s="80">
        <f t="shared" si="0"/>
        <v>61.715628488297625</v>
      </c>
      <c r="J24" s="80">
        <f t="shared" si="0"/>
        <v>74.822288054716083</v>
      </c>
      <c r="K24" s="65"/>
      <c r="L24" s="65"/>
      <c r="M24" s="65"/>
      <c r="N24" s="65"/>
      <c r="O24" s="65"/>
      <c r="P24" s="65"/>
      <c r="Q24" s="65"/>
    </row>
    <row r="25" spans="1:17" ht="31.5" customHeight="1">
      <c r="C25" s="81" t="s">
        <v>876</v>
      </c>
      <c r="D25" s="80">
        <f>'עדכוני תקציב 2024'!AH155/1000</f>
        <v>38475.972999999998</v>
      </c>
      <c r="E25" s="80">
        <f>'עדכוני תקציב 2024'!AI155/1000</f>
        <v>14079.5</v>
      </c>
      <c r="F25" s="80">
        <f>'עדכוני תקציב 2024'!AJ155/1000</f>
        <v>0</v>
      </c>
      <c r="G25" s="80">
        <f>'עדכוני תקציב 2024'!AK155/1000</f>
        <v>3700</v>
      </c>
      <c r="H25" s="80"/>
      <c r="I25" s="80">
        <f>'עדכוני תקציב 2024'!AL155/1000</f>
        <v>30104.685000000001</v>
      </c>
      <c r="J25" s="80">
        <f>SUM(D25:I25)</f>
        <v>86360.157999999996</v>
      </c>
      <c r="K25" s="65"/>
      <c r="L25" s="65"/>
      <c r="M25" s="65"/>
      <c r="N25" s="65"/>
      <c r="O25" s="65"/>
      <c r="P25" s="65"/>
      <c r="Q25" s="65"/>
    </row>
    <row r="26" spans="1:17" ht="31.5" customHeight="1">
      <c r="C26" s="79" t="s">
        <v>141</v>
      </c>
      <c r="D26" s="80">
        <f t="shared" ref="D26:J26" si="1">D23+D25</f>
        <v>252911.93400000001</v>
      </c>
      <c r="E26" s="80">
        <f t="shared" si="1"/>
        <v>40250.622000000003</v>
      </c>
      <c r="F26" s="80">
        <f t="shared" si="1"/>
        <v>-770</v>
      </c>
      <c r="G26" s="80">
        <f t="shared" si="1"/>
        <v>35105</v>
      </c>
      <c r="H26" s="80">
        <f t="shared" si="1"/>
        <v>0</v>
      </c>
      <c r="I26" s="80">
        <f t="shared" si="1"/>
        <v>97556.164000000004</v>
      </c>
      <c r="J26" s="80">
        <f t="shared" si="1"/>
        <v>425053.72</v>
      </c>
      <c r="K26" s="65"/>
      <c r="L26" s="65"/>
      <c r="M26" s="65"/>
      <c r="N26" s="65"/>
      <c r="O26" s="65"/>
      <c r="P26" s="65"/>
      <c r="Q26" s="65"/>
    </row>
    <row r="27" spans="1:17" ht="31.5" customHeight="1">
      <c r="C27" s="79" t="s">
        <v>140</v>
      </c>
      <c r="D27" s="80">
        <f t="shared" ref="D27:J27" si="2">D26/D22*100</f>
        <v>92.303962423220526</v>
      </c>
      <c r="E27" s="80">
        <f t="shared" si="2"/>
        <v>134.16874000000001</v>
      </c>
      <c r="F27" s="80">
        <f t="shared" si="2"/>
        <v>100</v>
      </c>
      <c r="G27" s="80">
        <f t="shared" si="2"/>
        <v>87.454223860890352</v>
      </c>
      <c r="H27" s="80" t="e">
        <f t="shared" si="2"/>
        <v>#DIV/0!</v>
      </c>
      <c r="I27" s="80">
        <f t="shared" si="2"/>
        <v>89.260310721540066</v>
      </c>
      <c r="J27" s="80">
        <f t="shared" si="2"/>
        <v>93.900491313645446</v>
      </c>
      <c r="K27" s="65"/>
      <c r="M27" s="65"/>
      <c r="N27" s="65"/>
      <c r="O27" s="65"/>
      <c r="P27" s="65"/>
      <c r="Q27" s="65"/>
    </row>
    <row r="28" spans="1:17" ht="15.75"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1:17" ht="15.75">
      <c r="C29" s="146" t="s">
        <v>1425</v>
      </c>
      <c r="D29" s="146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1:17" ht="15.7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ht="15.7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7" ht="15.7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1:17" ht="15.7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1:17" ht="15.7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1:17" ht="15.75">
      <c r="A35" s="65"/>
      <c r="B35" s="65"/>
      <c r="C35" s="68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1:17" ht="15.75">
      <c r="A36" s="65"/>
      <c r="B36" s="65"/>
      <c r="C36" s="68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1:17" ht="15.75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</row>
    <row r="38" spans="1:17" ht="15.75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ht="15.75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17" ht="15.75">
      <c r="A40" s="70"/>
      <c r="B40" s="70"/>
      <c r="C40" s="70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17" ht="15.75">
      <c r="A41" s="70"/>
      <c r="B41" s="70"/>
      <c r="C41" s="70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ht="15.75">
      <c r="A42" s="70"/>
      <c r="B42" s="70"/>
      <c r="C42" s="70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1:17" ht="15.75">
      <c r="A43" s="70"/>
      <c r="B43" s="70"/>
      <c r="C43" s="70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1:17" ht="15.75">
      <c r="A44" s="70"/>
      <c r="B44" s="70"/>
      <c r="C44" s="70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1:17" ht="15.75">
      <c r="A45" s="70"/>
      <c r="B45" s="70"/>
      <c r="C45" s="70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t="15.75">
      <c r="A46" s="70"/>
      <c r="B46" s="70"/>
      <c r="C46" s="70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ht="15.75"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ht="15.75"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3:Q23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34.85546875" style="167" customWidth="1"/>
    <col min="5" max="5" width="30.42578125" style="167" customWidth="1"/>
    <col min="6" max="6" width="10.855468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3" spans="1:17" ht="20.25">
      <c r="A3" s="166"/>
      <c r="C3" s="168" t="s">
        <v>195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0.25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20.25">
      <c r="A5" s="166"/>
      <c r="C5" s="168"/>
      <c r="D5" s="166"/>
      <c r="E5" s="166"/>
      <c r="F5" s="166"/>
      <c r="G5" s="166"/>
      <c r="H5" s="166"/>
      <c r="I5" s="166"/>
      <c r="J5" s="166"/>
      <c r="K5" s="166"/>
      <c r="L5" s="166"/>
    </row>
    <row r="6" spans="1:17" ht="21" thickBot="1">
      <c r="A6" s="166"/>
      <c r="C6" s="168"/>
      <c r="D6" s="166"/>
      <c r="E6" s="166"/>
      <c r="F6" s="166"/>
      <c r="G6" s="166"/>
      <c r="H6" s="166"/>
      <c r="I6" s="166"/>
      <c r="J6" s="166"/>
      <c r="K6" s="166"/>
      <c r="L6" s="166"/>
    </row>
    <row r="7" spans="1:17" ht="16.5" thickBot="1">
      <c r="A7" s="166"/>
      <c r="B7" s="169" t="s">
        <v>105</v>
      </c>
      <c r="C7" s="166" t="s">
        <v>895</v>
      </c>
      <c r="D7" s="166"/>
      <c r="E7" s="166"/>
      <c r="F7" s="170">
        <f>'תקציב החברה לתירות 2025 '!U13</f>
        <v>2145753</v>
      </c>
      <c r="I7" s="166"/>
      <c r="J7" s="166"/>
      <c r="K7" s="166"/>
      <c r="L7" s="166"/>
    </row>
    <row r="8" spans="1:17" ht="21" thickBot="1">
      <c r="A8" s="166"/>
      <c r="C8" s="168"/>
      <c r="D8" s="166"/>
      <c r="E8" s="166"/>
      <c r="F8" s="166"/>
      <c r="H8" s="166"/>
      <c r="I8" s="166"/>
      <c r="J8" s="166"/>
      <c r="K8" s="166"/>
      <c r="L8" s="166"/>
    </row>
    <row r="9" spans="1:17" ht="16.5" thickBot="1">
      <c r="B9" s="169" t="s">
        <v>105</v>
      </c>
      <c r="C9" s="166" t="s">
        <v>787</v>
      </c>
      <c r="D9" s="166"/>
      <c r="F9" s="170">
        <f>'תקציב החברה לתירות 2025 '!A13</f>
        <v>8</v>
      </c>
      <c r="I9" s="166"/>
      <c r="J9" s="166"/>
      <c r="K9" s="166"/>
      <c r="L9" s="166"/>
      <c r="M9" s="166"/>
      <c r="N9" s="166"/>
      <c r="O9" s="166"/>
      <c r="P9" s="166"/>
      <c r="Q9" s="166"/>
    </row>
    <row r="10" spans="1:17" ht="15.75">
      <c r="B10" s="169"/>
      <c r="C10" s="166"/>
      <c r="D10" s="166"/>
      <c r="F10" s="172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B11" s="169"/>
      <c r="C11" s="166"/>
      <c r="D11" s="166"/>
      <c r="F11" s="172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>
      <c r="B12" s="169" t="s">
        <v>105</v>
      </c>
      <c r="C12" s="166" t="s">
        <v>190</v>
      </c>
      <c r="D12" s="166"/>
      <c r="E12" s="166"/>
      <c r="F12" s="166"/>
      <c r="G12" s="166"/>
      <c r="H12" s="166"/>
      <c r="I12" s="166"/>
      <c r="J12" s="166"/>
      <c r="K12" s="166"/>
      <c r="L12" s="166"/>
    </row>
    <row r="13" spans="1:17" ht="16.5" thickBot="1"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5.75">
      <c r="D14" s="177" t="s">
        <v>191</v>
      </c>
      <c r="E14" s="178" t="s">
        <v>192</v>
      </c>
      <c r="F14" s="179" t="s">
        <v>193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C15" s="169"/>
      <c r="D15" s="173" t="s">
        <v>13</v>
      </c>
      <c r="E15" s="180">
        <f>'תקציב החברה לתירות 2025 '!V13</f>
        <v>1800000</v>
      </c>
      <c r="F15" s="186">
        <f>E15/$E$17</f>
        <v>0.83886635600649284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5.75">
      <c r="C16" s="169"/>
      <c r="D16" s="173" t="s">
        <v>67</v>
      </c>
      <c r="E16" s="180">
        <f>'תקציב החברה לתירות 2025 '!AA13</f>
        <v>345753</v>
      </c>
      <c r="F16" s="186">
        <f>E16/$E$17</f>
        <v>0.16113364399350719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2:17" ht="16.5" thickBot="1">
      <c r="C17" s="169"/>
      <c r="D17" s="175" t="s">
        <v>75</v>
      </c>
      <c r="E17" s="182">
        <f>SUM(E15:E16)</f>
        <v>2145753</v>
      </c>
      <c r="F17" s="109">
        <f>SUM(F15:F16)</f>
        <v>1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2:17" ht="15.75">
      <c r="C18" s="169"/>
      <c r="D18" s="172"/>
      <c r="E18" s="189"/>
      <c r="F18" s="190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2:17" ht="15.75">
      <c r="C19" s="169"/>
      <c r="D19" s="172"/>
      <c r="E19" s="189"/>
      <c r="F19" s="190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</row>
    <row r="20" spans="2:17" ht="15.75">
      <c r="B20" s="169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</row>
    <row r="21" spans="2:17" ht="15.75">
      <c r="B21" s="169" t="s">
        <v>105</v>
      </c>
      <c r="C21" s="420" t="s">
        <v>1314</v>
      </c>
      <c r="D21" s="166"/>
      <c r="F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</row>
    <row r="22" spans="2:17" ht="15.75">
      <c r="C22" s="166"/>
      <c r="D22" s="166"/>
      <c r="E22" s="166"/>
      <c r="F22" s="166"/>
      <c r="H22" s="166"/>
      <c r="I22" s="166"/>
      <c r="J22" s="166"/>
      <c r="K22" s="166"/>
      <c r="L22" s="166"/>
    </row>
    <row r="23" spans="2:17" ht="15.75">
      <c r="B23" s="169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R127"/>
  <sheetViews>
    <sheetView showZeros="0" rightToLeft="1" zoomScaleNormal="100" workbookViewId="0">
      <pane xSplit="3" ySplit="4" topLeftCell="D5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"/>
  <cols>
    <col min="1" max="1" width="3.7109375" style="123" customWidth="1"/>
    <col min="2" max="2" width="5.7109375" style="123" customWidth="1"/>
    <col min="3" max="3" width="17.7109375" style="131" customWidth="1"/>
    <col min="4" max="5" width="11.140625" style="124" customWidth="1"/>
    <col min="6" max="6" width="10" style="124" customWidth="1"/>
    <col min="7" max="9" width="9.7109375" style="124" hidden="1" customWidth="1"/>
    <col min="10" max="10" width="12" style="124" hidden="1" customWidth="1"/>
    <col min="11" max="11" width="9.7109375" style="124" hidden="1" customWidth="1"/>
    <col min="12" max="12" width="8.85546875" style="124" customWidth="1"/>
    <col min="13" max="13" width="10" style="124" customWidth="1"/>
    <col min="14" max="14" width="9.85546875" style="124" customWidth="1"/>
    <col min="15" max="15" width="11.140625" style="124" customWidth="1"/>
    <col min="16" max="19" width="9.7109375" style="124" hidden="1" customWidth="1"/>
    <col min="20" max="20" width="7.42578125" style="124" customWidth="1"/>
    <col min="21" max="21" width="10.5703125" style="123" customWidth="1"/>
    <col min="22" max="22" width="10.7109375" style="123" customWidth="1"/>
    <col min="23" max="26" width="9.7109375" style="123" hidden="1" customWidth="1"/>
    <col min="27" max="27" width="9.140625" style="123" customWidth="1"/>
    <col min="28" max="28" width="31.85546875" style="123" customWidth="1"/>
    <col min="29" max="29" width="9.7109375" style="123" hidden="1" customWidth="1"/>
    <col min="30" max="31" width="13.5703125" style="123" customWidth="1"/>
    <col min="32" max="32" width="17" style="123" customWidth="1"/>
    <col min="33" max="33" width="9.140625" style="123"/>
    <col min="34" max="34" width="24.5703125" style="123" customWidth="1"/>
    <col min="35" max="35" width="32.5703125" style="123" customWidth="1"/>
    <col min="36" max="36" width="8.28515625" style="123" customWidth="1"/>
    <col min="37" max="37" width="13.5703125" style="123" customWidth="1"/>
    <col min="38" max="38" width="17" style="123" customWidth="1"/>
    <col min="39" max="39" width="13.5703125" style="123" customWidth="1"/>
    <col min="40" max="40" width="17" style="123" customWidth="1"/>
    <col min="41" max="41" width="13.5703125" style="123" hidden="1" customWidth="1"/>
    <col min="42" max="42" width="17" style="123" hidden="1" customWidth="1"/>
    <col min="43" max="43" width="13.5703125" style="123" hidden="1" customWidth="1"/>
    <col min="44" max="44" width="17" style="123" customWidth="1"/>
    <col min="45" max="16384" width="9.140625" style="123"/>
  </cols>
  <sheetData>
    <row r="1" spans="1:44" s="132" customFormat="1" ht="18.75">
      <c r="A1" s="145"/>
      <c r="B1" s="145"/>
      <c r="C1" s="223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215"/>
      <c r="Y1" s="215"/>
      <c r="Z1" s="215"/>
      <c r="AD1" s="123"/>
      <c r="AE1" s="123"/>
      <c r="AF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1:44" ht="18.75">
      <c r="A2" s="145" t="s">
        <v>79</v>
      </c>
      <c r="B2" s="145"/>
      <c r="C2" s="223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V2" s="145"/>
      <c r="W2" s="145"/>
    </row>
    <row r="3" spans="1:44" ht="24" customHeight="1"/>
    <row r="4" spans="1:44" s="206" customFormat="1" ht="86.25" customHeight="1">
      <c r="A4" s="125" t="s">
        <v>0</v>
      </c>
      <c r="B4" s="125" t="s">
        <v>1</v>
      </c>
      <c r="C4" s="125" t="s">
        <v>2</v>
      </c>
      <c r="D4" s="391" t="s">
        <v>3</v>
      </c>
      <c r="E4" s="125" t="s">
        <v>4</v>
      </c>
      <c r="F4" s="125" t="s">
        <v>5</v>
      </c>
      <c r="G4" s="125" t="s">
        <v>6</v>
      </c>
      <c r="H4" s="125" t="s">
        <v>7</v>
      </c>
      <c r="I4" s="125" t="s">
        <v>9</v>
      </c>
      <c r="J4" s="125" t="s">
        <v>101</v>
      </c>
      <c r="K4" s="125" t="s">
        <v>10</v>
      </c>
      <c r="L4" s="125" t="s">
        <v>11</v>
      </c>
      <c r="M4" s="391" t="s">
        <v>793</v>
      </c>
      <c r="N4" s="391" t="s">
        <v>794</v>
      </c>
      <c r="O4" s="2" t="s">
        <v>795</v>
      </c>
      <c r="P4" s="2" t="s">
        <v>12</v>
      </c>
      <c r="Q4" s="328" t="s">
        <v>796</v>
      </c>
      <c r="R4" s="328" t="s">
        <v>797</v>
      </c>
      <c r="S4" s="2" t="s">
        <v>798</v>
      </c>
      <c r="T4" s="2" t="s">
        <v>799</v>
      </c>
      <c r="U4" s="2" t="s">
        <v>800</v>
      </c>
      <c r="V4" s="125" t="s">
        <v>13</v>
      </c>
      <c r="W4" s="125" t="s">
        <v>14</v>
      </c>
      <c r="X4" s="125" t="s">
        <v>15</v>
      </c>
      <c r="Y4" s="125" t="s">
        <v>185</v>
      </c>
      <c r="Z4" s="125" t="s">
        <v>385</v>
      </c>
      <c r="AA4" s="125" t="s">
        <v>67</v>
      </c>
      <c r="AB4" s="13" t="s">
        <v>207</v>
      </c>
      <c r="AC4" s="125" t="s">
        <v>16</v>
      </c>
      <c r="AD4" s="123"/>
      <c r="AE4" s="123"/>
      <c r="AF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</row>
    <row r="5" spans="1:44" s="128" customFormat="1" ht="30">
      <c r="A5" s="127">
        <v>1</v>
      </c>
      <c r="B5" s="127">
        <v>1519</v>
      </c>
      <c r="C5" s="127" t="s">
        <v>66</v>
      </c>
      <c r="D5" s="112">
        <v>8493000</v>
      </c>
      <c r="E5" s="112">
        <v>8493000</v>
      </c>
      <c r="F5" s="112">
        <f>D5-E5</f>
        <v>0</v>
      </c>
      <c r="G5" s="112">
        <f>5466529-419247</f>
        <v>5047282</v>
      </c>
      <c r="H5" s="112">
        <v>5037404</v>
      </c>
      <c r="I5" s="112">
        <v>0</v>
      </c>
      <c r="J5" s="112">
        <v>0</v>
      </c>
      <c r="K5" s="112">
        <f>SUM(I5:J5)</f>
        <v>0</v>
      </c>
      <c r="L5" s="112">
        <f t="shared" ref="L5:L9" si="0">H5+K5</f>
        <v>5037404</v>
      </c>
      <c r="M5" s="112">
        <f>P5+S5</f>
        <v>429125</v>
      </c>
      <c r="N5" s="112">
        <v>345753</v>
      </c>
      <c r="O5" s="112">
        <f>D5-L5-M5-N5</f>
        <v>2680718</v>
      </c>
      <c r="P5" s="112">
        <f t="shared" ref="P5:P9" si="1">G5-L5</f>
        <v>9878</v>
      </c>
      <c r="Q5" s="112">
        <v>419247</v>
      </c>
      <c r="R5" s="112"/>
      <c r="S5" s="112">
        <f t="shared" ref="S5:S9" si="2">SUM(Q5:R5)</f>
        <v>419247</v>
      </c>
      <c r="T5" s="112">
        <f t="shared" ref="T5:T9" si="3">P5-M5+S5</f>
        <v>0</v>
      </c>
      <c r="U5" s="452">
        <f>N5-T5</f>
        <v>345753</v>
      </c>
      <c r="V5" s="112">
        <f>U5-AA5</f>
        <v>0</v>
      </c>
      <c r="W5" s="112"/>
      <c r="X5" s="112"/>
      <c r="Y5" s="112"/>
      <c r="Z5" s="112"/>
      <c r="AA5" s="112">
        <v>345753</v>
      </c>
      <c r="AB5" s="213" t="s">
        <v>711</v>
      </c>
      <c r="AC5" s="127">
        <v>732000</v>
      </c>
      <c r="AD5" s="123"/>
      <c r="AE5" s="123"/>
      <c r="AF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</row>
    <row r="6" spans="1:44" s="5" customFormat="1" ht="30" customHeight="1">
      <c r="A6" s="127">
        <f>A5+1</f>
        <v>2</v>
      </c>
      <c r="B6" s="19">
        <v>20080</v>
      </c>
      <c r="C6" s="202" t="s">
        <v>565</v>
      </c>
      <c r="D6" s="112">
        <v>8000000</v>
      </c>
      <c r="E6" s="112">
        <v>8000000</v>
      </c>
      <c r="F6" s="112">
        <f t="shared" ref="F6:F9" si="4">D6-E6</f>
        <v>0</v>
      </c>
      <c r="G6" s="112">
        <v>750000</v>
      </c>
      <c r="H6" s="112">
        <v>194864</v>
      </c>
      <c r="I6" s="112">
        <v>0</v>
      </c>
      <c r="J6" s="112">
        <v>0</v>
      </c>
      <c r="K6" s="112">
        <f t="shared" ref="K6:K9" si="5">SUM(I6:J6)</f>
        <v>0</v>
      </c>
      <c r="L6" s="112">
        <f t="shared" si="0"/>
        <v>194864</v>
      </c>
      <c r="M6" s="112">
        <f t="shared" ref="M6:M9" si="6">P6+S6</f>
        <v>555136</v>
      </c>
      <c r="N6" s="112">
        <f>350000-50000</f>
        <v>300000</v>
      </c>
      <c r="O6" s="112">
        <f t="shared" ref="O6:O9" si="7">D6-L6-M6-N6</f>
        <v>6950000</v>
      </c>
      <c r="P6" s="112">
        <f t="shared" si="1"/>
        <v>555136</v>
      </c>
      <c r="Q6" s="112"/>
      <c r="R6" s="112"/>
      <c r="S6" s="112">
        <f t="shared" si="2"/>
        <v>0</v>
      </c>
      <c r="T6" s="112">
        <f t="shared" si="3"/>
        <v>0</v>
      </c>
      <c r="U6" s="452">
        <f t="shared" ref="U6:U9" si="8">N6-T6</f>
        <v>300000</v>
      </c>
      <c r="V6" s="112">
        <f t="shared" ref="V6:V9" si="9">U6-AA6</f>
        <v>300000</v>
      </c>
      <c r="W6" s="112"/>
      <c r="X6" s="112"/>
      <c r="Y6" s="112"/>
      <c r="Z6" s="112"/>
      <c r="AA6" s="112"/>
      <c r="AB6" s="202" t="s">
        <v>567</v>
      </c>
      <c r="AC6" s="3">
        <v>747000</v>
      </c>
      <c r="AD6" s="123"/>
      <c r="AE6" s="123"/>
      <c r="AF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</row>
    <row r="7" spans="1:44" s="5" customFormat="1" ht="30" customHeight="1">
      <c r="A7" s="127">
        <f t="shared" ref="A7:A12" si="10">A6+1</f>
        <v>3</v>
      </c>
      <c r="B7" s="19">
        <v>20130</v>
      </c>
      <c r="C7" s="412" t="s">
        <v>681</v>
      </c>
      <c r="D7" s="112">
        <v>540000</v>
      </c>
      <c r="E7" s="112">
        <v>540000</v>
      </c>
      <c r="F7" s="112">
        <f t="shared" si="4"/>
        <v>0</v>
      </c>
      <c r="G7" s="112"/>
      <c r="H7" s="112">
        <v>0</v>
      </c>
      <c r="I7" s="112">
        <v>0</v>
      </c>
      <c r="J7" s="112">
        <v>0</v>
      </c>
      <c r="K7" s="112">
        <f t="shared" si="5"/>
        <v>0</v>
      </c>
      <c r="L7" s="112">
        <f t="shared" si="0"/>
        <v>0</v>
      </c>
      <c r="M7" s="112">
        <f t="shared" si="6"/>
        <v>540000</v>
      </c>
      <c r="N7" s="112"/>
      <c r="O7" s="112">
        <f t="shared" si="7"/>
        <v>0</v>
      </c>
      <c r="P7" s="112">
        <f t="shared" si="1"/>
        <v>0</v>
      </c>
      <c r="Q7" s="112">
        <v>540000</v>
      </c>
      <c r="R7" s="112"/>
      <c r="S7" s="112">
        <f t="shared" si="2"/>
        <v>540000</v>
      </c>
      <c r="T7" s="112">
        <f t="shared" si="3"/>
        <v>0</v>
      </c>
      <c r="U7" s="452">
        <f t="shared" si="8"/>
        <v>0</v>
      </c>
      <c r="V7" s="112">
        <f t="shared" si="9"/>
        <v>0</v>
      </c>
      <c r="W7" s="112"/>
      <c r="X7" s="112"/>
      <c r="Y7" s="112"/>
      <c r="Z7" s="112"/>
      <c r="AA7" s="112"/>
      <c r="AB7" s="19" t="s">
        <v>682</v>
      </c>
      <c r="AC7" s="3">
        <v>747000</v>
      </c>
      <c r="AD7" s="123"/>
      <c r="AE7" s="123"/>
      <c r="AF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</row>
    <row r="8" spans="1:44" s="5" customFormat="1" ht="30" customHeight="1">
      <c r="A8" s="127">
        <f t="shared" si="10"/>
        <v>4</v>
      </c>
      <c r="B8" s="19">
        <v>20131</v>
      </c>
      <c r="C8" s="207" t="s">
        <v>631</v>
      </c>
      <c r="D8" s="112">
        <v>1000000</v>
      </c>
      <c r="E8" s="112">
        <v>1000000</v>
      </c>
      <c r="F8" s="112">
        <f t="shared" si="4"/>
        <v>0</v>
      </c>
      <c r="G8" s="112">
        <v>0</v>
      </c>
      <c r="H8" s="112">
        <v>0</v>
      </c>
      <c r="I8" s="112">
        <v>0</v>
      </c>
      <c r="J8" s="112">
        <v>0</v>
      </c>
      <c r="K8" s="112">
        <f t="shared" si="5"/>
        <v>0</v>
      </c>
      <c r="L8" s="112">
        <f t="shared" si="0"/>
        <v>0</v>
      </c>
      <c r="M8" s="112">
        <f t="shared" si="6"/>
        <v>0</v>
      </c>
      <c r="N8" s="112">
        <f>670000-670000</f>
        <v>0</v>
      </c>
      <c r="O8" s="112">
        <f t="shared" si="7"/>
        <v>1000000</v>
      </c>
      <c r="P8" s="112">
        <f t="shared" si="1"/>
        <v>0</v>
      </c>
      <c r="Q8" s="112">
        <f>200000-200000</f>
        <v>0</v>
      </c>
      <c r="R8" s="112"/>
      <c r="S8" s="112">
        <f t="shared" si="2"/>
        <v>0</v>
      </c>
      <c r="T8" s="112">
        <f t="shared" si="3"/>
        <v>0</v>
      </c>
      <c r="U8" s="452">
        <f t="shared" si="8"/>
        <v>0</v>
      </c>
      <c r="V8" s="112">
        <f t="shared" si="9"/>
        <v>0</v>
      </c>
      <c r="W8" s="112"/>
      <c r="X8" s="112"/>
      <c r="Y8" s="112"/>
      <c r="Z8" s="112"/>
      <c r="AA8" s="112"/>
      <c r="AB8" s="19" t="s">
        <v>632</v>
      </c>
      <c r="AC8" s="3">
        <v>732000</v>
      </c>
      <c r="AD8" s="123"/>
      <c r="AE8" s="123"/>
      <c r="AF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</row>
    <row r="9" spans="1:44" s="5" customFormat="1" ht="30" customHeight="1">
      <c r="A9" s="127">
        <f t="shared" si="10"/>
        <v>5</v>
      </c>
      <c r="B9" s="19">
        <v>20132</v>
      </c>
      <c r="C9" s="207" t="s">
        <v>31</v>
      </c>
      <c r="D9" s="112">
        <f>450000+300000</f>
        <v>750000</v>
      </c>
      <c r="E9" s="112">
        <v>450000</v>
      </c>
      <c r="F9" s="112">
        <f t="shared" si="4"/>
        <v>300000</v>
      </c>
      <c r="G9" s="112">
        <v>0</v>
      </c>
      <c r="H9" s="112">
        <v>0</v>
      </c>
      <c r="I9" s="112">
        <v>0</v>
      </c>
      <c r="J9" s="112">
        <v>0</v>
      </c>
      <c r="K9" s="112">
        <f t="shared" si="5"/>
        <v>0</v>
      </c>
      <c r="L9" s="112">
        <f t="shared" si="0"/>
        <v>0</v>
      </c>
      <c r="M9" s="112">
        <f t="shared" si="6"/>
        <v>450000</v>
      </c>
      <c r="N9" s="112">
        <v>300000</v>
      </c>
      <c r="O9" s="112">
        <f t="shared" si="7"/>
        <v>0</v>
      </c>
      <c r="P9" s="112">
        <f t="shared" si="1"/>
        <v>0</v>
      </c>
      <c r="Q9" s="112">
        <v>200000</v>
      </c>
      <c r="R9" s="112">
        <v>250000</v>
      </c>
      <c r="S9" s="112">
        <f t="shared" si="2"/>
        <v>450000</v>
      </c>
      <c r="T9" s="112">
        <f t="shared" si="3"/>
        <v>0</v>
      </c>
      <c r="U9" s="452">
        <f t="shared" si="8"/>
        <v>300000</v>
      </c>
      <c r="V9" s="112">
        <f t="shared" si="9"/>
        <v>300000</v>
      </c>
      <c r="W9" s="112"/>
      <c r="X9" s="112"/>
      <c r="Y9" s="112"/>
      <c r="Z9" s="112"/>
      <c r="AA9" s="112"/>
      <c r="AB9" s="19" t="s">
        <v>1280</v>
      </c>
      <c r="AC9" s="3">
        <v>732000</v>
      </c>
      <c r="AD9" s="123"/>
      <c r="AE9" s="123"/>
      <c r="AF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</row>
    <row r="10" spans="1:44" s="5" customFormat="1" ht="60">
      <c r="A10" s="127">
        <f t="shared" si="10"/>
        <v>6</v>
      </c>
      <c r="B10" s="454">
        <v>20172</v>
      </c>
      <c r="C10" s="455" t="s">
        <v>855</v>
      </c>
      <c r="D10" s="112">
        <v>5000000</v>
      </c>
      <c r="E10" s="112"/>
      <c r="F10" s="112">
        <f t="shared" ref="F10:F12" si="11">D10-E10</f>
        <v>5000000</v>
      </c>
      <c r="G10" s="112"/>
      <c r="H10" s="112"/>
      <c r="I10" s="112"/>
      <c r="J10" s="112"/>
      <c r="K10" s="112">
        <f t="shared" ref="K10" si="12">SUM(I10:J10)</f>
        <v>0</v>
      </c>
      <c r="L10" s="112">
        <f t="shared" ref="L10:L12" si="13">H10+K10</f>
        <v>0</v>
      </c>
      <c r="M10" s="112">
        <f t="shared" ref="M10:M12" si="14">P10+S10</f>
        <v>0</v>
      </c>
      <c r="N10" s="112">
        <f>5000000-3000000-1000000-300000</f>
        <v>700000</v>
      </c>
      <c r="O10" s="112">
        <f t="shared" ref="O10:O12" si="15">D10-L10-M10-N10</f>
        <v>4300000</v>
      </c>
      <c r="P10" s="112">
        <f t="shared" ref="P10" si="16">G10-L10</f>
        <v>0</v>
      </c>
      <c r="Q10" s="112"/>
      <c r="R10" s="112"/>
      <c r="S10" s="112">
        <f t="shared" ref="S10" si="17">SUM(Q10:R10)</f>
        <v>0</v>
      </c>
      <c r="T10" s="112">
        <f t="shared" ref="T10" si="18">P10-M10+S10</f>
        <v>0</v>
      </c>
      <c r="U10" s="452">
        <f t="shared" ref="U10:U12" si="19">N10-T10</f>
        <v>700000</v>
      </c>
      <c r="V10" s="112">
        <f t="shared" ref="V10:V12" si="20">U10-AA10</f>
        <v>700000</v>
      </c>
      <c r="W10" s="112"/>
      <c r="X10" s="112"/>
      <c r="Y10" s="112"/>
      <c r="Z10" s="112"/>
      <c r="AA10" s="112"/>
      <c r="AB10" s="3" t="s">
        <v>856</v>
      </c>
      <c r="AC10" s="3">
        <v>732000</v>
      </c>
      <c r="AD10" s="123"/>
      <c r="AE10" s="123"/>
      <c r="AF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</row>
    <row r="11" spans="1:44" s="5" customFormat="1" ht="45">
      <c r="A11" s="127">
        <f t="shared" si="10"/>
        <v>7</v>
      </c>
      <c r="B11" s="19">
        <v>20173</v>
      </c>
      <c r="C11" s="127" t="s">
        <v>857</v>
      </c>
      <c r="D11" s="456">
        <v>400000</v>
      </c>
      <c r="E11" s="112"/>
      <c r="F11" s="112">
        <f t="shared" si="11"/>
        <v>400000</v>
      </c>
      <c r="G11" s="112"/>
      <c r="H11" s="112"/>
      <c r="I11" s="112"/>
      <c r="J11" s="112"/>
      <c r="K11" s="112">
        <f t="shared" ref="K11:K12" si="21">SUM(I11:J11)</f>
        <v>0</v>
      </c>
      <c r="L11" s="112">
        <f t="shared" si="13"/>
        <v>0</v>
      </c>
      <c r="M11" s="112">
        <f t="shared" si="14"/>
        <v>0</v>
      </c>
      <c r="N11" s="112">
        <f>400000-150000</f>
        <v>250000</v>
      </c>
      <c r="O11" s="112">
        <f t="shared" si="15"/>
        <v>150000</v>
      </c>
      <c r="P11" s="112"/>
      <c r="Q11" s="112"/>
      <c r="R11" s="112"/>
      <c r="S11" s="112"/>
      <c r="T11" s="112"/>
      <c r="U11" s="452">
        <f t="shared" si="19"/>
        <v>250000</v>
      </c>
      <c r="V11" s="112">
        <f t="shared" si="20"/>
        <v>250000</v>
      </c>
      <c r="W11" s="112"/>
      <c r="X11" s="112"/>
      <c r="Y11" s="112"/>
      <c r="Z11" s="112"/>
      <c r="AA11" s="112"/>
      <c r="AB11" s="3" t="s">
        <v>858</v>
      </c>
      <c r="AC11" s="3">
        <v>732000</v>
      </c>
      <c r="AD11" s="123"/>
      <c r="AE11" s="123"/>
      <c r="AF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</row>
    <row r="12" spans="1:44" s="5" customFormat="1" ht="30" customHeight="1">
      <c r="A12" s="127">
        <f t="shared" si="10"/>
        <v>8</v>
      </c>
      <c r="B12" s="19">
        <v>20174</v>
      </c>
      <c r="C12" s="127" t="s">
        <v>859</v>
      </c>
      <c r="D12" s="456">
        <v>400000</v>
      </c>
      <c r="E12" s="112"/>
      <c r="F12" s="112">
        <f t="shared" si="11"/>
        <v>400000</v>
      </c>
      <c r="G12" s="112"/>
      <c r="H12" s="112"/>
      <c r="I12" s="112"/>
      <c r="J12" s="112"/>
      <c r="K12" s="112">
        <f t="shared" si="21"/>
        <v>0</v>
      </c>
      <c r="L12" s="112">
        <f t="shared" si="13"/>
        <v>0</v>
      </c>
      <c r="M12" s="112">
        <f t="shared" si="14"/>
        <v>0</v>
      </c>
      <c r="N12" s="112">
        <f>400000-150000</f>
        <v>250000</v>
      </c>
      <c r="O12" s="112">
        <f t="shared" si="15"/>
        <v>150000</v>
      </c>
      <c r="P12" s="112"/>
      <c r="Q12" s="112"/>
      <c r="R12" s="112"/>
      <c r="S12" s="112"/>
      <c r="T12" s="112"/>
      <c r="U12" s="452">
        <f t="shared" si="19"/>
        <v>250000</v>
      </c>
      <c r="V12" s="112">
        <f t="shared" si="20"/>
        <v>250000</v>
      </c>
      <c r="W12" s="112"/>
      <c r="X12" s="112"/>
      <c r="Y12" s="112"/>
      <c r="Z12" s="112"/>
      <c r="AA12" s="112"/>
      <c r="AB12" s="3" t="s">
        <v>1281</v>
      </c>
      <c r="AC12" s="3">
        <v>732000</v>
      </c>
      <c r="AD12" s="123"/>
      <c r="AE12" s="123"/>
      <c r="AF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</row>
    <row r="13" spans="1:44" s="40" customFormat="1" ht="30" customHeight="1">
      <c r="A13" s="236">
        <f>COUNT(A5:A12)</f>
        <v>8</v>
      </c>
      <c r="B13" s="20"/>
      <c r="C13" s="208" t="s">
        <v>75</v>
      </c>
      <c r="D13" s="236">
        <f>SUM(D5:D12)</f>
        <v>24583000</v>
      </c>
      <c r="E13" s="236">
        <f t="shared" ref="E13:AA13" si="22">SUM(E5:E12)</f>
        <v>18483000</v>
      </c>
      <c r="F13" s="236">
        <f t="shared" si="22"/>
        <v>6100000</v>
      </c>
      <c r="G13" s="236">
        <f t="shared" si="22"/>
        <v>5797282</v>
      </c>
      <c r="H13" s="236">
        <f t="shared" si="22"/>
        <v>5232268</v>
      </c>
      <c r="I13" s="236">
        <f t="shared" si="22"/>
        <v>0</v>
      </c>
      <c r="J13" s="236">
        <f t="shared" si="22"/>
        <v>0</v>
      </c>
      <c r="K13" s="236">
        <f t="shared" si="22"/>
        <v>0</v>
      </c>
      <c r="L13" s="236">
        <f t="shared" si="22"/>
        <v>5232268</v>
      </c>
      <c r="M13" s="236">
        <f t="shared" si="22"/>
        <v>1974261</v>
      </c>
      <c r="N13" s="236">
        <f t="shared" si="22"/>
        <v>2145753</v>
      </c>
      <c r="O13" s="236">
        <f t="shared" si="22"/>
        <v>15230718</v>
      </c>
      <c r="P13" s="236">
        <f t="shared" si="22"/>
        <v>565014</v>
      </c>
      <c r="Q13" s="236">
        <f t="shared" si="22"/>
        <v>1159247</v>
      </c>
      <c r="R13" s="236">
        <f t="shared" si="22"/>
        <v>250000</v>
      </c>
      <c r="S13" s="236">
        <f t="shared" si="22"/>
        <v>1409247</v>
      </c>
      <c r="T13" s="236">
        <f t="shared" si="22"/>
        <v>0</v>
      </c>
      <c r="U13" s="236">
        <f t="shared" si="22"/>
        <v>2145753</v>
      </c>
      <c r="V13" s="236">
        <f t="shared" si="22"/>
        <v>1800000</v>
      </c>
      <c r="W13" s="236">
        <f t="shared" si="22"/>
        <v>0</v>
      </c>
      <c r="X13" s="236">
        <f t="shared" si="22"/>
        <v>0</v>
      </c>
      <c r="Y13" s="236">
        <f t="shared" si="22"/>
        <v>0</v>
      </c>
      <c r="Z13" s="236">
        <f t="shared" si="22"/>
        <v>0</v>
      </c>
      <c r="AA13" s="236">
        <f t="shared" si="22"/>
        <v>345753</v>
      </c>
      <c r="AB13" s="20"/>
      <c r="AC13" s="20"/>
      <c r="AD13" s="123"/>
      <c r="AE13" s="123"/>
      <c r="AF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</row>
    <row r="14" spans="1:44" ht="18" hidden="1" customHeight="1">
      <c r="D14" s="124">
        <f>SUM(L13:O13)</f>
        <v>24583000</v>
      </c>
      <c r="F14" s="124">
        <f>D13-E13</f>
        <v>6100000</v>
      </c>
      <c r="L14" s="124">
        <f>H13+K13</f>
        <v>5232268</v>
      </c>
      <c r="P14" s="124">
        <f>G13-L14</f>
        <v>565014</v>
      </c>
      <c r="Q14" s="124">
        <f>'ריכוז אגפים 2024'!AV13</f>
        <v>1159247</v>
      </c>
      <c r="R14" s="124">
        <f>'עדכוני תקציב 2024'!AE138</f>
        <v>250000</v>
      </c>
      <c r="T14" s="124">
        <f>P14+S13-M13</f>
        <v>0</v>
      </c>
      <c r="U14" s="124">
        <f>N13-T14</f>
        <v>2145753</v>
      </c>
    </row>
    <row r="15" spans="1:44">
      <c r="C15" s="123"/>
      <c r="D15" s="123"/>
    </row>
    <row r="16" spans="1:44" ht="36.75" customHeight="1"/>
    <row r="20" ht="45" customHeight="1"/>
    <row r="22" ht="58.5" customHeight="1"/>
    <row r="23" ht="50.25" customHeight="1"/>
    <row r="30" ht="51.75" customHeight="1"/>
    <row r="31" ht="35.25" customHeight="1"/>
    <row r="32" ht="31.5" customHeight="1"/>
    <row r="37" ht="37.5" customHeight="1"/>
    <row r="48" ht="48.75" customHeight="1"/>
    <row r="49" ht="31.5" customHeight="1"/>
    <row r="51" ht="45.75" customHeight="1"/>
    <row r="53" ht="33.75" customHeight="1"/>
    <row r="56" ht="27.75" customHeight="1"/>
    <row r="111" spans="1:1">
      <c r="A111" s="123">
        <f>COUNT(A5:A110)</f>
        <v>9</v>
      </c>
    </row>
    <row r="114" spans="1:1">
      <c r="A114" s="123">
        <f>A111+1</f>
        <v>10</v>
      </c>
    </row>
    <row r="117" spans="1:1" ht="37.9" customHeight="1"/>
    <row r="120" spans="1:1" ht="70.900000000000006" customHeight="1"/>
    <row r="123" spans="1:1" ht="72" customHeight="1"/>
    <row r="125" spans="1:1" ht="43.9" customHeight="1"/>
    <row r="127" spans="1:1" ht="30" customHeight="1"/>
  </sheetData>
  <sheetProtection formatCells="0" formatColumns="0" formatRows="0" insertColumns="0" insertRows="0" insertHyperlinks="0" deleteColumns="0" deleteRows="0" sort="0" autoFilter="0" pivotTables="0"/>
  <conditionalFormatting sqref="U5:U12 AK5:AK12 AM5:AM12 AO5:AO12 AQ5:AQ12">
    <cfRule type="cellIs" dxfId="308" priority="14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Width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63AD-1971-414B-BC94-5CF2662021FF}">
  <dimension ref="A1:AR131"/>
  <sheetViews>
    <sheetView showZeros="0" rightToLeft="1" zoomScaleNormal="100" workbookViewId="0">
      <pane xSplit="3" ySplit="4" topLeftCell="D8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9.140625" defaultRowHeight="15"/>
  <cols>
    <col min="1" max="1" width="3.7109375" style="123" customWidth="1"/>
    <col min="2" max="2" width="5.7109375" style="123" customWidth="1"/>
    <col min="3" max="3" width="17.7109375" style="131" customWidth="1"/>
    <col min="4" max="4" width="11.140625" style="124" customWidth="1"/>
    <col min="5" max="5" width="11.140625" style="124" hidden="1" customWidth="1"/>
    <col min="6" max="6" width="10" style="124" hidden="1" customWidth="1"/>
    <col min="7" max="9" width="9.7109375" style="124" hidden="1" customWidth="1"/>
    <col min="10" max="10" width="12" style="124" hidden="1" customWidth="1"/>
    <col min="11" max="11" width="9.7109375" style="124" hidden="1" customWidth="1"/>
    <col min="12" max="12" width="8.85546875" style="124" customWidth="1"/>
    <col min="13" max="13" width="10" style="124" customWidth="1"/>
    <col min="14" max="14" width="9.85546875" style="124" customWidth="1"/>
    <col min="15" max="15" width="11.140625" style="124" customWidth="1"/>
    <col min="16" max="19" width="9.7109375" style="124" hidden="1" customWidth="1"/>
    <col min="20" max="20" width="10.140625" style="124" hidden="1" customWidth="1"/>
    <col min="21" max="21" width="10.5703125" style="123" customWidth="1"/>
    <col min="22" max="22" width="12.85546875" style="123" customWidth="1"/>
    <col min="23" max="26" width="9.7109375" style="123" hidden="1" customWidth="1"/>
    <col min="27" max="27" width="9.140625" style="123" customWidth="1"/>
    <col min="28" max="28" width="37.42578125" style="123" customWidth="1"/>
    <col min="29" max="29" width="9.7109375" style="123" customWidth="1"/>
    <col min="30" max="31" width="13.5703125" style="123" customWidth="1"/>
    <col min="32" max="32" width="17" style="123" customWidth="1"/>
    <col min="33" max="33" width="9.140625" style="123"/>
    <col min="34" max="34" width="24.5703125" style="123" customWidth="1"/>
    <col min="35" max="35" width="32.5703125" style="123" customWidth="1"/>
    <col min="36" max="36" width="8.28515625" style="123" customWidth="1"/>
    <col min="37" max="37" width="13.5703125" style="123" customWidth="1"/>
    <col min="38" max="38" width="17" style="123" customWidth="1"/>
    <col min="39" max="39" width="13.5703125" style="123" customWidth="1"/>
    <col min="40" max="40" width="17" style="123" customWidth="1"/>
    <col min="41" max="41" width="13.5703125" style="123" hidden="1" customWidth="1"/>
    <col min="42" max="42" width="17" style="123" hidden="1" customWidth="1"/>
    <col min="43" max="43" width="13.5703125" style="123" hidden="1" customWidth="1"/>
    <col min="44" max="44" width="17" style="123" customWidth="1"/>
    <col min="45" max="16384" width="9.140625" style="123"/>
  </cols>
  <sheetData>
    <row r="1" spans="1:44" s="132" customFormat="1" ht="18.75">
      <c r="A1" s="145"/>
      <c r="B1" s="145"/>
      <c r="C1" s="223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215"/>
      <c r="Y1" s="215"/>
      <c r="Z1" s="215"/>
      <c r="AD1" s="123"/>
      <c r="AE1" s="123"/>
      <c r="AF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1:44" ht="18.75">
      <c r="A2" s="145" t="s">
        <v>79</v>
      </c>
      <c r="B2" s="145"/>
      <c r="C2" s="223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V2" s="145"/>
      <c r="W2" s="145"/>
    </row>
    <row r="3" spans="1:44" ht="24" customHeight="1"/>
    <row r="4" spans="1:44" s="206" customFormat="1" ht="86.25" customHeight="1">
      <c r="A4" s="125" t="s">
        <v>0</v>
      </c>
      <c r="B4" s="125" t="s">
        <v>1</v>
      </c>
      <c r="C4" s="125" t="s">
        <v>2</v>
      </c>
      <c r="D4" s="391" t="s">
        <v>3</v>
      </c>
      <c r="E4" s="125" t="s">
        <v>4</v>
      </c>
      <c r="F4" s="125" t="s">
        <v>5</v>
      </c>
      <c r="G4" s="125" t="s">
        <v>6</v>
      </c>
      <c r="H4" s="125" t="s">
        <v>7</v>
      </c>
      <c r="I4" s="125" t="s">
        <v>9</v>
      </c>
      <c r="J4" s="125" t="s">
        <v>101</v>
      </c>
      <c r="K4" s="125" t="s">
        <v>10</v>
      </c>
      <c r="L4" s="125" t="s">
        <v>11</v>
      </c>
      <c r="M4" s="391" t="s">
        <v>793</v>
      </c>
      <c r="N4" s="391" t="s">
        <v>794</v>
      </c>
      <c r="O4" s="2" t="s">
        <v>795</v>
      </c>
      <c r="P4" s="2" t="s">
        <v>12</v>
      </c>
      <c r="Q4" s="328" t="s">
        <v>796</v>
      </c>
      <c r="R4" s="328" t="s">
        <v>797</v>
      </c>
      <c r="S4" s="2" t="s">
        <v>798</v>
      </c>
      <c r="T4" s="2" t="s">
        <v>799</v>
      </c>
      <c r="U4" s="2" t="s">
        <v>800</v>
      </c>
      <c r="V4" s="125" t="s">
        <v>13</v>
      </c>
      <c r="W4" s="125" t="s">
        <v>14</v>
      </c>
      <c r="X4" s="125" t="s">
        <v>15</v>
      </c>
      <c r="Y4" s="125" t="s">
        <v>185</v>
      </c>
      <c r="Z4" s="125" t="s">
        <v>385</v>
      </c>
      <c r="AA4" s="125" t="s">
        <v>67</v>
      </c>
      <c r="AB4" s="13" t="s">
        <v>207</v>
      </c>
      <c r="AC4" s="125" t="s">
        <v>16</v>
      </c>
      <c r="AD4" s="123"/>
      <c r="AE4" s="123"/>
      <c r="AF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</row>
    <row r="5" spans="1:44" s="206" customFormat="1" ht="20.100000000000001" customHeight="1">
      <c r="A5" s="125"/>
      <c r="B5" s="125"/>
      <c r="C5" s="125">
        <v>732</v>
      </c>
      <c r="D5" s="391"/>
      <c r="E5" s="125"/>
      <c r="F5" s="125"/>
      <c r="G5" s="125"/>
      <c r="H5" s="125"/>
      <c r="I5" s="125"/>
      <c r="J5" s="125"/>
      <c r="K5" s="125"/>
      <c r="L5" s="125"/>
      <c r="M5" s="391"/>
      <c r="N5" s="391"/>
      <c r="O5" s="2"/>
      <c r="P5" s="2"/>
      <c r="Q5" s="328"/>
      <c r="R5" s="328"/>
      <c r="S5" s="2"/>
      <c r="T5" s="2"/>
      <c r="U5" s="2"/>
      <c r="V5" s="125"/>
      <c r="W5" s="125"/>
      <c r="X5" s="125"/>
      <c r="Y5" s="125"/>
      <c r="Z5" s="125"/>
      <c r="AA5" s="125"/>
      <c r="AB5" s="13"/>
      <c r="AC5" s="125"/>
      <c r="AD5" s="123"/>
      <c r="AE5" s="123"/>
      <c r="AF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</row>
    <row r="6" spans="1:44" s="128" customFormat="1" ht="36" customHeight="1">
      <c r="A6" s="127">
        <v>1</v>
      </c>
      <c r="B6" s="127">
        <v>1519</v>
      </c>
      <c r="C6" s="127" t="s">
        <v>66</v>
      </c>
      <c r="D6" s="112">
        <v>8493000</v>
      </c>
      <c r="E6" s="112">
        <v>8493000</v>
      </c>
      <c r="F6" s="112">
        <f t="shared" ref="F6:F11" si="0">D6-E6</f>
        <v>0</v>
      </c>
      <c r="G6" s="112">
        <f>5466529-419247</f>
        <v>5047282</v>
      </c>
      <c r="H6" s="112">
        <v>5037404</v>
      </c>
      <c r="I6" s="112">
        <v>0</v>
      </c>
      <c r="J6" s="112">
        <v>0</v>
      </c>
      <c r="K6" s="112">
        <f t="shared" ref="K6:K11" si="1">SUM(I6:J6)</f>
        <v>0</v>
      </c>
      <c r="L6" s="112">
        <f t="shared" ref="L6:L11" si="2">H6+K6</f>
        <v>5037404</v>
      </c>
      <c r="M6" s="112">
        <f t="shared" ref="M6:M11" si="3">P6+S6</f>
        <v>429125</v>
      </c>
      <c r="N6" s="112">
        <v>345753</v>
      </c>
      <c r="O6" s="112">
        <f t="shared" ref="O6:O11" si="4">D6-L6-M6-N6</f>
        <v>2680718</v>
      </c>
      <c r="P6" s="112">
        <f>G6-L6</f>
        <v>9878</v>
      </c>
      <c r="Q6" s="112">
        <v>419247</v>
      </c>
      <c r="R6" s="112"/>
      <c r="S6" s="112">
        <f>SUM(Q6:R6)</f>
        <v>419247</v>
      </c>
      <c r="T6" s="112">
        <f>P6-M6+S6</f>
        <v>0</v>
      </c>
      <c r="U6" s="452">
        <f t="shared" ref="U6:U11" si="5">N6-T6</f>
        <v>345753</v>
      </c>
      <c r="V6" s="112">
        <f t="shared" ref="V6:V11" si="6">U6-AA6</f>
        <v>0</v>
      </c>
      <c r="W6" s="112"/>
      <c r="X6" s="112"/>
      <c r="Y6" s="112"/>
      <c r="Z6" s="112"/>
      <c r="AA6" s="112">
        <v>345753</v>
      </c>
      <c r="AB6" s="213" t="s">
        <v>711</v>
      </c>
      <c r="AC6" s="127">
        <v>732000</v>
      </c>
      <c r="AD6" s="123"/>
      <c r="AE6" s="123"/>
      <c r="AF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</row>
    <row r="7" spans="1:44" s="5" customFormat="1" ht="39" customHeight="1">
      <c r="A7" s="127">
        <f>A6+1</f>
        <v>2</v>
      </c>
      <c r="B7" s="19">
        <v>20131</v>
      </c>
      <c r="C7" s="207" t="s">
        <v>631</v>
      </c>
      <c r="D7" s="112">
        <v>1000000</v>
      </c>
      <c r="E7" s="112">
        <v>1000000</v>
      </c>
      <c r="F7" s="112">
        <f t="shared" si="0"/>
        <v>0</v>
      </c>
      <c r="G7" s="112">
        <v>0</v>
      </c>
      <c r="H7" s="112">
        <v>0</v>
      </c>
      <c r="I7" s="112">
        <v>0</v>
      </c>
      <c r="J7" s="112">
        <v>0</v>
      </c>
      <c r="K7" s="112">
        <f t="shared" si="1"/>
        <v>0</v>
      </c>
      <c r="L7" s="112">
        <f t="shared" si="2"/>
        <v>0</v>
      </c>
      <c r="M7" s="112">
        <f t="shared" si="3"/>
        <v>0</v>
      </c>
      <c r="N7" s="112">
        <f>670000-670000</f>
        <v>0</v>
      </c>
      <c r="O7" s="112">
        <f t="shared" si="4"/>
        <v>1000000</v>
      </c>
      <c r="P7" s="112">
        <f>G7-L7</f>
        <v>0</v>
      </c>
      <c r="Q7" s="112">
        <f>200000-200000</f>
        <v>0</v>
      </c>
      <c r="R7" s="112"/>
      <c r="S7" s="112">
        <f>SUM(Q7:R7)</f>
        <v>0</v>
      </c>
      <c r="T7" s="112">
        <f>P7-M7+S7</f>
        <v>0</v>
      </c>
      <c r="U7" s="452">
        <f t="shared" si="5"/>
        <v>0</v>
      </c>
      <c r="V7" s="112">
        <f t="shared" si="6"/>
        <v>0</v>
      </c>
      <c r="W7" s="112"/>
      <c r="X7" s="112"/>
      <c r="Y7" s="112"/>
      <c r="Z7" s="112"/>
      <c r="AA7" s="112"/>
      <c r="AB7" s="19" t="s">
        <v>632</v>
      </c>
      <c r="AC7" s="3">
        <v>732000</v>
      </c>
      <c r="AD7" s="123"/>
      <c r="AE7" s="123"/>
      <c r="AF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</row>
    <row r="8" spans="1:44" s="5" customFormat="1" ht="30" customHeight="1">
      <c r="A8" s="127">
        <f>A7+1</f>
        <v>3</v>
      </c>
      <c r="B8" s="19">
        <v>20132</v>
      </c>
      <c r="C8" s="207" t="s">
        <v>31</v>
      </c>
      <c r="D8" s="112">
        <f>450000+300000</f>
        <v>750000</v>
      </c>
      <c r="E8" s="112">
        <v>450000</v>
      </c>
      <c r="F8" s="112">
        <f t="shared" si="0"/>
        <v>300000</v>
      </c>
      <c r="G8" s="112">
        <v>0</v>
      </c>
      <c r="H8" s="112">
        <v>0</v>
      </c>
      <c r="I8" s="112">
        <v>0</v>
      </c>
      <c r="J8" s="112">
        <v>0</v>
      </c>
      <c r="K8" s="112">
        <f t="shared" si="1"/>
        <v>0</v>
      </c>
      <c r="L8" s="112">
        <f t="shared" si="2"/>
        <v>0</v>
      </c>
      <c r="M8" s="112">
        <f t="shared" si="3"/>
        <v>450000</v>
      </c>
      <c r="N8" s="112">
        <v>300000</v>
      </c>
      <c r="O8" s="112">
        <f t="shared" si="4"/>
        <v>0</v>
      </c>
      <c r="P8" s="112">
        <f>G8-L8</f>
        <v>0</v>
      </c>
      <c r="Q8" s="112">
        <v>200000</v>
      </c>
      <c r="R8" s="112">
        <v>250000</v>
      </c>
      <c r="S8" s="112">
        <f>SUM(Q8:R8)</f>
        <v>450000</v>
      </c>
      <c r="T8" s="112">
        <f>P8-M8+S8</f>
        <v>0</v>
      </c>
      <c r="U8" s="452">
        <f t="shared" si="5"/>
        <v>300000</v>
      </c>
      <c r="V8" s="112">
        <f t="shared" si="6"/>
        <v>300000</v>
      </c>
      <c r="W8" s="112"/>
      <c r="X8" s="112"/>
      <c r="Y8" s="112"/>
      <c r="Z8" s="112"/>
      <c r="AA8" s="112"/>
      <c r="AB8" s="19" t="s">
        <v>1280</v>
      </c>
      <c r="AC8" s="3">
        <v>732000</v>
      </c>
      <c r="AD8" s="123"/>
      <c r="AE8" s="123"/>
      <c r="AF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</row>
    <row r="9" spans="1:44" s="5" customFormat="1" ht="27.75" customHeight="1">
      <c r="A9" s="127">
        <f>A8+1</f>
        <v>4</v>
      </c>
      <c r="B9" s="454">
        <v>20172</v>
      </c>
      <c r="C9" s="455" t="s">
        <v>855</v>
      </c>
      <c r="D9" s="112">
        <v>5000000</v>
      </c>
      <c r="E9" s="112"/>
      <c r="F9" s="112">
        <f t="shared" si="0"/>
        <v>5000000</v>
      </c>
      <c r="G9" s="112"/>
      <c r="H9" s="112"/>
      <c r="I9" s="112"/>
      <c r="J9" s="112"/>
      <c r="K9" s="112">
        <f t="shared" si="1"/>
        <v>0</v>
      </c>
      <c r="L9" s="112">
        <f t="shared" si="2"/>
        <v>0</v>
      </c>
      <c r="M9" s="112">
        <f t="shared" si="3"/>
        <v>0</v>
      </c>
      <c r="N9" s="112">
        <f>5000000-3000000-1000000-300000</f>
        <v>700000</v>
      </c>
      <c r="O9" s="112">
        <f t="shared" si="4"/>
        <v>4300000</v>
      </c>
      <c r="P9" s="112">
        <f>G9-L9</f>
        <v>0</v>
      </c>
      <c r="Q9" s="112"/>
      <c r="R9" s="112"/>
      <c r="S9" s="112">
        <f>SUM(Q9:R9)</f>
        <v>0</v>
      </c>
      <c r="T9" s="112">
        <f>P9-M9+S9</f>
        <v>0</v>
      </c>
      <c r="U9" s="452">
        <f t="shared" si="5"/>
        <v>700000</v>
      </c>
      <c r="V9" s="112">
        <f t="shared" si="6"/>
        <v>700000</v>
      </c>
      <c r="W9" s="112"/>
      <c r="X9" s="112"/>
      <c r="Y9" s="112"/>
      <c r="Z9" s="112"/>
      <c r="AA9" s="112"/>
      <c r="AB9" s="3" t="s">
        <v>856</v>
      </c>
      <c r="AC9" s="3">
        <v>732000</v>
      </c>
      <c r="AD9" s="123"/>
      <c r="AE9" s="123"/>
      <c r="AF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</row>
    <row r="10" spans="1:44" s="5" customFormat="1" ht="31.5" customHeight="1">
      <c r="A10" s="127">
        <f>A9+1</f>
        <v>5</v>
      </c>
      <c r="B10" s="19">
        <v>20173</v>
      </c>
      <c r="C10" s="127" t="s">
        <v>857</v>
      </c>
      <c r="D10" s="456">
        <v>400000</v>
      </c>
      <c r="E10" s="112"/>
      <c r="F10" s="112">
        <f t="shared" si="0"/>
        <v>400000</v>
      </c>
      <c r="G10" s="112"/>
      <c r="H10" s="112"/>
      <c r="I10" s="112"/>
      <c r="J10" s="112"/>
      <c r="K10" s="112">
        <f t="shared" si="1"/>
        <v>0</v>
      </c>
      <c r="L10" s="112">
        <f t="shared" si="2"/>
        <v>0</v>
      </c>
      <c r="M10" s="112">
        <f t="shared" si="3"/>
        <v>0</v>
      </c>
      <c r="N10" s="112">
        <f>400000-150000</f>
        <v>250000</v>
      </c>
      <c r="O10" s="112">
        <f t="shared" si="4"/>
        <v>150000</v>
      </c>
      <c r="P10" s="112"/>
      <c r="Q10" s="112"/>
      <c r="R10" s="112"/>
      <c r="S10" s="112"/>
      <c r="T10" s="112"/>
      <c r="U10" s="452">
        <f t="shared" si="5"/>
        <v>250000</v>
      </c>
      <c r="V10" s="112">
        <f t="shared" si="6"/>
        <v>250000</v>
      </c>
      <c r="W10" s="112"/>
      <c r="X10" s="112"/>
      <c r="Y10" s="112"/>
      <c r="Z10" s="112"/>
      <c r="AA10" s="112"/>
      <c r="AB10" s="3" t="s">
        <v>858</v>
      </c>
      <c r="AC10" s="3">
        <v>732000</v>
      </c>
      <c r="AD10" s="123"/>
      <c r="AE10" s="123"/>
      <c r="AF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</row>
    <row r="11" spans="1:44" s="5" customFormat="1" ht="47.25" customHeight="1">
      <c r="A11" s="127">
        <f>A10+1</f>
        <v>6</v>
      </c>
      <c r="B11" s="19">
        <v>20174</v>
      </c>
      <c r="C11" s="127" t="s">
        <v>859</v>
      </c>
      <c r="D11" s="456">
        <v>400000</v>
      </c>
      <c r="E11" s="112"/>
      <c r="F11" s="112">
        <f t="shared" si="0"/>
        <v>400000</v>
      </c>
      <c r="G11" s="112"/>
      <c r="H11" s="112"/>
      <c r="I11" s="112"/>
      <c r="J11" s="112"/>
      <c r="K11" s="112">
        <f t="shared" si="1"/>
        <v>0</v>
      </c>
      <c r="L11" s="112">
        <f t="shared" si="2"/>
        <v>0</v>
      </c>
      <c r="M11" s="112">
        <f t="shared" si="3"/>
        <v>0</v>
      </c>
      <c r="N11" s="112">
        <f>400000-150000</f>
        <v>250000</v>
      </c>
      <c r="O11" s="112">
        <f t="shared" si="4"/>
        <v>150000</v>
      </c>
      <c r="P11" s="112"/>
      <c r="Q11" s="112"/>
      <c r="R11" s="112"/>
      <c r="S11" s="112"/>
      <c r="T11" s="112"/>
      <c r="U11" s="452">
        <f t="shared" si="5"/>
        <v>250000</v>
      </c>
      <c r="V11" s="112">
        <f t="shared" si="6"/>
        <v>250000</v>
      </c>
      <c r="W11" s="112"/>
      <c r="X11" s="112"/>
      <c r="Y11" s="112"/>
      <c r="Z11" s="112"/>
      <c r="AA11" s="112"/>
      <c r="AB11" s="3" t="s">
        <v>1281</v>
      </c>
      <c r="AC11" s="3">
        <v>732000</v>
      </c>
      <c r="AD11" s="123"/>
      <c r="AE11" s="123"/>
      <c r="AF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</row>
    <row r="12" spans="1:44" s="40" customFormat="1" ht="20.100000000000001" customHeight="1">
      <c r="A12" s="208"/>
      <c r="B12" s="20"/>
      <c r="C12" s="208" t="s">
        <v>1329</v>
      </c>
      <c r="D12" s="681">
        <f>SUM(D6:D11)</f>
        <v>16043000</v>
      </c>
      <c r="E12" s="681">
        <f t="shared" ref="E12:AA12" si="7">SUM(E6:E11)</f>
        <v>9943000</v>
      </c>
      <c r="F12" s="681">
        <f t="shared" si="7"/>
        <v>6100000</v>
      </c>
      <c r="G12" s="681">
        <f t="shared" si="7"/>
        <v>5047282</v>
      </c>
      <c r="H12" s="681">
        <f t="shared" si="7"/>
        <v>5037404</v>
      </c>
      <c r="I12" s="681">
        <f t="shared" si="7"/>
        <v>0</v>
      </c>
      <c r="J12" s="681">
        <f t="shared" si="7"/>
        <v>0</v>
      </c>
      <c r="K12" s="681">
        <f t="shared" si="7"/>
        <v>0</v>
      </c>
      <c r="L12" s="681">
        <f t="shared" si="7"/>
        <v>5037404</v>
      </c>
      <c r="M12" s="681">
        <f t="shared" si="7"/>
        <v>879125</v>
      </c>
      <c r="N12" s="681">
        <f t="shared" si="7"/>
        <v>1845753</v>
      </c>
      <c r="O12" s="681">
        <f t="shared" si="7"/>
        <v>8280718</v>
      </c>
      <c r="P12" s="681">
        <f t="shared" si="7"/>
        <v>9878</v>
      </c>
      <c r="Q12" s="681">
        <f t="shared" si="7"/>
        <v>619247</v>
      </c>
      <c r="R12" s="681">
        <f t="shared" si="7"/>
        <v>250000</v>
      </c>
      <c r="S12" s="681">
        <f t="shared" si="7"/>
        <v>869247</v>
      </c>
      <c r="T12" s="681">
        <f t="shared" si="7"/>
        <v>0</v>
      </c>
      <c r="U12" s="681">
        <f t="shared" si="7"/>
        <v>1845753</v>
      </c>
      <c r="V12" s="681">
        <f t="shared" si="7"/>
        <v>1500000</v>
      </c>
      <c r="W12" s="681">
        <f t="shared" si="7"/>
        <v>0</v>
      </c>
      <c r="X12" s="681">
        <f t="shared" si="7"/>
        <v>0</v>
      </c>
      <c r="Y12" s="681">
        <f t="shared" si="7"/>
        <v>0</v>
      </c>
      <c r="Z12" s="681">
        <f t="shared" si="7"/>
        <v>0</v>
      </c>
      <c r="AA12" s="681">
        <f t="shared" si="7"/>
        <v>345753</v>
      </c>
      <c r="AB12" s="20"/>
      <c r="AC12" s="20"/>
      <c r="AD12" s="232"/>
      <c r="AE12" s="232"/>
      <c r="AF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</row>
    <row r="13" spans="1:44" s="40" customFormat="1" ht="20.100000000000001" customHeight="1">
      <c r="A13" s="208"/>
      <c r="B13" s="20"/>
      <c r="C13" s="208">
        <v>747</v>
      </c>
      <c r="D13" s="681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682"/>
      <c r="V13" s="236"/>
      <c r="W13" s="236"/>
      <c r="X13" s="236"/>
      <c r="Y13" s="236"/>
      <c r="Z13" s="236"/>
      <c r="AA13" s="236"/>
      <c r="AB13" s="20"/>
      <c r="AC13" s="20"/>
      <c r="AD13" s="232"/>
      <c r="AE13" s="232"/>
      <c r="AF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</row>
    <row r="14" spans="1:44" s="5" customFormat="1" ht="30">
      <c r="A14" s="127">
        <f>A11+1</f>
        <v>7</v>
      </c>
      <c r="B14" s="19">
        <v>20080</v>
      </c>
      <c r="C14" s="202" t="s">
        <v>565</v>
      </c>
      <c r="D14" s="112">
        <v>8000000</v>
      </c>
      <c r="E14" s="112">
        <v>8000000</v>
      </c>
      <c r="F14" s="112">
        <f>D14-E14</f>
        <v>0</v>
      </c>
      <c r="G14" s="112">
        <v>750000</v>
      </c>
      <c r="H14" s="112">
        <v>194864</v>
      </c>
      <c r="I14" s="112">
        <v>0</v>
      </c>
      <c r="J14" s="112">
        <v>0</v>
      </c>
      <c r="K14" s="112">
        <f>SUM(I14:J14)</f>
        <v>0</v>
      </c>
      <c r="L14" s="112">
        <f>H14+K14</f>
        <v>194864</v>
      </c>
      <c r="M14" s="112">
        <f>P14+S14</f>
        <v>555136</v>
      </c>
      <c r="N14" s="112">
        <f>350000-50000</f>
        <v>300000</v>
      </c>
      <c r="O14" s="112">
        <f>D14-L14-M14-N14</f>
        <v>6950000</v>
      </c>
      <c r="P14" s="112">
        <f>G14-L14</f>
        <v>555136</v>
      </c>
      <c r="Q14" s="112"/>
      <c r="R14" s="112"/>
      <c r="S14" s="112">
        <f>SUM(Q14:R14)</f>
        <v>0</v>
      </c>
      <c r="T14" s="112">
        <f>P14-M14+S14</f>
        <v>0</v>
      </c>
      <c r="U14" s="452">
        <f>N14-T14</f>
        <v>300000</v>
      </c>
      <c r="V14" s="112">
        <f>U14-AA14</f>
        <v>300000</v>
      </c>
      <c r="W14" s="112"/>
      <c r="X14" s="112"/>
      <c r="Y14" s="112"/>
      <c r="Z14" s="112"/>
      <c r="AA14" s="112"/>
      <c r="AB14" s="202" t="s">
        <v>567</v>
      </c>
      <c r="AC14" s="3">
        <v>747000</v>
      </c>
      <c r="AD14" s="123"/>
      <c r="AE14" s="123"/>
      <c r="AF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</row>
    <row r="15" spans="1:44" s="5" customFormat="1" ht="33" customHeight="1">
      <c r="A15" s="127">
        <f>A14+1</f>
        <v>8</v>
      </c>
      <c r="B15" s="19">
        <v>20130</v>
      </c>
      <c r="C15" s="412" t="s">
        <v>681</v>
      </c>
      <c r="D15" s="112">
        <v>540000</v>
      </c>
      <c r="E15" s="112">
        <v>540000</v>
      </c>
      <c r="F15" s="112">
        <f>D15-E15</f>
        <v>0</v>
      </c>
      <c r="G15" s="112"/>
      <c r="H15" s="112">
        <v>0</v>
      </c>
      <c r="I15" s="112">
        <v>0</v>
      </c>
      <c r="J15" s="112">
        <v>0</v>
      </c>
      <c r="K15" s="112">
        <f>SUM(I15:J15)</f>
        <v>0</v>
      </c>
      <c r="L15" s="112">
        <f>H15+K15</f>
        <v>0</v>
      </c>
      <c r="M15" s="112">
        <f>P15+S15</f>
        <v>540000</v>
      </c>
      <c r="N15" s="112"/>
      <c r="O15" s="112">
        <f>D15-L15-M15-N15</f>
        <v>0</v>
      </c>
      <c r="P15" s="112">
        <f>G15-L15</f>
        <v>0</v>
      </c>
      <c r="Q15" s="112">
        <v>540000</v>
      </c>
      <c r="R15" s="112"/>
      <c r="S15" s="112">
        <f>SUM(Q15:R15)</f>
        <v>540000</v>
      </c>
      <c r="T15" s="112">
        <f>P15-M15+S15</f>
        <v>0</v>
      </c>
      <c r="U15" s="452">
        <f>N15-T15</f>
        <v>0</v>
      </c>
      <c r="V15" s="112">
        <f>U15-AA15</f>
        <v>0</v>
      </c>
      <c r="W15" s="112"/>
      <c r="X15" s="112"/>
      <c r="Y15" s="112"/>
      <c r="Z15" s="112"/>
      <c r="AA15" s="112"/>
      <c r="AB15" s="19" t="s">
        <v>682</v>
      </c>
      <c r="AC15" s="3">
        <v>747000</v>
      </c>
      <c r="AD15" s="123"/>
      <c r="AE15" s="123"/>
      <c r="AF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</row>
    <row r="16" spans="1:44" s="40" customFormat="1" ht="20.100000000000001" customHeight="1">
      <c r="A16" s="208"/>
      <c r="B16" s="20"/>
      <c r="C16" s="428" t="s">
        <v>1334</v>
      </c>
      <c r="D16" s="236">
        <f>SUM(D14:D15)</f>
        <v>8540000</v>
      </c>
      <c r="E16" s="236">
        <f t="shared" ref="E16:AA16" si="8">SUM(E14:E15)</f>
        <v>8540000</v>
      </c>
      <c r="F16" s="236">
        <f t="shared" si="8"/>
        <v>0</v>
      </c>
      <c r="G16" s="236">
        <f t="shared" si="8"/>
        <v>750000</v>
      </c>
      <c r="H16" s="236">
        <f t="shared" si="8"/>
        <v>194864</v>
      </c>
      <c r="I16" s="236">
        <f t="shared" si="8"/>
        <v>0</v>
      </c>
      <c r="J16" s="236">
        <f t="shared" si="8"/>
        <v>0</v>
      </c>
      <c r="K16" s="236">
        <f t="shared" si="8"/>
        <v>0</v>
      </c>
      <c r="L16" s="236">
        <f t="shared" si="8"/>
        <v>194864</v>
      </c>
      <c r="M16" s="236">
        <f t="shared" si="8"/>
        <v>1095136</v>
      </c>
      <c r="N16" s="236">
        <f t="shared" si="8"/>
        <v>300000</v>
      </c>
      <c r="O16" s="236">
        <f t="shared" si="8"/>
        <v>6950000</v>
      </c>
      <c r="P16" s="236">
        <f t="shared" si="8"/>
        <v>555136</v>
      </c>
      <c r="Q16" s="236">
        <f t="shared" si="8"/>
        <v>540000</v>
      </c>
      <c r="R16" s="236">
        <f t="shared" si="8"/>
        <v>0</v>
      </c>
      <c r="S16" s="236">
        <f t="shared" si="8"/>
        <v>540000</v>
      </c>
      <c r="T16" s="236">
        <f t="shared" si="8"/>
        <v>0</v>
      </c>
      <c r="U16" s="236">
        <f t="shared" si="8"/>
        <v>300000</v>
      </c>
      <c r="V16" s="236">
        <f t="shared" si="8"/>
        <v>300000</v>
      </c>
      <c r="W16" s="236">
        <f t="shared" si="8"/>
        <v>0</v>
      </c>
      <c r="X16" s="236">
        <f t="shared" si="8"/>
        <v>0</v>
      </c>
      <c r="Y16" s="236">
        <f t="shared" si="8"/>
        <v>0</v>
      </c>
      <c r="Z16" s="236">
        <f t="shared" si="8"/>
        <v>0</v>
      </c>
      <c r="AA16" s="236">
        <f t="shared" si="8"/>
        <v>0</v>
      </c>
      <c r="AB16" s="20"/>
      <c r="AC16" s="20"/>
      <c r="AD16" s="232"/>
      <c r="AE16" s="232"/>
      <c r="AF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</row>
    <row r="17" spans="1:44" s="40" customFormat="1" ht="45" customHeight="1">
      <c r="A17" s="236">
        <f>COUNT(A6:A15)</f>
        <v>8</v>
      </c>
      <c r="B17" s="20"/>
      <c r="C17" s="208" t="s">
        <v>75</v>
      </c>
      <c r="D17" s="236">
        <f>D16+D12</f>
        <v>24583000</v>
      </c>
      <c r="E17" s="236">
        <f t="shared" ref="E17:AA17" si="9">E16+E12</f>
        <v>18483000</v>
      </c>
      <c r="F17" s="236">
        <f t="shared" si="9"/>
        <v>6100000</v>
      </c>
      <c r="G17" s="236">
        <f t="shared" si="9"/>
        <v>5797282</v>
      </c>
      <c r="H17" s="236">
        <f t="shared" si="9"/>
        <v>5232268</v>
      </c>
      <c r="I17" s="236">
        <f t="shared" si="9"/>
        <v>0</v>
      </c>
      <c r="J17" s="236">
        <f t="shared" si="9"/>
        <v>0</v>
      </c>
      <c r="K17" s="236">
        <f t="shared" si="9"/>
        <v>0</v>
      </c>
      <c r="L17" s="236">
        <f t="shared" si="9"/>
        <v>5232268</v>
      </c>
      <c r="M17" s="236">
        <f t="shared" si="9"/>
        <v>1974261</v>
      </c>
      <c r="N17" s="236">
        <f t="shared" si="9"/>
        <v>2145753</v>
      </c>
      <c r="O17" s="236">
        <f t="shared" si="9"/>
        <v>15230718</v>
      </c>
      <c r="P17" s="236">
        <f t="shared" si="9"/>
        <v>565014</v>
      </c>
      <c r="Q17" s="236">
        <f t="shared" si="9"/>
        <v>1159247</v>
      </c>
      <c r="R17" s="236">
        <f t="shared" si="9"/>
        <v>250000</v>
      </c>
      <c r="S17" s="236">
        <f t="shared" si="9"/>
        <v>1409247</v>
      </c>
      <c r="T17" s="236">
        <f t="shared" si="9"/>
        <v>0</v>
      </c>
      <c r="U17" s="236">
        <f t="shared" si="9"/>
        <v>2145753</v>
      </c>
      <c r="V17" s="236">
        <f t="shared" si="9"/>
        <v>1800000</v>
      </c>
      <c r="W17" s="236">
        <f t="shared" si="9"/>
        <v>0</v>
      </c>
      <c r="X17" s="236">
        <f t="shared" si="9"/>
        <v>0</v>
      </c>
      <c r="Y17" s="236">
        <f t="shared" si="9"/>
        <v>0</v>
      </c>
      <c r="Z17" s="236">
        <f t="shared" si="9"/>
        <v>0</v>
      </c>
      <c r="AA17" s="236">
        <f t="shared" si="9"/>
        <v>345753</v>
      </c>
      <c r="AB17" s="20"/>
      <c r="AC17" s="20"/>
      <c r="AD17" s="123"/>
      <c r="AE17" s="123"/>
      <c r="AF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</row>
    <row r="18" spans="1:44" ht="18" hidden="1" customHeight="1">
      <c r="D18" s="124">
        <f>SUM(L17:O17)</f>
        <v>24583000</v>
      </c>
      <c r="F18" s="124">
        <f>D17-E17</f>
        <v>6100000</v>
      </c>
      <c r="L18" s="124">
        <f>H17+K17</f>
        <v>5232268</v>
      </c>
      <c r="P18" s="124">
        <f>G17-L18</f>
        <v>565014</v>
      </c>
      <c r="Q18" s="124">
        <f>'ריכוז אגפים 2024'!AV13</f>
        <v>1159247</v>
      </c>
      <c r="R18" s="124">
        <f>'עדכוני תקציב 2024'!AE138</f>
        <v>250000</v>
      </c>
      <c r="T18" s="124">
        <f>P18+S17-M17</f>
        <v>0</v>
      </c>
      <c r="U18" s="124">
        <f>N17-T18</f>
        <v>2145753</v>
      </c>
    </row>
    <row r="19" spans="1:44">
      <c r="C19" s="123"/>
      <c r="D19" s="123"/>
    </row>
    <row r="20" spans="1:44" ht="36.75" customHeight="1"/>
    <row r="24" spans="1:44" ht="45" customHeight="1"/>
    <row r="26" spans="1:44" ht="58.5" customHeight="1"/>
    <row r="27" spans="1:44" ht="50.25" customHeight="1"/>
    <row r="34" ht="51.75" customHeight="1"/>
    <row r="35" ht="35.25" customHeight="1"/>
    <row r="36" ht="31.5" customHeight="1"/>
    <row r="41" ht="37.5" customHeight="1"/>
    <row r="52" ht="48.75" customHeight="1"/>
    <row r="53" ht="31.5" customHeight="1"/>
    <row r="55" ht="45.75" customHeight="1"/>
    <row r="57" ht="33.75" customHeight="1"/>
    <row r="60" ht="27.75" customHeight="1"/>
    <row r="115" spans="1:1">
      <c r="A115" s="123">
        <f>COUNT(A6:A114)</f>
        <v>9</v>
      </c>
    </row>
    <row r="118" spans="1:1">
      <c r="A118" s="123">
        <f>A115+1</f>
        <v>10</v>
      </c>
    </row>
    <row r="121" spans="1:1" ht="37.9" customHeight="1"/>
    <row r="124" spans="1:1" ht="70.900000000000006" customHeight="1"/>
    <row r="127" spans="1:1" ht="72" customHeight="1"/>
    <row r="129" ht="43.9" customHeight="1"/>
    <row r="131" ht="30" customHeight="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6:AR15">
    <sortCondition ref="AC6:AC15"/>
  </sortState>
  <conditionalFormatting sqref="U6:U11 AK6:AK16 AM6:AM16 AO6:AO16 AQ6:AQ16 U13:U15">
    <cfRule type="cellIs" dxfId="307" priority="1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fitToWidth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3:Q37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34.85546875" style="167" customWidth="1"/>
    <col min="5" max="5" width="30.42578125" style="167" customWidth="1"/>
    <col min="6" max="6" width="10.85546875" style="167" customWidth="1"/>
    <col min="7" max="7" width="5.5703125" style="167" customWidth="1"/>
    <col min="8" max="9" width="12.140625" style="167" customWidth="1"/>
    <col min="10" max="10" width="7.85546875" style="167" customWidth="1"/>
    <col min="11" max="16384" width="9.140625" style="167"/>
  </cols>
  <sheetData>
    <row r="3" spans="1:17" ht="20.25">
      <c r="A3" s="166"/>
      <c r="C3" s="168" t="s">
        <v>197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7" ht="20.25">
      <c r="A4" s="166"/>
      <c r="C4" s="168"/>
      <c r="D4" s="166"/>
      <c r="E4" s="166"/>
      <c r="F4" s="166"/>
      <c r="G4" s="166"/>
      <c r="H4" s="166"/>
      <c r="I4" s="166"/>
      <c r="J4" s="166"/>
      <c r="K4" s="166"/>
      <c r="L4" s="166"/>
    </row>
    <row r="5" spans="1:17" ht="20.25">
      <c r="A5" s="166"/>
      <c r="C5" s="168"/>
      <c r="D5" s="166"/>
      <c r="E5" s="166"/>
      <c r="F5" s="166"/>
      <c r="G5" s="166"/>
      <c r="H5" s="166"/>
      <c r="I5" s="166"/>
      <c r="J5" s="166"/>
      <c r="K5" s="166"/>
      <c r="L5" s="166"/>
    </row>
    <row r="6" spans="1:17" ht="21" thickBot="1">
      <c r="A6" s="166"/>
      <c r="C6" s="168"/>
      <c r="D6" s="166"/>
      <c r="E6" s="166"/>
      <c r="F6" s="166"/>
      <c r="G6" s="166"/>
      <c r="H6" s="166"/>
      <c r="I6" s="166"/>
      <c r="J6" s="166"/>
      <c r="K6" s="166"/>
      <c r="L6" s="166"/>
    </row>
    <row r="7" spans="1:17" ht="16.5" thickBot="1">
      <c r="A7" s="166"/>
      <c r="B7" s="169" t="s">
        <v>105</v>
      </c>
      <c r="C7" s="166" t="s">
        <v>896</v>
      </c>
      <c r="D7" s="166"/>
      <c r="E7" s="166"/>
      <c r="F7" s="170">
        <f>'תקציב אגף המיחשוב 2025 '!U18</f>
        <v>7845000</v>
      </c>
      <c r="I7" s="166"/>
      <c r="J7" s="166"/>
      <c r="K7" s="166"/>
      <c r="L7" s="166"/>
    </row>
    <row r="8" spans="1:17" ht="21" thickBot="1">
      <c r="A8" s="166"/>
      <c r="C8" s="168"/>
      <c r="D8" s="166"/>
      <c r="E8" s="166"/>
      <c r="F8" s="166"/>
      <c r="H8" s="166"/>
      <c r="I8" s="166"/>
      <c r="J8" s="166"/>
      <c r="K8" s="166"/>
      <c r="L8" s="166"/>
    </row>
    <row r="9" spans="1:17" ht="16.5" thickBot="1">
      <c r="B9" s="169" t="s">
        <v>105</v>
      </c>
      <c r="C9" s="166" t="s">
        <v>788</v>
      </c>
      <c r="D9" s="166"/>
      <c r="F9" s="170">
        <f>'תקציב אגף המיחשוב 2025 '!A18</f>
        <v>13</v>
      </c>
      <c r="I9" s="166"/>
      <c r="J9" s="166"/>
      <c r="K9" s="166"/>
      <c r="L9" s="166"/>
      <c r="M9" s="166"/>
      <c r="N9" s="166"/>
      <c r="O9" s="166"/>
      <c r="P9" s="166"/>
      <c r="Q9" s="166"/>
    </row>
    <row r="10" spans="1:17" ht="15.75">
      <c r="B10" s="169"/>
      <c r="C10" s="166"/>
      <c r="D10" s="166"/>
      <c r="F10" s="172"/>
      <c r="I10" s="166"/>
      <c r="J10" s="166"/>
      <c r="K10" s="166"/>
      <c r="L10" s="166"/>
      <c r="M10" s="166"/>
      <c r="N10" s="166"/>
      <c r="O10" s="166"/>
      <c r="P10" s="166"/>
      <c r="Q10" s="166"/>
    </row>
    <row r="11" spans="1:17" ht="15.75">
      <c r="B11" s="169"/>
      <c r="C11" s="166"/>
      <c r="D11" s="166"/>
      <c r="F11" s="172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ht="15.75">
      <c r="B12" s="169" t="s">
        <v>105</v>
      </c>
      <c r="C12" s="166" t="s">
        <v>190</v>
      </c>
      <c r="D12" s="166"/>
      <c r="E12" s="166"/>
      <c r="F12" s="166"/>
      <c r="G12" s="166"/>
      <c r="H12" s="166"/>
      <c r="I12" s="166"/>
      <c r="J12" s="166"/>
      <c r="K12" s="166"/>
      <c r="L12" s="166"/>
    </row>
    <row r="13" spans="1:17" ht="16.5" thickBot="1"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</row>
    <row r="14" spans="1:17" ht="15.75">
      <c r="D14" s="177" t="s">
        <v>191</v>
      </c>
      <c r="E14" s="178" t="s">
        <v>192</v>
      </c>
      <c r="F14" s="179" t="s">
        <v>193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</row>
    <row r="15" spans="1:17" ht="15.75">
      <c r="C15" s="169"/>
      <c r="D15" s="173" t="s">
        <v>13</v>
      </c>
      <c r="E15" s="180">
        <f>'תקציב אגף המיחשוב 2025 '!V18</f>
        <v>849000</v>
      </c>
      <c r="F15" s="186">
        <f>E15/$E$18</f>
        <v>0.10822179732313575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</row>
    <row r="16" spans="1:17" ht="15.75">
      <c r="C16" s="169"/>
      <c r="D16" s="173" t="s">
        <v>14</v>
      </c>
      <c r="E16" s="180">
        <f>'תקציב אגף המיחשוב 2025 '!W18</f>
        <v>5996000</v>
      </c>
      <c r="F16" s="186">
        <f>E16/$E$18</f>
        <v>0.76430847673677504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15.75">
      <c r="C17" s="169"/>
      <c r="D17" s="173" t="s">
        <v>67</v>
      </c>
      <c r="E17" s="231">
        <f>'תקציב אגף המיחשוב 2025 '!AA18</f>
        <v>1000000</v>
      </c>
      <c r="F17" s="186">
        <f>E17/$E$18</f>
        <v>0.12746972594008923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16.5" thickBot="1">
      <c r="C18" s="169"/>
      <c r="D18" s="175" t="s">
        <v>75</v>
      </c>
      <c r="E18" s="234">
        <f>SUM(E15:E17)</f>
        <v>7845000</v>
      </c>
      <c r="F18" s="242">
        <f>SUM(F15:F17)</f>
        <v>1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</row>
    <row r="19" spans="1:17" ht="15.75">
      <c r="B19" s="169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</row>
    <row r="20" spans="1:17" ht="15.75">
      <c r="B20" s="169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</row>
    <row r="21" spans="1:17" ht="15.75">
      <c r="B21" s="169" t="s">
        <v>105</v>
      </c>
      <c r="C21" s="420" t="s">
        <v>890</v>
      </c>
      <c r="D21" s="166"/>
      <c r="F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</row>
    <row r="22" spans="1:17" ht="15.75">
      <c r="C22" s="166"/>
      <c r="D22" s="166" t="s">
        <v>201</v>
      </c>
      <c r="E22" s="166"/>
      <c r="F22" s="166"/>
      <c r="H22" s="166"/>
      <c r="I22" s="166"/>
      <c r="J22" s="166"/>
      <c r="K22" s="166"/>
      <c r="L22" s="166"/>
    </row>
    <row r="23" spans="1:17" ht="15.75">
      <c r="B23" s="169"/>
      <c r="C23" s="166"/>
      <c r="D23" s="166" t="s">
        <v>1310</v>
      </c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</row>
    <row r="24" spans="1:17" ht="15.75">
      <c r="B24" s="169"/>
      <c r="C24" s="166"/>
      <c r="D24" s="166" t="s">
        <v>1311</v>
      </c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</row>
    <row r="25" spans="1:17" s="227" customFormat="1" ht="15.75">
      <c r="C25" s="229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</row>
    <row r="26" spans="1:17" s="227" customFormat="1" ht="15.75">
      <c r="C26" s="229" t="s">
        <v>105</v>
      </c>
      <c r="D26" s="417" t="s">
        <v>395</v>
      </c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</row>
    <row r="27" spans="1:17" s="617" customFormat="1" ht="15.75">
      <c r="A27" s="226"/>
      <c r="B27" s="226"/>
      <c r="C27" s="226"/>
      <c r="D27" s="616" t="s">
        <v>1313</v>
      </c>
      <c r="E27" s="264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</row>
    <row r="28" spans="1:17" s="617" customFormat="1" ht="15.75">
      <c r="A28" s="226"/>
      <c r="B28" s="226"/>
      <c r="C28" s="226"/>
      <c r="D28" s="616" t="s">
        <v>1312</v>
      </c>
      <c r="E28" s="264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</row>
    <row r="29" spans="1:17" s="227" customFormat="1" ht="15.75">
      <c r="C29" s="229"/>
      <c r="D29" s="393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</row>
    <row r="30" spans="1:17" s="227" customFormat="1" ht="15.75">
      <c r="C30" s="229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</row>
    <row r="31" spans="1:17" s="227" customFormat="1" ht="15.75">
      <c r="A31" s="226"/>
      <c r="B31" s="226"/>
      <c r="C31" s="226"/>
      <c r="D31" s="324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</row>
    <row r="32" spans="1:17" s="227" customFormat="1" ht="15.75">
      <c r="A32" s="226"/>
      <c r="B32" s="226"/>
      <c r="C32" s="226"/>
      <c r="D32" s="325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</row>
    <row r="33" spans="1:17" s="227" customFormat="1" ht="15.75">
      <c r="C33" s="229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</row>
    <row r="34" spans="1:17" s="227" customFormat="1" ht="15.75">
      <c r="A34" s="226"/>
      <c r="B34" s="226"/>
      <c r="C34" s="226"/>
      <c r="D34" s="265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</row>
    <row r="35" spans="1:17" s="227" customFormat="1" ht="15.75">
      <c r="C35" s="229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</row>
    <row r="37" spans="1:17" ht="15.75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BM131"/>
  <sheetViews>
    <sheetView showZeros="0" rightToLeft="1" workbookViewId="0">
      <pane xSplit="6" ySplit="4" topLeftCell="L5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28515625" defaultRowHeight="14.25"/>
  <cols>
    <col min="1" max="1" width="3.5703125" style="148" customWidth="1"/>
    <col min="2" max="2" width="5.7109375" style="148" customWidth="1"/>
    <col min="3" max="3" width="17.7109375" style="148" customWidth="1"/>
    <col min="4" max="5" width="11.140625" style="148" customWidth="1"/>
    <col min="6" max="6" width="9.42578125" style="148" customWidth="1"/>
    <col min="7" max="7" width="14" style="148" hidden="1" customWidth="1"/>
    <col min="8" max="8" width="13" style="148" hidden="1" customWidth="1"/>
    <col min="9" max="9" width="9.140625" style="148" hidden="1" customWidth="1"/>
    <col min="10" max="10" width="10.5703125" style="148" hidden="1" customWidth="1"/>
    <col min="11" max="11" width="10" style="148" hidden="1" customWidth="1"/>
    <col min="12" max="12" width="10.42578125" style="148" customWidth="1"/>
    <col min="13" max="13" width="10.140625" style="148" customWidth="1"/>
    <col min="14" max="14" width="9.85546875" style="148" customWidth="1"/>
    <col min="15" max="15" width="10.28515625" style="148" customWidth="1"/>
    <col min="16" max="16" width="12.140625" style="148" hidden="1" customWidth="1"/>
    <col min="17" max="19" width="9.140625" style="148" hidden="1" customWidth="1"/>
    <col min="20" max="20" width="7.85546875" style="148" customWidth="1"/>
    <col min="21" max="21" width="10.85546875" style="148" customWidth="1"/>
    <col min="22" max="22" width="9.42578125" style="148" customWidth="1"/>
    <col min="23" max="23" width="10.140625" style="148" customWidth="1"/>
    <col min="24" max="26" width="8.28515625" style="148" hidden="1" customWidth="1"/>
    <col min="27" max="27" width="9.28515625" style="148" customWidth="1"/>
    <col min="28" max="28" width="26.42578125" style="148" customWidth="1"/>
    <col min="29" max="29" width="8.28515625" style="148" hidden="1" customWidth="1"/>
    <col min="30" max="31" width="14.7109375" style="288" customWidth="1"/>
    <col min="32" max="32" width="17.7109375" style="288" customWidth="1"/>
    <col min="33" max="33" width="20.5703125" style="288" customWidth="1"/>
    <col min="34" max="34" width="17.7109375" style="288" customWidth="1"/>
    <col min="35" max="35" width="22" style="462" customWidth="1"/>
    <col min="36" max="36" width="35.28515625" style="462" customWidth="1"/>
    <col min="37" max="37" width="10.42578125" style="462" customWidth="1"/>
    <col min="38" max="38" width="42.42578125" style="462" customWidth="1"/>
    <col min="39" max="39" width="14.7109375" style="462" customWidth="1"/>
    <col min="40" max="41" width="17.7109375" style="462" customWidth="1"/>
    <col min="42" max="42" width="9.7109375" style="288" customWidth="1"/>
    <col min="43" max="47" width="10.7109375" style="148" customWidth="1"/>
    <col min="48" max="50" width="10.7109375" style="148" hidden="1" customWidth="1"/>
    <col min="51" max="51" width="10.7109375" style="148" customWidth="1"/>
    <col min="52" max="16384" width="8.28515625" style="148"/>
  </cols>
  <sheetData>
    <row r="1" spans="1:65" ht="18.75">
      <c r="A1" s="457"/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O1" s="457"/>
      <c r="P1" s="457"/>
      <c r="Q1" s="457"/>
      <c r="R1" s="457"/>
      <c r="S1" s="457"/>
      <c r="T1" s="457"/>
      <c r="U1" s="457"/>
      <c r="V1" s="457"/>
      <c r="W1" s="457"/>
      <c r="X1" s="458"/>
      <c r="Y1" s="458"/>
      <c r="Z1" s="458"/>
      <c r="AA1" s="459"/>
      <c r="AB1" s="460"/>
      <c r="AC1" s="459"/>
    </row>
    <row r="2" spans="1:65" ht="18.75">
      <c r="A2" s="457" t="s">
        <v>249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61"/>
      <c r="V2" s="457"/>
      <c r="W2" s="457"/>
      <c r="X2" s="461"/>
      <c r="Z2" s="461"/>
      <c r="AA2" s="461"/>
      <c r="AB2" s="462"/>
      <c r="AC2" s="461"/>
    </row>
    <row r="3" spans="1:65" ht="15">
      <c r="A3" s="463"/>
      <c r="B3" s="461"/>
      <c r="C3" s="461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1"/>
      <c r="V3" s="462"/>
      <c r="W3" s="462"/>
      <c r="X3" s="462"/>
      <c r="Y3" s="462"/>
      <c r="Z3" s="462"/>
      <c r="AA3" s="462"/>
      <c r="AB3" s="463"/>
      <c r="AC3" s="461"/>
    </row>
    <row r="4" spans="1:65" ht="73.5" customHeight="1">
      <c r="A4" s="122" t="s">
        <v>0</v>
      </c>
      <c r="B4" s="465" t="s">
        <v>328</v>
      </c>
      <c r="C4" s="465" t="s">
        <v>2</v>
      </c>
      <c r="D4" s="465" t="s">
        <v>494</v>
      </c>
      <c r="E4" s="465" t="s">
        <v>4</v>
      </c>
      <c r="F4" s="465" t="s">
        <v>5</v>
      </c>
      <c r="G4" s="465" t="s">
        <v>6</v>
      </c>
      <c r="H4" s="465" t="s">
        <v>7</v>
      </c>
      <c r="I4" s="465" t="s">
        <v>9</v>
      </c>
      <c r="J4" s="465" t="s">
        <v>101</v>
      </c>
      <c r="K4" s="465" t="s">
        <v>10</v>
      </c>
      <c r="L4" s="465" t="s">
        <v>11</v>
      </c>
      <c r="M4" s="465" t="s">
        <v>793</v>
      </c>
      <c r="N4" s="465" t="s">
        <v>794</v>
      </c>
      <c r="O4" s="328" t="s">
        <v>795</v>
      </c>
      <c r="P4" s="328" t="s">
        <v>12</v>
      </c>
      <c r="Q4" s="328" t="s">
        <v>571</v>
      </c>
      <c r="R4" s="328" t="s">
        <v>572</v>
      </c>
      <c r="S4" s="328" t="s">
        <v>798</v>
      </c>
      <c r="T4" s="328" t="s">
        <v>799</v>
      </c>
      <c r="U4" s="328" t="s">
        <v>800</v>
      </c>
      <c r="V4" s="465" t="s">
        <v>13</v>
      </c>
      <c r="W4" s="465" t="s">
        <v>14</v>
      </c>
      <c r="X4" s="465" t="s">
        <v>15</v>
      </c>
      <c r="Y4" s="465" t="s">
        <v>185</v>
      </c>
      <c r="Z4" s="465" t="s">
        <v>385</v>
      </c>
      <c r="AA4" s="465" t="s">
        <v>67</v>
      </c>
      <c r="AB4" s="466" t="s">
        <v>207</v>
      </c>
      <c r="AC4" s="465" t="s">
        <v>16</v>
      </c>
    </row>
    <row r="5" spans="1:65" ht="60">
      <c r="A5" s="467">
        <v>1</v>
      </c>
      <c r="B5" s="467">
        <v>1002</v>
      </c>
      <c r="C5" s="467" t="s">
        <v>94</v>
      </c>
      <c r="D5" s="452">
        <v>3290000</v>
      </c>
      <c r="E5" s="452">
        <v>3290000</v>
      </c>
      <c r="F5" s="452">
        <f t="shared" ref="F5:F15" si="0">D5-E5</f>
        <v>0</v>
      </c>
      <c r="G5" s="452">
        <v>2310000</v>
      </c>
      <c r="H5" s="452">
        <v>2237464</v>
      </c>
      <c r="I5" s="452">
        <v>0</v>
      </c>
      <c r="J5" s="452">
        <v>4633</v>
      </c>
      <c r="K5" s="452">
        <f>I5+J5</f>
        <v>4633</v>
      </c>
      <c r="L5" s="452">
        <f t="shared" ref="L5:L15" si="1">H5+K5</f>
        <v>2242097</v>
      </c>
      <c r="M5" s="468">
        <f>P5+S5-67000</f>
        <v>903</v>
      </c>
      <c r="N5" s="468">
        <f>450000+67000-450000</f>
        <v>67000</v>
      </c>
      <c r="O5" s="468">
        <f t="shared" ref="O5:O15" si="2">D5-L5-M5-N5</f>
        <v>980000</v>
      </c>
      <c r="P5" s="468">
        <f t="shared" ref="P5:P15" si="3">G5-L5</f>
        <v>67903</v>
      </c>
      <c r="Q5" s="468"/>
      <c r="R5" s="468"/>
      <c r="S5" s="468">
        <f t="shared" ref="S5:S16" si="4">SUM(Q5:R5)</f>
        <v>0</v>
      </c>
      <c r="T5" s="468">
        <f t="shared" ref="T5:T13" si="5">P5-M5+S5</f>
        <v>67000</v>
      </c>
      <c r="U5" s="468">
        <f t="shared" ref="U5:U15" si="6">N5-T5</f>
        <v>0</v>
      </c>
      <c r="V5" s="468"/>
      <c r="W5" s="468">
        <f t="shared" ref="W5:W17" si="7">U5-V5-X5-Z5-AA5</f>
        <v>0</v>
      </c>
      <c r="X5" s="452"/>
      <c r="Y5" s="452"/>
      <c r="Z5" s="452"/>
      <c r="AA5" s="467"/>
      <c r="AB5" s="467" t="s">
        <v>633</v>
      </c>
      <c r="AC5" s="467">
        <v>760000</v>
      </c>
    </row>
    <row r="6" spans="1:65" s="289" customFormat="1" ht="60">
      <c r="A6" s="467">
        <f>1+A5</f>
        <v>2</v>
      </c>
      <c r="B6" s="467">
        <v>1497</v>
      </c>
      <c r="C6" s="467" t="s">
        <v>51</v>
      </c>
      <c r="D6" s="452">
        <v>8820000</v>
      </c>
      <c r="E6" s="452">
        <v>8820000</v>
      </c>
      <c r="F6" s="452">
        <f t="shared" si="0"/>
        <v>0</v>
      </c>
      <c r="G6" s="452">
        <v>3473000</v>
      </c>
      <c r="H6" s="452">
        <v>3219746</v>
      </c>
      <c r="I6" s="452">
        <v>43536</v>
      </c>
      <c r="J6" s="452">
        <v>120443</v>
      </c>
      <c r="K6" s="452">
        <f t="shared" ref="K6:K16" si="8">I6+J6</f>
        <v>163979</v>
      </c>
      <c r="L6" s="452">
        <f t="shared" si="1"/>
        <v>3383725</v>
      </c>
      <c r="M6" s="468">
        <f t="shared" ref="M6:M16" si="9">P6+S6</f>
        <v>89275</v>
      </c>
      <c r="N6" s="468">
        <v>150000</v>
      </c>
      <c r="O6" s="468">
        <f t="shared" si="2"/>
        <v>5197000</v>
      </c>
      <c r="P6" s="468">
        <f t="shared" si="3"/>
        <v>89275</v>
      </c>
      <c r="Q6" s="468"/>
      <c r="R6" s="468"/>
      <c r="S6" s="468">
        <f t="shared" si="4"/>
        <v>0</v>
      </c>
      <c r="T6" s="468">
        <f t="shared" si="5"/>
        <v>0</v>
      </c>
      <c r="U6" s="468">
        <f t="shared" si="6"/>
        <v>150000</v>
      </c>
      <c r="V6" s="468"/>
      <c r="W6" s="468">
        <f t="shared" si="7"/>
        <v>150000</v>
      </c>
      <c r="X6" s="452"/>
      <c r="Y6" s="452"/>
      <c r="Z6" s="452"/>
      <c r="AA6" s="467"/>
      <c r="AB6" s="467" t="s">
        <v>769</v>
      </c>
      <c r="AC6" s="467">
        <v>610000</v>
      </c>
      <c r="AD6" s="288"/>
      <c r="AE6" s="288"/>
      <c r="AF6" s="288"/>
      <c r="AG6" s="288"/>
      <c r="AH6" s="288"/>
      <c r="AI6" s="462"/>
      <c r="AJ6" s="462"/>
      <c r="AK6" s="462"/>
      <c r="AL6" s="462"/>
      <c r="AM6" s="462"/>
      <c r="AN6" s="462"/>
      <c r="AO6" s="462"/>
      <c r="AP6" s="288"/>
    </row>
    <row r="7" spans="1:65" ht="30" customHeight="1">
      <c r="A7" s="467">
        <f t="shared" ref="A7:A17" si="10">1+A6</f>
        <v>3</v>
      </c>
      <c r="B7" s="467">
        <v>1647</v>
      </c>
      <c r="C7" s="467" t="s">
        <v>237</v>
      </c>
      <c r="D7" s="452">
        <f>4700000+50000</f>
        <v>4750000</v>
      </c>
      <c r="E7" s="452">
        <v>4700000</v>
      </c>
      <c r="F7" s="452">
        <f t="shared" si="0"/>
        <v>50000</v>
      </c>
      <c r="G7" s="452">
        <v>4600000</v>
      </c>
      <c r="H7" s="452">
        <v>4446864</v>
      </c>
      <c r="I7" s="452">
        <v>0</v>
      </c>
      <c r="J7" s="452">
        <v>2814</v>
      </c>
      <c r="K7" s="452">
        <f t="shared" si="8"/>
        <v>2814</v>
      </c>
      <c r="L7" s="452">
        <f t="shared" si="1"/>
        <v>4449678</v>
      </c>
      <c r="M7" s="468">
        <f t="shared" si="9"/>
        <v>150322</v>
      </c>
      <c r="N7" s="468">
        <v>150000</v>
      </c>
      <c r="O7" s="468">
        <f t="shared" si="2"/>
        <v>0</v>
      </c>
      <c r="P7" s="468">
        <f t="shared" si="3"/>
        <v>150322</v>
      </c>
      <c r="Q7" s="468"/>
      <c r="R7" s="468"/>
      <c r="S7" s="468">
        <f t="shared" si="4"/>
        <v>0</v>
      </c>
      <c r="T7" s="469"/>
      <c r="U7" s="468">
        <f t="shared" si="6"/>
        <v>150000</v>
      </c>
      <c r="V7" s="468"/>
      <c r="W7" s="468">
        <f t="shared" si="7"/>
        <v>150000</v>
      </c>
      <c r="X7" s="452"/>
      <c r="Y7" s="452"/>
      <c r="Z7" s="452"/>
      <c r="AA7" s="467"/>
      <c r="AB7" s="467" t="s">
        <v>257</v>
      </c>
      <c r="AC7" s="467">
        <v>810000</v>
      </c>
    </row>
    <row r="8" spans="1:65" s="289" customFormat="1" ht="60">
      <c r="A8" s="467">
        <f t="shared" si="10"/>
        <v>4</v>
      </c>
      <c r="B8" s="467">
        <v>1871</v>
      </c>
      <c r="C8" s="467" t="s">
        <v>270</v>
      </c>
      <c r="D8" s="452">
        <v>46840000</v>
      </c>
      <c r="E8" s="452">
        <v>46840000</v>
      </c>
      <c r="F8" s="452">
        <f t="shared" si="0"/>
        <v>0</v>
      </c>
      <c r="G8" s="452">
        <v>23340000</v>
      </c>
      <c r="H8" s="452">
        <v>18015535</v>
      </c>
      <c r="I8" s="452">
        <v>0</v>
      </c>
      <c r="J8" s="452">
        <v>5300558</v>
      </c>
      <c r="K8" s="452">
        <f t="shared" si="8"/>
        <v>5300558</v>
      </c>
      <c r="L8" s="452">
        <f t="shared" si="1"/>
        <v>23316093</v>
      </c>
      <c r="M8" s="468">
        <f t="shared" si="9"/>
        <v>23907</v>
      </c>
      <c r="N8" s="468">
        <f>4700000-200000-2550000</f>
        <v>1950000</v>
      </c>
      <c r="O8" s="468">
        <f t="shared" si="2"/>
        <v>21550000</v>
      </c>
      <c r="P8" s="468">
        <f t="shared" si="3"/>
        <v>23907</v>
      </c>
      <c r="Q8" s="468"/>
      <c r="R8" s="468"/>
      <c r="S8" s="468">
        <f t="shared" si="4"/>
        <v>0</v>
      </c>
      <c r="T8" s="468">
        <f t="shared" si="5"/>
        <v>0</v>
      </c>
      <c r="U8" s="468">
        <f t="shared" si="6"/>
        <v>1950000</v>
      </c>
      <c r="V8" s="468">
        <f>U8-W8-X8-Y8-Z8-AA8</f>
        <v>849000</v>
      </c>
      <c r="W8" s="468">
        <v>1101000</v>
      </c>
      <c r="X8" s="452"/>
      <c r="Y8" s="452"/>
      <c r="Z8" s="452"/>
      <c r="AA8" s="467"/>
      <c r="AB8" s="467" t="s">
        <v>1499</v>
      </c>
      <c r="AC8" s="467">
        <v>760000</v>
      </c>
      <c r="AD8" s="288"/>
      <c r="AE8" s="288"/>
      <c r="AF8" s="288"/>
      <c r="AG8" s="288"/>
      <c r="AH8" s="288"/>
      <c r="AI8" s="462"/>
      <c r="AJ8" s="462"/>
      <c r="AK8" s="462"/>
      <c r="AL8" s="462"/>
      <c r="AM8" s="462"/>
      <c r="AN8" s="462"/>
      <c r="AO8" s="462"/>
      <c r="AP8" s="288"/>
    </row>
    <row r="9" spans="1:65" s="289" customFormat="1" ht="90">
      <c r="A9" s="467">
        <f t="shared" si="10"/>
        <v>5</v>
      </c>
      <c r="B9" s="467">
        <v>1982</v>
      </c>
      <c r="C9" s="467" t="s">
        <v>471</v>
      </c>
      <c r="D9" s="452">
        <v>31550000</v>
      </c>
      <c r="E9" s="452">
        <v>31550000</v>
      </c>
      <c r="F9" s="452">
        <f t="shared" si="0"/>
        <v>0</v>
      </c>
      <c r="G9" s="452">
        <v>19550000</v>
      </c>
      <c r="H9" s="452">
        <v>17412163</v>
      </c>
      <c r="I9" s="452">
        <v>0</v>
      </c>
      <c r="J9" s="452">
        <v>1983440</v>
      </c>
      <c r="K9" s="452">
        <f t="shared" si="8"/>
        <v>1983440</v>
      </c>
      <c r="L9" s="452">
        <f t="shared" si="1"/>
        <v>19395603</v>
      </c>
      <c r="M9" s="468">
        <f t="shared" si="9"/>
        <v>154397</v>
      </c>
      <c r="N9" s="468">
        <f>2400000-1000000</f>
        <v>1400000</v>
      </c>
      <c r="O9" s="468">
        <f t="shared" si="2"/>
        <v>10600000</v>
      </c>
      <c r="P9" s="468">
        <f t="shared" si="3"/>
        <v>154397</v>
      </c>
      <c r="Q9" s="468"/>
      <c r="R9" s="468"/>
      <c r="S9" s="468">
        <f t="shared" si="4"/>
        <v>0</v>
      </c>
      <c r="T9" s="468">
        <f t="shared" si="5"/>
        <v>0</v>
      </c>
      <c r="U9" s="468">
        <f t="shared" si="6"/>
        <v>1400000</v>
      </c>
      <c r="V9" s="468"/>
      <c r="W9" s="468">
        <f t="shared" si="7"/>
        <v>1400000</v>
      </c>
      <c r="X9" s="452"/>
      <c r="Y9" s="452"/>
      <c r="Z9" s="452"/>
      <c r="AA9" s="467"/>
      <c r="AB9" s="467" t="s">
        <v>1501</v>
      </c>
      <c r="AC9" s="467">
        <v>722000</v>
      </c>
      <c r="AD9" s="288"/>
      <c r="AE9" s="288"/>
      <c r="AF9" s="288"/>
      <c r="AG9" s="288"/>
      <c r="AH9" s="288"/>
      <c r="AI9" s="462"/>
      <c r="AJ9" s="462"/>
      <c r="AK9" s="462"/>
      <c r="AL9" s="462"/>
      <c r="AM9" s="462"/>
      <c r="AN9" s="462"/>
      <c r="AO9" s="462"/>
      <c r="AP9" s="288"/>
    </row>
    <row r="10" spans="1:65" s="289" customFormat="1" ht="113.25" customHeight="1">
      <c r="A10" s="467">
        <f t="shared" si="10"/>
        <v>6</v>
      </c>
      <c r="B10" s="467">
        <v>2082</v>
      </c>
      <c r="C10" s="467" t="s">
        <v>577</v>
      </c>
      <c r="D10" s="452">
        <f>1600000+60000-60000</f>
        <v>1600000</v>
      </c>
      <c r="E10" s="452">
        <v>1600000</v>
      </c>
      <c r="F10" s="452">
        <f t="shared" si="0"/>
        <v>0</v>
      </c>
      <c r="G10" s="452">
        <v>1160000</v>
      </c>
      <c r="H10" s="452">
        <v>808264</v>
      </c>
      <c r="I10" s="452">
        <v>0</v>
      </c>
      <c r="J10" s="452">
        <v>51597</v>
      </c>
      <c r="K10" s="452">
        <f t="shared" si="8"/>
        <v>51597</v>
      </c>
      <c r="L10" s="452">
        <f t="shared" si="1"/>
        <v>859861</v>
      </c>
      <c r="M10" s="468">
        <f t="shared" si="9"/>
        <v>300139</v>
      </c>
      <c r="N10" s="468">
        <f>520000-20000-215000</f>
        <v>285000</v>
      </c>
      <c r="O10" s="468">
        <f t="shared" si="2"/>
        <v>155000</v>
      </c>
      <c r="P10" s="468">
        <f t="shared" si="3"/>
        <v>300139</v>
      </c>
      <c r="Q10" s="468"/>
      <c r="R10" s="468"/>
      <c r="S10" s="468">
        <f t="shared" si="4"/>
        <v>0</v>
      </c>
      <c r="T10" s="468">
        <f t="shared" si="5"/>
        <v>0</v>
      </c>
      <c r="U10" s="468">
        <f t="shared" si="6"/>
        <v>285000</v>
      </c>
      <c r="V10" s="468"/>
      <c r="W10" s="468">
        <f t="shared" si="7"/>
        <v>285000</v>
      </c>
      <c r="X10" s="452"/>
      <c r="Y10" s="452"/>
      <c r="Z10" s="452"/>
      <c r="AA10" s="467"/>
      <c r="AB10" s="467" t="s">
        <v>1500</v>
      </c>
      <c r="AC10" s="467">
        <v>760000</v>
      </c>
      <c r="AD10" s="288"/>
      <c r="AE10" s="288"/>
      <c r="AF10" s="288"/>
      <c r="AG10" s="288"/>
      <c r="AH10" s="288"/>
      <c r="AI10" s="462"/>
      <c r="AJ10" s="462"/>
      <c r="AK10" s="462"/>
      <c r="AL10" s="462"/>
      <c r="AM10" s="462"/>
      <c r="AN10" s="462"/>
      <c r="AO10" s="462"/>
      <c r="AP10" s="288"/>
    </row>
    <row r="11" spans="1:65" s="343" customFormat="1" ht="45">
      <c r="A11" s="467">
        <f t="shared" si="10"/>
        <v>7</v>
      </c>
      <c r="B11" s="345">
        <v>2144</v>
      </c>
      <c r="C11" s="339" t="s">
        <v>325</v>
      </c>
      <c r="D11" s="340">
        <v>200000</v>
      </c>
      <c r="E11" s="340">
        <v>200000</v>
      </c>
      <c r="F11" s="340">
        <f t="shared" si="0"/>
        <v>0</v>
      </c>
      <c r="G11" s="340">
        <v>0</v>
      </c>
      <c r="H11" s="340">
        <v>0</v>
      </c>
      <c r="I11" s="340">
        <v>0</v>
      </c>
      <c r="J11" s="340">
        <v>0</v>
      </c>
      <c r="K11" s="452">
        <f t="shared" si="8"/>
        <v>0</v>
      </c>
      <c r="L11" s="340">
        <f t="shared" si="1"/>
        <v>0</v>
      </c>
      <c r="M11" s="468">
        <f t="shared" si="9"/>
        <v>0</v>
      </c>
      <c r="N11" s="340">
        <v>55000</v>
      </c>
      <c r="O11" s="340">
        <f t="shared" si="2"/>
        <v>145000</v>
      </c>
      <c r="P11" s="340">
        <f t="shared" si="3"/>
        <v>0</v>
      </c>
      <c r="Q11" s="342"/>
      <c r="R11" s="340"/>
      <c r="S11" s="340">
        <f t="shared" si="4"/>
        <v>0</v>
      </c>
      <c r="T11" s="341">
        <f t="shared" si="5"/>
        <v>0</v>
      </c>
      <c r="U11" s="340">
        <f t="shared" si="6"/>
        <v>55000</v>
      </c>
      <c r="V11" s="340"/>
      <c r="W11" s="468">
        <f t="shared" si="7"/>
        <v>55000</v>
      </c>
      <c r="X11" s="340"/>
      <c r="Y11" s="340"/>
      <c r="Z11" s="340"/>
      <c r="AA11" s="339"/>
      <c r="AB11" s="339" t="s">
        <v>332</v>
      </c>
      <c r="AC11" s="339">
        <v>732000</v>
      </c>
      <c r="AD11" s="288"/>
      <c r="AE11" s="288"/>
      <c r="AF11" s="288"/>
      <c r="AG11" s="288"/>
      <c r="AH11" s="288"/>
      <c r="AI11" s="462"/>
      <c r="AJ11" s="462"/>
      <c r="AK11" s="462"/>
      <c r="AL11" s="462"/>
      <c r="AM11" s="462"/>
      <c r="AN11" s="462"/>
      <c r="AO11" s="462"/>
      <c r="AP11" s="288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</row>
    <row r="12" spans="1:65" s="343" customFormat="1" ht="30" customHeight="1">
      <c r="A12" s="467">
        <f t="shared" si="10"/>
        <v>8</v>
      </c>
      <c r="B12" s="345">
        <v>20076</v>
      </c>
      <c r="C12" s="339" t="s">
        <v>495</v>
      </c>
      <c r="D12" s="452">
        <v>220000</v>
      </c>
      <c r="E12" s="452">
        <v>220000</v>
      </c>
      <c r="F12" s="452">
        <f t="shared" si="0"/>
        <v>0</v>
      </c>
      <c r="G12" s="468">
        <v>125000</v>
      </c>
      <c r="H12" s="452">
        <v>0</v>
      </c>
      <c r="I12" s="452">
        <v>0</v>
      </c>
      <c r="J12" s="452">
        <v>104130</v>
      </c>
      <c r="K12" s="452">
        <f t="shared" si="8"/>
        <v>104130</v>
      </c>
      <c r="L12" s="452">
        <f>H12+K12</f>
        <v>104130</v>
      </c>
      <c r="M12" s="468">
        <f>P12+S12-20870+870</f>
        <v>870</v>
      </c>
      <c r="N12" s="468">
        <v>95000</v>
      </c>
      <c r="O12" s="468">
        <f t="shared" si="2"/>
        <v>20000</v>
      </c>
      <c r="P12" s="468">
        <f t="shared" si="3"/>
        <v>20870</v>
      </c>
      <c r="Q12" s="468"/>
      <c r="R12" s="468"/>
      <c r="S12" s="468">
        <f t="shared" si="4"/>
        <v>0</v>
      </c>
      <c r="T12" s="468">
        <f t="shared" si="5"/>
        <v>20000</v>
      </c>
      <c r="U12" s="468">
        <f t="shared" si="6"/>
        <v>75000</v>
      </c>
      <c r="V12" s="468"/>
      <c r="W12" s="468">
        <f t="shared" si="7"/>
        <v>75000</v>
      </c>
      <c r="X12" s="452"/>
      <c r="Y12" s="452"/>
      <c r="Z12" s="452"/>
      <c r="AA12" s="468"/>
      <c r="AB12" s="339" t="s">
        <v>1283</v>
      </c>
      <c r="AC12" s="339">
        <v>610000</v>
      </c>
      <c r="AD12" s="288"/>
      <c r="AE12" s="288"/>
      <c r="AF12" s="288"/>
      <c r="AG12" s="288"/>
      <c r="AH12" s="288"/>
      <c r="AI12" s="462"/>
      <c r="AJ12" s="462"/>
      <c r="AK12" s="462"/>
      <c r="AL12" s="462"/>
      <c r="AM12" s="462"/>
      <c r="AN12" s="462"/>
      <c r="AO12" s="462"/>
      <c r="AP12" s="288"/>
      <c r="AQ12" s="289"/>
      <c r="AR12" s="289"/>
      <c r="AS12" s="289"/>
      <c r="AT12" s="289"/>
      <c r="AU12" s="289"/>
      <c r="AV12" s="289"/>
      <c r="AW12" s="289"/>
      <c r="AX12" s="289"/>
      <c r="AY12" s="289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</row>
    <row r="13" spans="1:65" s="343" customFormat="1" ht="60">
      <c r="A13" s="467">
        <f t="shared" si="10"/>
        <v>9</v>
      </c>
      <c r="B13" s="345">
        <v>20077</v>
      </c>
      <c r="C13" s="467" t="s">
        <v>245</v>
      </c>
      <c r="D13" s="468">
        <v>3000000</v>
      </c>
      <c r="E13" s="468">
        <v>2000000</v>
      </c>
      <c r="F13" s="468">
        <f t="shared" si="0"/>
        <v>1000000</v>
      </c>
      <c r="G13" s="468">
        <v>1000000</v>
      </c>
      <c r="H13" s="468">
        <v>685364</v>
      </c>
      <c r="I13" s="468">
        <v>0</v>
      </c>
      <c r="J13" s="468">
        <v>312990</v>
      </c>
      <c r="K13" s="452">
        <f t="shared" si="8"/>
        <v>312990</v>
      </c>
      <c r="L13" s="468">
        <f t="shared" si="1"/>
        <v>998354</v>
      </c>
      <c r="M13" s="468">
        <f t="shared" si="9"/>
        <v>1001646</v>
      </c>
      <c r="N13" s="468">
        <v>1000000</v>
      </c>
      <c r="O13" s="468">
        <f t="shared" si="2"/>
        <v>0</v>
      </c>
      <c r="P13" s="468">
        <f t="shared" si="3"/>
        <v>1646</v>
      </c>
      <c r="Q13" s="468">
        <v>1000000</v>
      </c>
      <c r="R13" s="468"/>
      <c r="S13" s="468">
        <f t="shared" si="4"/>
        <v>1000000</v>
      </c>
      <c r="T13" s="468">
        <f t="shared" si="5"/>
        <v>0</v>
      </c>
      <c r="U13" s="468">
        <f t="shared" si="6"/>
        <v>1000000</v>
      </c>
      <c r="V13" s="468"/>
      <c r="W13" s="468">
        <f t="shared" si="7"/>
        <v>0</v>
      </c>
      <c r="X13" s="452"/>
      <c r="Y13" s="452"/>
      <c r="Z13" s="452"/>
      <c r="AA13" s="468">
        <v>1000000</v>
      </c>
      <c r="AB13" s="467" t="s">
        <v>1284</v>
      </c>
      <c r="AC13" s="339">
        <v>810000</v>
      </c>
      <c r="AD13" s="288"/>
      <c r="AE13" s="288"/>
      <c r="AF13" s="288"/>
      <c r="AG13" s="288"/>
      <c r="AH13" s="288"/>
      <c r="AI13" s="462"/>
      <c r="AJ13" s="462"/>
      <c r="AK13" s="462"/>
      <c r="AL13" s="462"/>
      <c r="AM13" s="462"/>
      <c r="AN13" s="462"/>
      <c r="AO13" s="462"/>
      <c r="AP13" s="288"/>
      <c r="AQ13" s="148"/>
      <c r="AR13" s="148"/>
      <c r="AS13" s="148"/>
      <c r="AT13" s="148"/>
      <c r="AU13" s="148"/>
      <c r="AV13" s="148"/>
      <c r="AW13" s="148"/>
      <c r="AX13" s="148"/>
      <c r="AY13" s="148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</row>
    <row r="14" spans="1:65" s="343" customFormat="1" ht="60">
      <c r="A14" s="467">
        <f t="shared" si="10"/>
        <v>10</v>
      </c>
      <c r="B14" s="345">
        <v>20078</v>
      </c>
      <c r="C14" s="339" t="s">
        <v>499</v>
      </c>
      <c r="D14" s="468">
        <f>3400000+1200000</f>
        <v>4600000</v>
      </c>
      <c r="E14" s="468">
        <v>3400000</v>
      </c>
      <c r="F14" s="468">
        <f t="shared" si="0"/>
        <v>1200000</v>
      </c>
      <c r="G14" s="468">
        <v>2200000</v>
      </c>
      <c r="H14" s="468">
        <v>1195251</v>
      </c>
      <c r="I14" s="468"/>
      <c r="J14" s="468">
        <v>0</v>
      </c>
      <c r="K14" s="452">
        <f t="shared" si="8"/>
        <v>0</v>
      </c>
      <c r="L14" s="468">
        <f t="shared" si="1"/>
        <v>1195251</v>
      </c>
      <c r="M14" s="468">
        <f>P14+S14</f>
        <v>1004749</v>
      </c>
      <c r="N14" s="470">
        <f>1200000+1200000</f>
        <v>2400000</v>
      </c>
      <c r="O14" s="468">
        <f t="shared" si="2"/>
        <v>0</v>
      </c>
      <c r="P14" s="468">
        <f t="shared" si="3"/>
        <v>1004749</v>
      </c>
      <c r="Q14" s="468"/>
      <c r="R14" s="468"/>
      <c r="S14" s="468">
        <f t="shared" si="4"/>
        <v>0</v>
      </c>
      <c r="T14" s="468"/>
      <c r="U14" s="468">
        <f t="shared" si="6"/>
        <v>2400000</v>
      </c>
      <c r="V14" s="468"/>
      <c r="W14" s="468">
        <f t="shared" si="7"/>
        <v>2400000</v>
      </c>
      <c r="X14" s="452"/>
      <c r="Y14" s="452"/>
      <c r="Z14" s="452"/>
      <c r="AA14" s="468"/>
      <c r="AB14" s="339" t="s">
        <v>1502</v>
      </c>
      <c r="AC14" s="339">
        <v>610000</v>
      </c>
      <c r="AD14" s="288"/>
      <c r="AE14" s="288"/>
      <c r="AF14" s="288"/>
      <c r="AG14" s="288"/>
      <c r="AH14" s="288"/>
      <c r="AI14" s="462"/>
      <c r="AJ14" s="462"/>
      <c r="AK14" s="462"/>
      <c r="AL14" s="462"/>
      <c r="AM14" s="462"/>
      <c r="AN14" s="462"/>
      <c r="AO14" s="462"/>
      <c r="AP14" s="288"/>
      <c r="AQ14" s="289"/>
      <c r="AR14" s="289"/>
      <c r="AS14" s="289"/>
      <c r="AT14" s="289"/>
      <c r="AU14" s="289"/>
      <c r="AV14" s="289"/>
      <c r="AW14" s="289"/>
      <c r="AX14" s="289"/>
      <c r="AY14" s="289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</row>
    <row r="15" spans="1:65" s="343" customFormat="1" ht="45">
      <c r="A15" s="467">
        <f t="shared" si="10"/>
        <v>11</v>
      </c>
      <c r="B15" s="345">
        <v>20085</v>
      </c>
      <c r="C15" s="339" t="s">
        <v>861</v>
      </c>
      <c r="D15" s="468">
        <f>700000+500000-500000</f>
        <v>700000</v>
      </c>
      <c r="E15" s="468">
        <v>700000</v>
      </c>
      <c r="F15" s="468">
        <f t="shared" si="0"/>
        <v>0</v>
      </c>
      <c r="G15" s="468">
        <v>200000</v>
      </c>
      <c r="H15" s="468">
        <v>199534</v>
      </c>
      <c r="I15" s="468">
        <v>0</v>
      </c>
      <c r="J15" s="468">
        <v>0</v>
      </c>
      <c r="K15" s="452">
        <f t="shared" si="8"/>
        <v>0</v>
      </c>
      <c r="L15" s="468">
        <f t="shared" si="1"/>
        <v>199534</v>
      </c>
      <c r="M15" s="468">
        <f t="shared" si="9"/>
        <v>365466</v>
      </c>
      <c r="N15" s="468">
        <f>626000-546000</f>
        <v>80000</v>
      </c>
      <c r="O15" s="468">
        <f t="shared" si="2"/>
        <v>55000</v>
      </c>
      <c r="P15" s="468">
        <f t="shared" si="3"/>
        <v>466</v>
      </c>
      <c r="Q15" s="468">
        <v>365000</v>
      </c>
      <c r="R15" s="468"/>
      <c r="S15" s="468">
        <f t="shared" si="4"/>
        <v>365000</v>
      </c>
      <c r="T15" s="468"/>
      <c r="U15" s="468">
        <f t="shared" si="6"/>
        <v>80000</v>
      </c>
      <c r="V15" s="468"/>
      <c r="W15" s="468">
        <f t="shared" si="7"/>
        <v>80000</v>
      </c>
      <c r="X15" s="452"/>
      <c r="Y15" s="452"/>
      <c r="Z15" s="452"/>
      <c r="AA15" s="468"/>
      <c r="AB15" s="339" t="s">
        <v>862</v>
      </c>
      <c r="AC15" s="339">
        <v>760000</v>
      </c>
      <c r="AD15" s="288"/>
      <c r="AE15" s="288"/>
      <c r="AF15" s="288"/>
      <c r="AG15" s="288"/>
      <c r="AH15" s="288"/>
      <c r="AI15" s="462"/>
      <c r="AJ15" s="462"/>
      <c r="AK15" s="462"/>
      <c r="AL15" s="462"/>
      <c r="AM15" s="462"/>
      <c r="AN15" s="462"/>
      <c r="AO15" s="462"/>
      <c r="AP15" s="288"/>
      <c r="AQ15" s="289"/>
      <c r="AR15" s="289"/>
      <c r="AS15" s="289"/>
      <c r="AT15" s="289"/>
      <c r="AU15" s="289"/>
      <c r="AV15" s="289"/>
      <c r="AW15" s="289"/>
      <c r="AX15" s="289"/>
      <c r="AY15" s="289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  <c r="BK15" s="374"/>
      <c r="BL15" s="374"/>
      <c r="BM15" s="374"/>
    </row>
    <row r="16" spans="1:65" s="343" customFormat="1" ht="60">
      <c r="A16" s="467">
        <f t="shared" si="10"/>
        <v>12</v>
      </c>
      <c r="B16" s="345">
        <v>20134</v>
      </c>
      <c r="C16" s="127" t="s">
        <v>863</v>
      </c>
      <c r="D16" s="112">
        <v>200000</v>
      </c>
      <c r="E16" s="112">
        <v>200000</v>
      </c>
      <c r="F16" s="112">
        <f>D16-E16</f>
        <v>0</v>
      </c>
      <c r="G16" s="112">
        <v>0</v>
      </c>
      <c r="H16" s="112">
        <v>0</v>
      </c>
      <c r="I16" s="112">
        <v>0</v>
      </c>
      <c r="J16" s="112">
        <v>0</v>
      </c>
      <c r="K16" s="452">
        <f t="shared" si="8"/>
        <v>0</v>
      </c>
      <c r="L16" s="112">
        <f>H16+K16</f>
        <v>0</v>
      </c>
      <c r="M16" s="468">
        <f t="shared" si="9"/>
        <v>0</v>
      </c>
      <c r="N16" s="326">
        <v>200000</v>
      </c>
      <c r="O16" s="112">
        <f>D16-L16-M16-N16</f>
        <v>0</v>
      </c>
      <c r="P16" s="112">
        <f>G16-L16</f>
        <v>0</v>
      </c>
      <c r="Q16" s="112"/>
      <c r="R16" s="112"/>
      <c r="S16" s="468">
        <f t="shared" si="4"/>
        <v>0</v>
      </c>
      <c r="T16" s="112">
        <f>P16-M16+S16</f>
        <v>0</v>
      </c>
      <c r="U16" s="112">
        <f>N16-T16</f>
        <v>200000</v>
      </c>
      <c r="V16" s="112"/>
      <c r="W16" s="468">
        <f t="shared" si="7"/>
        <v>200000</v>
      </c>
      <c r="X16" s="112"/>
      <c r="Y16" s="112"/>
      <c r="Z16" s="112"/>
      <c r="AA16" s="468"/>
      <c r="AB16" s="339" t="s">
        <v>864</v>
      </c>
      <c r="AC16" s="339">
        <v>760000</v>
      </c>
      <c r="AD16" s="288"/>
      <c r="AE16" s="288"/>
      <c r="AF16" s="288"/>
      <c r="AG16" s="288"/>
      <c r="AH16" s="462"/>
      <c r="AI16" s="462"/>
      <c r="AJ16" s="462"/>
      <c r="AK16" s="462"/>
      <c r="AL16" s="462"/>
      <c r="AM16" s="462"/>
      <c r="AN16" s="462"/>
      <c r="AO16" s="462"/>
      <c r="AP16" s="288"/>
      <c r="AQ16" s="362"/>
      <c r="AR16" s="362"/>
      <c r="AS16" s="362"/>
      <c r="AT16" s="362"/>
      <c r="AU16" s="362"/>
      <c r="AV16" s="362"/>
      <c r="AW16" s="362"/>
      <c r="AX16" s="362"/>
      <c r="AY16" s="362"/>
      <c r="AZ16" s="374"/>
      <c r="BA16" s="374"/>
      <c r="BB16" s="374"/>
      <c r="BC16" s="374"/>
      <c r="BD16" s="374"/>
      <c r="BE16" s="374"/>
      <c r="BF16" s="374"/>
      <c r="BG16" s="374"/>
      <c r="BH16" s="374"/>
    </row>
    <row r="17" spans="1:60" s="343" customFormat="1" ht="45">
      <c r="A17" s="467">
        <f t="shared" si="10"/>
        <v>13</v>
      </c>
      <c r="B17" s="345">
        <v>20175</v>
      </c>
      <c r="C17" s="127" t="s">
        <v>1241</v>
      </c>
      <c r="D17" s="112">
        <v>100000</v>
      </c>
      <c r="E17" s="112"/>
      <c r="F17" s="112">
        <f t="shared" ref="F17" si="11">D17-E17</f>
        <v>100000</v>
      </c>
      <c r="G17" s="112">
        <v>0</v>
      </c>
      <c r="H17" s="112"/>
      <c r="I17" s="112"/>
      <c r="J17" s="112"/>
      <c r="K17" s="112">
        <f t="shared" ref="K17" si="12">I17+J17</f>
        <v>0</v>
      </c>
      <c r="L17" s="112">
        <f t="shared" ref="L17" si="13">H17+K17</f>
        <v>0</v>
      </c>
      <c r="M17" s="112">
        <f t="shared" ref="M17" si="14">P17+S17</f>
        <v>0</v>
      </c>
      <c r="N17" s="112">
        <v>100000</v>
      </c>
      <c r="O17" s="112">
        <f t="shared" ref="O17" si="15">D17-L17-M17-N17</f>
        <v>0</v>
      </c>
      <c r="P17" s="112">
        <f t="shared" ref="P17" si="16">G17-L17</f>
        <v>0</v>
      </c>
      <c r="Q17" s="112"/>
      <c r="R17" s="112"/>
      <c r="S17" s="112">
        <f t="shared" ref="S17" si="17">SUM(Q17:R17)</f>
        <v>0</v>
      </c>
      <c r="T17" s="112">
        <f t="shared" ref="T17" si="18">P17-M17+S17</f>
        <v>0</v>
      </c>
      <c r="U17" s="112">
        <f t="shared" ref="U17" si="19">N17-T17</f>
        <v>100000</v>
      </c>
      <c r="V17" s="112"/>
      <c r="W17" s="468">
        <f t="shared" si="7"/>
        <v>100000</v>
      </c>
      <c r="X17" s="112"/>
      <c r="Y17" s="112"/>
      <c r="Z17" s="112"/>
      <c r="AA17" s="112"/>
      <c r="AB17" s="339" t="s">
        <v>1240</v>
      </c>
      <c r="AC17" s="339">
        <v>760000</v>
      </c>
      <c r="AD17" s="288"/>
      <c r="AE17" s="288"/>
      <c r="AF17" s="288"/>
      <c r="AG17" s="348"/>
      <c r="AH17" s="288"/>
      <c r="AI17" s="462"/>
      <c r="AJ17" s="462"/>
      <c r="AK17" s="462"/>
      <c r="AL17" s="462"/>
      <c r="AM17" s="462"/>
      <c r="AN17" s="462"/>
      <c r="AO17" s="462"/>
      <c r="AP17" s="348"/>
      <c r="AQ17" s="348"/>
      <c r="AR17" s="348"/>
      <c r="AS17" s="348"/>
      <c r="AT17" s="348"/>
      <c r="AU17" s="348"/>
      <c r="AV17" s="348"/>
      <c r="AW17" s="256"/>
      <c r="AX17" s="256"/>
      <c r="AY17" s="256"/>
      <c r="AZ17" s="256"/>
      <c r="BA17" s="256"/>
      <c r="BB17" s="256"/>
      <c r="BC17" s="256"/>
      <c r="BD17" s="256"/>
      <c r="BE17" s="256"/>
    </row>
    <row r="18" spans="1:60" s="354" customFormat="1" ht="30" customHeight="1">
      <c r="A18" s="236">
        <f>COUNT(A5:A17)</f>
        <v>13</v>
      </c>
      <c r="B18" s="344"/>
      <c r="C18" s="208" t="s">
        <v>75</v>
      </c>
      <c r="D18" s="236">
        <f t="shared" ref="D18:AA18" si="20">SUM(D5:D17)</f>
        <v>105870000</v>
      </c>
      <c r="E18" s="236">
        <f t="shared" si="20"/>
        <v>103520000</v>
      </c>
      <c r="F18" s="236">
        <f t="shared" si="20"/>
        <v>2350000</v>
      </c>
      <c r="G18" s="236">
        <f t="shared" si="20"/>
        <v>57958000</v>
      </c>
      <c r="H18" s="236">
        <f t="shared" si="20"/>
        <v>48220185</v>
      </c>
      <c r="I18" s="236">
        <f t="shared" si="20"/>
        <v>43536</v>
      </c>
      <c r="J18" s="236">
        <f t="shared" si="20"/>
        <v>7880605</v>
      </c>
      <c r="K18" s="236">
        <f t="shared" si="20"/>
        <v>7924141</v>
      </c>
      <c r="L18" s="236">
        <f t="shared" si="20"/>
        <v>56144326</v>
      </c>
      <c r="M18" s="236">
        <f t="shared" si="20"/>
        <v>3091674</v>
      </c>
      <c r="N18" s="236">
        <f t="shared" si="20"/>
        <v>7932000</v>
      </c>
      <c r="O18" s="236">
        <f t="shared" si="20"/>
        <v>38702000</v>
      </c>
      <c r="P18" s="236">
        <f t="shared" si="20"/>
        <v>1813674</v>
      </c>
      <c r="Q18" s="236">
        <f t="shared" si="20"/>
        <v>1365000</v>
      </c>
      <c r="R18" s="236">
        <f t="shared" si="20"/>
        <v>0</v>
      </c>
      <c r="S18" s="236">
        <f t="shared" si="20"/>
        <v>1365000</v>
      </c>
      <c r="T18" s="236">
        <f t="shared" si="20"/>
        <v>87000</v>
      </c>
      <c r="U18" s="236">
        <f t="shared" si="20"/>
        <v>7845000</v>
      </c>
      <c r="V18" s="236">
        <f t="shared" si="20"/>
        <v>849000</v>
      </c>
      <c r="W18" s="236">
        <f t="shared" si="20"/>
        <v>5996000</v>
      </c>
      <c r="X18" s="236">
        <f t="shared" si="20"/>
        <v>0</v>
      </c>
      <c r="Y18" s="236">
        <f t="shared" si="20"/>
        <v>0</v>
      </c>
      <c r="Z18" s="236">
        <f t="shared" si="20"/>
        <v>0</v>
      </c>
      <c r="AA18" s="236">
        <f t="shared" si="20"/>
        <v>1000000</v>
      </c>
      <c r="AB18" s="344"/>
      <c r="AC18" s="622"/>
      <c r="AD18" s="288"/>
      <c r="AE18" s="288"/>
      <c r="AF18" s="288"/>
      <c r="AG18" s="288"/>
      <c r="AH18" s="288"/>
      <c r="AI18" s="462"/>
      <c r="AJ18" s="462"/>
      <c r="AK18" s="462"/>
      <c r="AL18" s="462"/>
      <c r="AM18" s="462"/>
      <c r="AN18" s="462"/>
      <c r="AO18" s="462"/>
      <c r="AP18" s="288"/>
      <c r="AQ18" s="353"/>
      <c r="AR18" s="353"/>
      <c r="AS18" s="353"/>
      <c r="AT18" s="353"/>
      <c r="AU18" s="353"/>
      <c r="AV18" s="353"/>
      <c r="AW18" s="353"/>
      <c r="AX18" s="353"/>
      <c r="AY18" s="353"/>
      <c r="AZ18" s="312"/>
      <c r="BA18" s="312"/>
      <c r="BB18" s="312"/>
      <c r="BC18" s="312"/>
      <c r="BD18" s="312"/>
      <c r="BE18" s="312"/>
      <c r="BF18" s="312"/>
      <c r="BG18" s="312"/>
      <c r="BH18" s="312"/>
    </row>
    <row r="19" spans="1:60" s="386" customFormat="1" ht="21" hidden="1" customHeight="1">
      <c r="A19" s="335"/>
      <c r="C19" s="334"/>
      <c r="D19" s="363">
        <f>SUM(L18:O18)</f>
        <v>105870000</v>
      </c>
      <c r="E19" s="363"/>
      <c r="F19" s="363">
        <f>D18-E18</f>
        <v>2350000</v>
      </c>
      <c r="G19" s="363"/>
      <c r="H19" s="363"/>
      <c r="I19" s="363"/>
      <c r="J19" s="363"/>
      <c r="K19" s="363"/>
      <c r="L19" s="363">
        <f>H18+K18</f>
        <v>56144326</v>
      </c>
      <c r="M19" s="363"/>
      <c r="N19" s="363"/>
      <c r="O19" s="363"/>
      <c r="P19" s="363">
        <f>G18-L19</f>
        <v>1813674</v>
      </c>
      <c r="Q19" s="363">
        <f>'ריכוז אגפים 2024'!AV14</f>
        <v>1637000</v>
      </c>
      <c r="R19" s="363">
        <f>'עדכוני תקציב 2024'!AE143</f>
        <v>0</v>
      </c>
      <c r="S19" s="363"/>
      <c r="T19" s="363">
        <f>P19+S18-M18</f>
        <v>87000</v>
      </c>
      <c r="U19" s="363">
        <f>N18-T19</f>
        <v>7845000</v>
      </c>
      <c r="V19" s="335"/>
      <c r="W19" s="335"/>
      <c r="X19" s="335"/>
      <c r="Y19" s="335"/>
      <c r="Z19" s="335"/>
      <c r="AA19" s="335"/>
      <c r="AD19" s="633"/>
      <c r="AE19" s="633"/>
      <c r="AF19" s="633"/>
      <c r="AG19" s="633"/>
      <c r="AH19" s="633"/>
      <c r="AI19" s="634"/>
      <c r="AJ19" s="634"/>
      <c r="AK19" s="634"/>
      <c r="AL19" s="634"/>
      <c r="AM19" s="634"/>
      <c r="AN19" s="634"/>
      <c r="AO19" s="634"/>
      <c r="AP19" s="633"/>
      <c r="AQ19" s="387"/>
      <c r="AR19" s="387"/>
      <c r="AS19" s="387"/>
      <c r="AT19" s="387"/>
      <c r="AU19" s="387"/>
      <c r="AV19" s="387"/>
      <c r="AW19" s="387"/>
      <c r="AX19" s="387"/>
      <c r="AY19" s="387"/>
      <c r="AZ19" s="635"/>
      <c r="BA19" s="635"/>
      <c r="BB19" s="635"/>
      <c r="BC19" s="635"/>
      <c r="BD19" s="635"/>
      <c r="BE19" s="635"/>
      <c r="BF19" s="635"/>
      <c r="BG19" s="635"/>
      <c r="BH19" s="635"/>
    </row>
    <row r="20" spans="1:60" ht="21" customHeight="1">
      <c r="Q20" s="363">
        <f>Q18-Q19</f>
        <v>-272000</v>
      </c>
    </row>
    <row r="21" spans="1:60" ht="22.5" customHeight="1">
      <c r="P21" s="637" t="s">
        <v>1236</v>
      </c>
    </row>
    <row r="23" spans="1:60" ht="36.75" customHeight="1">
      <c r="Q23" s="636"/>
    </row>
    <row r="27" spans="1:60" ht="45" customHeight="1"/>
    <row r="29" spans="1:60" ht="58.5" customHeight="1"/>
    <row r="30" spans="1:60" ht="50.25" customHeight="1"/>
    <row r="37" ht="51.75" customHeight="1"/>
    <row r="38" ht="35.25" customHeight="1"/>
    <row r="39" ht="31.5" customHeight="1"/>
    <row r="44" ht="37.5" customHeight="1"/>
    <row r="55" ht="48.75" customHeight="1"/>
    <row r="56" ht="31.5" customHeight="1"/>
    <row r="58" ht="45.75" customHeight="1"/>
    <row r="60" ht="33.75" customHeight="1"/>
    <row r="63" ht="27.75" customHeight="1"/>
    <row r="115" spans="1:1">
      <c r="A115" s="148">
        <f>COUNT(A5:A114)</f>
        <v>14</v>
      </c>
    </row>
    <row r="118" spans="1:1">
      <c r="A118" s="148">
        <f>A115+1</f>
        <v>15</v>
      </c>
    </row>
    <row r="121" spans="1:1" ht="37.9" customHeight="1"/>
    <row r="124" spans="1:1" ht="70.900000000000006" customHeight="1"/>
    <row r="127" spans="1:1" ht="72" customHeight="1"/>
    <row r="129" ht="43.9" customHeight="1"/>
    <row r="131" ht="30" customHeight="1"/>
  </sheetData>
  <conditionalFormatting sqref="F5:F10 F15 F12:F13">
    <cfRule type="cellIs" dxfId="306" priority="190" operator="equal">
      <formula>0</formula>
    </cfRule>
  </conditionalFormatting>
  <conditionalFormatting sqref="AB10:AC10 B6:C8 Z2:AA2 V4:W4 AC1:AC9 A1:M1 AB3 X4:AB5 A3:U3 D15:G15 I15:J15 B5:W5 D6:J10 N6:AA10 N12:Z13 N15:R15 L6:L10 L15 T15:Z15 S14:S16 B4:L4 D12:J13 AG11:AO15 L12:L13 K6:K16 M6:M16 AP12:AP13 AG16 O1:AB1 A2:X2 AI1:AO18 A5:A17 W11 W16">
    <cfRule type="cellIs" dxfId="305" priority="189" operator="equal">
      <formula>0</formula>
    </cfRule>
  </conditionalFormatting>
  <conditionalFormatting sqref="AB8">
    <cfRule type="cellIs" dxfId="304" priority="186" operator="equal">
      <formula>0</formula>
    </cfRule>
  </conditionalFormatting>
  <conditionalFormatting sqref="AB6">
    <cfRule type="cellIs" dxfId="303" priority="188" operator="equal">
      <formula>0</formula>
    </cfRule>
  </conditionalFormatting>
  <conditionalFormatting sqref="AB7">
    <cfRule type="cellIs" dxfId="302" priority="187" operator="equal">
      <formula>0</formula>
    </cfRule>
  </conditionalFormatting>
  <conditionalFormatting sqref="B9:C9">
    <cfRule type="cellIs" dxfId="301" priority="185" operator="equal">
      <formula>0</formula>
    </cfRule>
  </conditionalFormatting>
  <conditionalFormatting sqref="AB9">
    <cfRule type="cellIs" dxfId="300" priority="184" operator="equal">
      <formula>0</formula>
    </cfRule>
  </conditionalFormatting>
  <conditionalFormatting sqref="B10">
    <cfRule type="cellIs" dxfId="299" priority="183" operator="equal">
      <formula>0</formula>
    </cfRule>
  </conditionalFormatting>
  <conditionalFormatting sqref="B10">
    <cfRule type="cellIs" dxfId="298" priority="182" operator="equal">
      <formula>0</formula>
    </cfRule>
  </conditionalFormatting>
  <conditionalFormatting sqref="AB2">
    <cfRule type="cellIs" dxfId="297" priority="181" operator="equal">
      <formula>0</formula>
    </cfRule>
  </conditionalFormatting>
  <conditionalFormatting sqref="C13">
    <cfRule type="cellIs" dxfId="296" priority="180" operator="equal">
      <formula>0</formula>
    </cfRule>
  </conditionalFormatting>
  <conditionalFormatting sqref="AB13">
    <cfRule type="cellIs" dxfId="295" priority="179" operator="equal">
      <formula>0</formula>
    </cfRule>
  </conditionalFormatting>
  <conditionalFormatting sqref="C10">
    <cfRule type="cellIs" dxfId="294" priority="178" operator="equal">
      <formula>0</formula>
    </cfRule>
  </conditionalFormatting>
  <conditionalFormatting sqref="C10">
    <cfRule type="cellIs" dxfId="293" priority="177" operator="equal">
      <formula>0</formula>
    </cfRule>
  </conditionalFormatting>
  <conditionalFormatting sqref="AU8">
    <cfRule type="cellIs" dxfId="292" priority="173" operator="equal">
      <formula>0</formula>
    </cfRule>
  </conditionalFormatting>
  <conditionalFormatting sqref="AU9:AU10">
    <cfRule type="cellIs" dxfId="291" priority="172" operator="equal">
      <formula>0</formula>
    </cfRule>
  </conditionalFormatting>
  <conditionalFormatting sqref="AQ9:AQ10">
    <cfRule type="cellIs" dxfId="290" priority="176" operator="equal">
      <formula>0</formula>
    </cfRule>
  </conditionalFormatting>
  <conditionalFormatting sqref="AQ5:AQ8">
    <cfRule type="cellIs" dxfId="289" priority="175" operator="equal">
      <formula>0</formula>
    </cfRule>
  </conditionalFormatting>
  <conditionalFormatting sqref="D14:G14 I14:J14 N14:R14 L14 T14:Z14">
    <cfRule type="cellIs" dxfId="288" priority="170" operator="equal">
      <formula>0</formula>
    </cfRule>
  </conditionalFormatting>
  <conditionalFormatting sqref="F14">
    <cfRule type="cellIs" dxfId="287" priority="171" operator="equal">
      <formula>0</formula>
    </cfRule>
  </conditionalFormatting>
  <conditionalFormatting sqref="H14:H15">
    <cfRule type="cellIs" dxfId="286" priority="169" operator="equal">
      <formula>0</formula>
    </cfRule>
  </conditionalFormatting>
  <conditionalFormatting sqref="V3:AA3">
    <cfRule type="cellIs" dxfId="285" priority="149" operator="equal">
      <formula>0</formula>
    </cfRule>
  </conditionalFormatting>
  <conditionalFormatting sqref="O11">
    <cfRule type="cellIs" dxfId="284" priority="159" operator="lessThan">
      <formula>0</formula>
    </cfRule>
  </conditionalFormatting>
  <conditionalFormatting sqref="AA12:AA16">
    <cfRule type="cellIs" dxfId="283" priority="156" operator="equal">
      <formula>0</formula>
    </cfRule>
  </conditionalFormatting>
  <conditionalFormatting sqref="AP14">
    <cfRule type="cellIs" dxfId="282" priority="150" operator="equal">
      <formula>0</formula>
    </cfRule>
  </conditionalFormatting>
  <conditionalFormatting sqref="AG5:AO9">
    <cfRule type="cellIs" dxfId="281" priority="152" operator="equal">
      <formula>0</formula>
    </cfRule>
  </conditionalFormatting>
  <conditionalFormatting sqref="AP1:AP2 AP15 AP4:AP10">
    <cfRule type="cellIs" dxfId="280" priority="151" operator="equal">
      <formula>0</formula>
    </cfRule>
  </conditionalFormatting>
  <conditionalFormatting sqref="AG18:AO18">
    <cfRule type="cellIs" dxfId="279" priority="110" operator="equal">
      <formula>0</formula>
    </cfRule>
  </conditionalFormatting>
  <conditionalFormatting sqref="M4:N4">
    <cfRule type="cellIs" dxfId="278" priority="131" operator="equal">
      <formula>0</formula>
    </cfRule>
  </conditionalFormatting>
  <conditionalFormatting sqref="AI20:AN1048576">
    <cfRule type="cellIs" dxfId="277" priority="7" operator="equal">
      <formula>0</formula>
    </cfRule>
  </conditionalFormatting>
  <conditionalFormatting sqref="AO20:AO1048576">
    <cfRule type="cellIs" dxfId="276" priority="6" operator="equal">
      <formula>0</formula>
    </cfRule>
  </conditionalFormatting>
  <conditionalFormatting sqref="AH16">
    <cfRule type="cellIs" dxfId="275" priority="4" operator="equal">
      <formula>0</formula>
    </cfRule>
  </conditionalFormatting>
  <conditionalFormatting sqref="AI19:AN19">
    <cfRule type="cellIs" dxfId="274" priority="3" operator="equal">
      <formula>0</formula>
    </cfRule>
  </conditionalFormatting>
  <conditionalFormatting sqref="AO19">
    <cfRule type="cellIs" dxfId="273" priority="2" operator="equal">
      <formula>0</formula>
    </cfRule>
  </conditionalFormatting>
  <conditionalFormatting sqref="W17">
    <cfRule type="cellIs" dxfId="272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6E45-394F-4F3D-A123-69D024ADEC99}">
  <dimension ref="A1:BM141"/>
  <sheetViews>
    <sheetView showZeros="0" rightToLeft="1" workbookViewId="0">
      <pane xSplit="6" ySplit="4" topLeftCell="G21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8.28515625" defaultRowHeight="14.25"/>
  <cols>
    <col min="1" max="1" width="3.5703125" style="148" customWidth="1"/>
    <col min="2" max="2" width="5.7109375" style="148" customWidth="1"/>
    <col min="3" max="3" width="17.7109375" style="148" customWidth="1"/>
    <col min="4" max="4" width="11.140625" style="148" customWidth="1"/>
    <col min="5" max="5" width="11.140625" style="148" hidden="1" customWidth="1"/>
    <col min="6" max="6" width="9.42578125" style="148" hidden="1" customWidth="1"/>
    <col min="7" max="7" width="14" style="148" hidden="1" customWidth="1"/>
    <col min="8" max="8" width="13" style="148" hidden="1" customWidth="1"/>
    <col min="9" max="9" width="9.140625" style="148" hidden="1" customWidth="1"/>
    <col min="10" max="10" width="10.5703125" style="148" hidden="1" customWidth="1"/>
    <col min="11" max="11" width="10" style="148" hidden="1" customWidth="1"/>
    <col min="12" max="12" width="10.42578125" style="148" customWidth="1"/>
    <col min="13" max="13" width="10.140625" style="148" customWidth="1"/>
    <col min="14" max="14" width="9.85546875" style="148" customWidth="1"/>
    <col min="15" max="15" width="10.28515625" style="148" customWidth="1"/>
    <col min="16" max="16" width="12.140625" style="148" hidden="1" customWidth="1"/>
    <col min="17" max="19" width="9.140625" style="148" hidden="1" customWidth="1"/>
    <col min="20" max="20" width="7.85546875" style="148" customWidth="1"/>
    <col min="21" max="21" width="10.85546875" style="148" customWidth="1"/>
    <col min="22" max="22" width="9.42578125" style="148" customWidth="1"/>
    <col min="23" max="23" width="10.140625" style="148" customWidth="1"/>
    <col min="24" max="26" width="8.28515625" style="148" hidden="1" customWidth="1"/>
    <col min="27" max="27" width="9.28515625" style="148" customWidth="1"/>
    <col min="28" max="28" width="35.85546875" style="148" customWidth="1"/>
    <col min="29" max="29" width="8.28515625" style="148" customWidth="1"/>
    <col min="30" max="31" width="14.7109375" style="288" customWidth="1"/>
    <col min="32" max="32" width="17.7109375" style="288" customWidth="1"/>
    <col min="33" max="33" width="20.5703125" style="288" customWidth="1"/>
    <col min="34" max="34" width="17.7109375" style="288" customWidth="1"/>
    <col min="35" max="35" width="22" style="462" customWidth="1"/>
    <col min="36" max="36" width="35.28515625" style="462" customWidth="1"/>
    <col min="37" max="37" width="10.42578125" style="462" customWidth="1"/>
    <col min="38" max="38" width="42.42578125" style="462" customWidth="1"/>
    <col min="39" max="39" width="14.7109375" style="462" customWidth="1"/>
    <col min="40" max="41" width="17.7109375" style="462" customWidth="1"/>
    <col min="42" max="42" width="9.7109375" style="288" customWidth="1"/>
    <col min="43" max="47" width="10.7109375" style="148" customWidth="1"/>
    <col min="48" max="50" width="10.7109375" style="148" hidden="1" customWidth="1"/>
    <col min="51" max="51" width="10.7109375" style="148" customWidth="1"/>
    <col min="52" max="16384" width="8.28515625" style="148"/>
  </cols>
  <sheetData>
    <row r="1" spans="1:65" ht="18.75">
      <c r="A1" s="457"/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O1" s="457"/>
      <c r="P1" s="457"/>
      <c r="Q1" s="457"/>
      <c r="R1" s="457"/>
      <c r="S1" s="457"/>
      <c r="T1" s="457"/>
      <c r="U1" s="457"/>
      <c r="V1" s="457"/>
      <c r="W1" s="457"/>
      <c r="X1" s="458"/>
      <c r="Y1" s="458"/>
      <c r="Z1" s="458"/>
      <c r="AA1" s="459"/>
      <c r="AB1" s="460"/>
      <c r="AC1" s="459"/>
    </row>
    <row r="2" spans="1:65" ht="18.75">
      <c r="A2" s="457" t="s">
        <v>249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61"/>
      <c r="V2" s="457"/>
      <c r="W2" s="457"/>
      <c r="X2" s="461"/>
      <c r="Z2" s="461"/>
      <c r="AA2" s="461"/>
      <c r="AB2" s="462"/>
      <c r="AC2" s="461"/>
    </row>
    <row r="3" spans="1:65" ht="15">
      <c r="A3" s="463"/>
      <c r="B3" s="461"/>
      <c r="C3" s="461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1"/>
      <c r="V3" s="462"/>
      <c r="W3" s="462"/>
      <c r="X3" s="462"/>
      <c r="Y3" s="462"/>
      <c r="Z3" s="462"/>
      <c r="AA3" s="462"/>
      <c r="AB3" s="463"/>
      <c r="AC3" s="461"/>
    </row>
    <row r="4" spans="1:65" ht="73.5" customHeight="1">
      <c r="A4" s="122" t="s">
        <v>0</v>
      </c>
      <c r="B4" s="465" t="s">
        <v>328</v>
      </c>
      <c r="C4" s="465" t="s">
        <v>2</v>
      </c>
      <c r="D4" s="465" t="s">
        <v>494</v>
      </c>
      <c r="E4" s="465" t="s">
        <v>4</v>
      </c>
      <c r="F4" s="465" t="s">
        <v>5</v>
      </c>
      <c r="G4" s="465" t="s">
        <v>6</v>
      </c>
      <c r="H4" s="465" t="s">
        <v>7</v>
      </c>
      <c r="I4" s="465" t="s">
        <v>9</v>
      </c>
      <c r="J4" s="465" t="s">
        <v>101</v>
      </c>
      <c r="K4" s="465" t="s">
        <v>10</v>
      </c>
      <c r="L4" s="465" t="s">
        <v>11</v>
      </c>
      <c r="M4" s="465" t="s">
        <v>793</v>
      </c>
      <c r="N4" s="465" t="s">
        <v>794</v>
      </c>
      <c r="O4" s="328" t="s">
        <v>795</v>
      </c>
      <c r="P4" s="328" t="s">
        <v>12</v>
      </c>
      <c r="Q4" s="328" t="s">
        <v>571</v>
      </c>
      <c r="R4" s="328" t="s">
        <v>572</v>
      </c>
      <c r="S4" s="328" t="s">
        <v>798</v>
      </c>
      <c r="T4" s="328" t="s">
        <v>799</v>
      </c>
      <c r="U4" s="328" t="s">
        <v>800</v>
      </c>
      <c r="V4" s="465" t="s">
        <v>13</v>
      </c>
      <c r="W4" s="465" t="s">
        <v>14</v>
      </c>
      <c r="X4" s="465" t="s">
        <v>15</v>
      </c>
      <c r="Y4" s="465" t="s">
        <v>185</v>
      </c>
      <c r="Z4" s="465" t="s">
        <v>385</v>
      </c>
      <c r="AA4" s="465" t="s">
        <v>67</v>
      </c>
      <c r="AB4" s="466" t="s">
        <v>207</v>
      </c>
      <c r="AC4" s="465" t="s">
        <v>16</v>
      </c>
    </row>
    <row r="5" spans="1:65" ht="20.100000000000001" customHeight="1">
      <c r="A5" s="122"/>
      <c r="B5" s="465"/>
      <c r="C5" s="683">
        <v>61</v>
      </c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328"/>
      <c r="P5" s="328"/>
      <c r="Q5" s="328"/>
      <c r="R5" s="328"/>
      <c r="S5" s="328"/>
      <c r="T5" s="328"/>
      <c r="U5" s="328"/>
      <c r="V5" s="465"/>
      <c r="W5" s="465"/>
      <c r="X5" s="465"/>
      <c r="Y5" s="465"/>
      <c r="Z5" s="465"/>
      <c r="AA5" s="465"/>
      <c r="AB5" s="466"/>
      <c r="AC5" s="465"/>
    </row>
    <row r="6" spans="1:65" ht="45">
      <c r="A6" s="467">
        <v>1</v>
      </c>
      <c r="B6" s="467">
        <v>1497</v>
      </c>
      <c r="C6" s="467" t="s">
        <v>51</v>
      </c>
      <c r="D6" s="452">
        <v>8820000</v>
      </c>
      <c r="E6" s="452">
        <v>8820000</v>
      </c>
      <c r="F6" s="452">
        <f>D6-E6</f>
        <v>0</v>
      </c>
      <c r="G6" s="452">
        <v>3473000</v>
      </c>
      <c r="H6" s="452">
        <v>3219746</v>
      </c>
      <c r="I6" s="452">
        <v>43536</v>
      </c>
      <c r="J6" s="452">
        <v>120443</v>
      </c>
      <c r="K6" s="452">
        <f>I6+J6</f>
        <v>163979</v>
      </c>
      <c r="L6" s="452">
        <f>H6+K6</f>
        <v>3383725</v>
      </c>
      <c r="M6" s="468">
        <f>P6+S6</f>
        <v>89275</v>
      </c>
      <c r="N6" s="468">
        <v>150000</v>
      </c>
      <c r="O6" s="468">
        <f>D6-L6-M6-N6</f>
        <v>5197000</v>
      </c>
      <c r="P6" s="468">
        <f>G6-L6</f>
        <v>89275</v>
      </c>
      <c r="Q6" s="468"/>
      <c r="R6" s="468"/>
      <c r="S6" s="468">
        <f>SUM(Q6:R6)</f>
        <v>0</v>
      </c>
      <c r="T6" s="468">
        <f>P6-M6+S6</f>
        <v>0</v>
      </c>
      <c r="U6" s="468">
        <f>N6-T6</f>
        <v>150000</v>
      </c>
      <c r="V6" s="468"/>
      <c r="W6" s="468">
        <f>U6-V6-X6-Z6-AA6</f>
        <v>150000</v>
      </c>
      <c r="X6" s="452"/>
      <c r="Y6" s="452"/>
      <c r="Z6" s="452"/>
      <c r="AA6" s="467"/>
      <c r="AB6" s="467" t="s">
        <v>769</v>
      </c>
      <c r="AC6" s="467">
        <v>610000</v>
      </c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</row>
    <row r="7" spans="1:65" s="289" customFormat="1" ht="30">
      <c r="A7" s="467">
        <f>1+A6</f>
        <v>2</v>
      </c>
      <c r="B7" s="345">
        <v>20076</v>
      </c>
      <c r="C7" s="339" t="s">
        <v>495</v>
      </c>
      <c r="D7" s="452">
        <v>220000</v>
      </c>
      <c r="E7" s="452">
        <v>220000</v>
      </c>
      <c r="F7" s="452">
        <f>D7-E7</f>
        <v>0</v>
      </c>
      <c r="G7" s="468">
        <v>125000</v>
      </c>
      <c r="H7" s="452">
        <v>0</v>
      </c>
      <c r="I7" s="452">
        <v>0</v>
      </c>
      <c r="J7" s="452">
        <v>104130</v>
      </c>
      <c r="K7" s="452">
        <f>I7+J7</f>
        <v>104130</v>
      </c>
      <c r="L7" s="452">
        <f>H7+K7</f>
        <v>104130</v>
      </c>
      <c r="M7" s="468">
        <f>P7+S7-20870+870</f>
        <v>870</v>
      </c>
      <c r="N7" s="468">
        <v>95000</v>
      </c>
      <c r="O7" s="468">
        <f>D7-L7-M7-N7</f>
        <v>20000</v>
      </c>
      <c r="P7" s="468">
        <f>G7-L7</f>
        <v>20870</v>
      </c>
      <c r="Q7" s="468"/>
      <c r="R7" s="468"/>
      <c r="S7" s="468">
        <f>SUM(Q7:R7)</f>
        <v>0</v>
      </c>
      <c r="T7" s="468">
        <f>P7-M7+S7</f>
        <v>20000</v>
      </c>
      <c r="U7" s="468">
        <f>N7-T7</f>
        <v>75000</v>
      </c>
      <c r="V7" s="468"/>
      <c r="W7" s="468">
        <f>U7-V7-X7-Z7-AA7</f>
        <v>75000</v>
      </c>
      <c r="X7" s="452"/>
      <c r="Y7" s="452"/>
      <c r="Z7" s="452"/>
      <c r="AA7" s="468"/>
      <c r="AB7" s="339" t="s">
        <v>1283</v>
      </c>
      <c r="AC7" s="339">
        <v>610000</v>
      </c>
      <c r="AD7" s="288"/>
      <c r="AE7" s="288"/>
      <c r="AF7" s="288"/>
      <c r="AG7" s="288"/>
      <c r="AH7" s="288"/>
      <c r="AI7" s="462"/>
      <c r="AJ7" s="462"/>
      <c r="AK7" s="462"/>
      <c r="AL7" s="462"/>
      <c r="AM7" s="462"/>
      <c r="AN7" s="462"/>
      <c r="AO7" s="462"/>
      <c r="AP7" s="288"/>
      <c r="AZ7" s="374"/>
      <c r="BA7" s="374"/>
      <c r="BB7" s="374"/>
      <c r="BC7" s="374"/>
      <c r="BD7" s="374"/>
      <c r="BE7" s="374"/>
      <c r="BF7" s="374"/>
      <c r="BG7" s="374"/>
      <c r="BH7" s="374"/>
      <c r="BI7" s="374"/>
      <c r="BJ7" s="343"/>
      <c r="BK7" s="343"/>
      <c r="BL7" s="343"/>
      <c r="BM7" s="343"/>
    </row>
    <row r="8" spans="1:65" ht="36" customHeight="1">
      <c r="A8" s="467">
        <f>1+A7</f>
        <v>3</v>
      </c>
      <c r="B8" s="345">
        <v>20078</v>
      </c>
      <c r="C8" s="339" t="s">
        <v>499</v>
      </c>
      <c r="D8" s="468">
        <f>3400000+1200000</f>
        <v>4600000</v>
      </c>
      <c r="E8" s="468">
        <v>3400000</v>
      </c>
      <c r="F8" s="468">
        <f>D8-E8</f>
        <v>1200000</v>
      </c>
      <c r="G8" s="468">
        <v>2200000</v>
      </c>
      <c r="H8" s="468">
        <v>1195251</v>
      </c>
      <c r="I8" s="468"/>
      <c r="J8" s="468">
        <v>0</v>
      </c>
      <c r="K8" s="452">
        <f>I8+J8</f>
        <v>0</v>
      </c>
      <c r="L8" s="468">
        <f>H8+K8</f>
        <v>1195251</v>
      </c>
      <c r="M8" s="468">
        <f>P8+S8</f>
        <v>1004749</v>
      </c>
      <c r="N8" s="470">
        <f>1200000+1200000</f>
        <v>2400000</v>
      </c>
      <c r="O8" s="468">
        <f>D8-L8-M8-N8</f>
        <v>0</v>
      </c>
      <c r="P8" s="468">
        <f>G8-L8</f>
        <v>1004749</v>
      </c>
      <c r="Q8" s="468"/>
      <c r="R8" s="468"/>
      <c r="S8" s="468">
        <f>SUM(Q8:R8)</f>
        <v>0</v>
      </c>
      <c r="T8" s="468"/>
      <c r="U8" s="468">
        <f>N8-T8</f>
        <v>2400000</v>
      </c>
      <c r="V8" s="468"/>
      <c r="W8" s="468">
        <f>U8-V8-X8-Z8-AA8</f>
        <v>2400000</v>
      </c>
      <c r="X8" s="452"/>
      <c r="Y8" s="452"/>
      <c r="Z8" s="452"/>
      <c r="AA8" s="468"/>
      <c r="AB8" s="339" t="s">
        <v>498</v>
      </c>
      <c r="AC8" s="339">
        <v>610000</v>
      </c>
      <c r="AQ8" s="289"/>
      <c r="AR8" s="289"/>
      <c r="AS8" s="289"/>
      <c r="AT8" s="289"/>
      <c r="AU8" s="289"/>
      <c r="AV8" s="289"/>
      <c r="AW8" s="289"/>
      <c r="AX8" s="289"/>
      <c r="AY8" s="289"/>
      <c r="AZ8" s="374"/>
      <c r="BA8" s="374"/>
      <c r="BB8" s="374"/>
      <c r="BC8" s="374"/>
      <c r="BD8" s="374"/>
      <c r="BE8" s="374"/>
      <c r="BF8" s="374"/>
      <c r="BG8" s="374"/>
      <c r="BH8" s="374"/>
      <c r="BI8" s="374"/>
      <c r="BJ8" s="374"/>
      <c r="BK8" s="374"/>
      <c r="BL8" s="374"/>
      <c r="BM8" s="374"/>
    </row>
    <row r="9" spans="1:65" s="596" customFormat="1" ht="20.100000000000001" customHeight="1">
      <c r="A9" s="684"/>
      <c r="B9" s="367"/>
      <c r="C9" s="367" t="s">
        <v>1342</v>
      </c>
      <c r="D9" s="685">
        <f>SUM(D6:D8)</f>
        <v>13640000</v>
      </c>
      <c r="E9" s="685">
        <f t="shared" ref="E9:AA9" si="0">SUM(E6:E8)</f>
        <v>12440000</v>
      </c>
      <c r="F9" s="685">
        <f t="shared" si="0"/>
        <v>1200000</v>
      </c>
      <c r="G9" s="685">
        <f t="shared" si="0"/>
        <v>5798000</v>
      </c>
      <c r="H9" s="685">
        <f t="shared" si="0"/>
        <v>4414997</v>
      </c>
      <c r="I9" s="685">
        <f t="shared" si="0"/>
        <v>43536</v>
      </c>
      <c r="J9" s="685">
        <f t="shared" si="0"/>
        <v>224573</v>
      </c>
      <c r="K9" s="685">
        <f t="shared" si="0"/>
        <v>268109</v>
      </c>
      <c r="L9" s="685">
        <f t="shared" si="0"/>
        <v>4683106</v>
      </c>
      <c r="M9" s="685">
        <f t="shared" si="0"/>
        <v>1094894</v>
      </c>
      <c r="N9" s="685">
        <f t="shared" si="0"/>
        <v>2645000</v>
      </c>
      <c r="O9" s="685">
        <f t="shared" si="0"/>
        <v>5217000</v>
      </c>
      <c r="P9" s="685">
        <f t="shared" si="0"/>
        <v>1114894</v>
      </c>
      <c r="Q9" s="685">
        <f t="shared" si="0"/>
        <v>0</v>
      </c>
      <c r="R9" s="685">
        <f t="shared" si="0"/>
        <v>0</v>
      </c>
      <c r="S9" s="685">
        <f t="shared" si="0"/>
        <v>0</v>
      </c>
      <c r="T9" s="685">
        <f t="shared" si="0"/>
        <v>20000</v>
      </c>
      <c r="U9" s="685">
        <f t="shared" si="0"/>
        <v>2625000</v>
      </c>
      <c r="V9" s="685">
        <f t="shared" si="0"/>
        <v>0</v>
      </c>
      <c r="W9" s="685">
        <f t="shared" si="0"/>
        <v>2625000</v>
      </c>
      <c r="X9" s="685">
        <f t="shared" si="0"/>
        <v>0</v>
      </c>
      <c r="Y9" s="685">
        <f t="shared" si="0"/>
        <v>0</v>
      </c>
      <c r="Z9" s="685">
        <f t="shared" si="0"/>
        <v>0</v>
      </c>
      <c r="AA9" s="685">
        <f t="shared" si="0"/>
        <v>0</v>
      </c>
      <c r="AB9" s="367"/>
      <c r="AC9" s="367"/>
      <c r="AD9" s="687"/>
      <c r="AE9" s="687"/>
      <c r="AF9" s="687"/>
      <c r="AG9" s="687"/>
      <c r="AH9" s="687"/>
      <c r="AI9" s="688"/>
      <c r="AJ9" s="688"/>
      <c r="AK9" s="688"/>
      <c r="AL9" s="688"/>
      <c r="AM9" s="688"/>
      <c r="AN9" s="688"/>
      <c r="AO9" s="688"/>
      <c r="AP9" s="687"/>
      <c r="AQ9" s="689"/>
      <c r="AR9" s="689"/>
      <c r="AS9" s="689"/>
      <c r="AT9" s="689"/>
      <c r="AU9" s="689"/>
      <c r="AV9" s="689"/>
      <c r="AW9" s="689"/>
      <c r="AX9" s="689"/>
      <c r="AY9" s="689"/>
      <c r="AZ9" s="429"/>
      <c r="BA9" s="429"/>
      <c r="BB9" s="429"/>
      <c r="BC9" s="429"/>
      <c r="BD9" s="429"/>
      <c r="BE9" s="429"/>
      <c r="BF9" s="429"/>
      <c r="BG9" s="429"/>
      <c r="BH9" s="429"/>
      <c r="BI9" s="429"/>
      <c r="BJ9" s="429"/>
      <c r="BK9" s="429"/>
      <c r="BL9" s="429"/>
      <c r="BM9" s="429"/>
    </row>
    <row r="10" spans="1:65" s="596" customFormat="1" ht="20.100000000000001" customHeight="1">
      <c r="A10" s="684"/>
      <c r="B10" s="367"/>
      <c r="C10" s="367">
        <v>72</v>
      </c>
      <c r="D10" s="685"/>
      <c r="E10" s="685"/>
      <c r="F10" s="685"/>
      <c r="G10" s="685"/>
      <c r="H10" s="685"/>
      <c r="I10" s="685"/>
      <c r="J10" s="685"/>
      <c r="K10" s="683"/>
      <c r="L10" s="685"/>
      <c r="M10" s="685"/>
      <c r="N10" s="686"/>
      <c r="O10" s="685"/>
      <c r="P10" s="685"/>
      <c r="Q10" s="685"/>
      <c r="R10" s="685"/>
      <c r="S10" s="685"/>
      <c r="T10" s="685"/>
      <c r="U10" s="685"/>
      <c r="V10" s="685"/>
      <c r="W10" s="685"/>
      <c r="X10" s="683"/>
      <c r="Y10" s="683"/>
      <c r="Z10" s="683"/>
      <c r="AA10" s="685"/>
      <c r="AB10" s="367"/>
      <c r="AC10" s="367"/>
      <c r="AD10" s="687"/>
      <c r="AE10" s="687"/>
      <c r="AF10" s="687"/>
      <c r="AG10" s="687"/>
      <c r="AH10" s="687"/>
      <c r="AI10" s="688"/>
      <c r="AJ10" s="688"/>
      <c r="AK10" s="688"/>
      <c r="AL10" s="688"/>
      <c r="AM10" s="688"/>
      <c r="AN10" s="688"/>
      <c r="AO10" s="688"/>
      <c r="AP10" s="687"/>
      <c r="AQ10" s="689"/>
      <c r="AR10" s="689"/>
      <c r="AS10" s="689"/>
      <c r="AT10" s="689"/>
      <c r="AU10" s="689"/>
      <c r="AV10" s="689"/>
      <c r="AW10" s="689"/>
      <c r="AX10" s="689"/>
      <c r="AY10" s="689"/>
      <c r="AZ10" s="429"/>
      <c r="BA10" s="429"/>
      <c r="BB10" s="429"/>
      <c r="BC10" s="429"/>
      <c r="BD10" s="429"/>
      <c r="BE10" s="429"/>
      <c r="BF10" s="429"/>
      <c r="BG10" s="429"/>
      <c r="BH10" s="429"/>
      <c r="BI10" s="429"/>
      <c r="BJ10" s="429"/>
      <c r="BK10" s="429"/>
      <c r="BL10" s="429"/>
      <c r="BM10" s="429"/>
    </row>
    <row r="11" spans="1:65" s="289" customFormat="1" ht="60">
      <c r="A11" s="467">
        <f>1+A8</f>
        <v>4</v>
      </c>
      <c r="B11" s="467">
        <v>1982</v>
      </c>
      <c r="C11" s="467" t="s">
        <v>471</v>
      </c>
      <c r="D11" s="452">
        <v>31550000</v>
      </c>
      <c r="E11" s="452">
        <v>31550000</v>
      </c>
      <c r="F11" s="452">
        <f>D11-E11</f>
        <v>0</v>
      </c>
      <c r="G11" s="452">
        <v>19550000</v>
      </c>
      <c r="H11" s="452">
        <v>17412163</v>
      </c>
      <c r="I11" s="452">
        <v>0</v>
      </c>
      <c r="J11" s="452">
        <v>1983440</v>
      </c>
      <c r="K11" s="452">
        <f>I11+J11</f>
        <v>1983440</v>
      </c>
      <c r="L11" s="452">
        <f>H11+K11</f>
        <v>19395603</v>
      </c>
      <c r="M11" s="468">
        <f>P11+S11</f>
        <v>154397</v>
      </c>
      <c r="N11" s="468">
        <f>2400000-1000000</f>
        <v>1400000</v>
      </c>
      <c r="O11" s="468">
        <f>D11-L11-M11-N11</f>
        <v>10600000</v>
      </c>
      <c r="P11" s="468">
        <f>G11-L11</f>
        <v>154397</v>
      </c>
      <c r="Q11" s="468"/>
      <c r="R11" s="468"/>
      <c r="S11" s="468">
        <f>SUM(Q11:R11)</f>
        <v>0</v>
      </c>
      <c r="T11" s="468">
        <f>P11-M11+S11</f>
        <v>0</v>
      </c>
      <c r="U11" s="468">
        <f>N11-T11</f>
        <v>1400000</v>
      </c>
      <c r="V11" s="468"/>
      <c r="W11" s="468">
        <f>U11-V11-X11-Z11-AA11</f>
        <v>1400000</v>
      </c>
      <c r="X11" s="452"/>
      <c r="Y11" s="452"/>
      <c r="Z11" s="452"/>
      <c r="AA11" s="467"/>
      <c r="AB11" s="467" t="s">
        <v>860</v>
      </c>
      <c r="AC11" s="467">
        <v>722000</v>
      </c>
      <c r="AD11" s="288"/>
      <c r="AE11" s="288"/>
      <c r="AF11" s="288"/>
      <c r="AG11" s="288"/>
      <c r="AH11" s="288"/>
      <c r="AI11" s="462"/>
      <c r="AJ11" s="462"/>
      <c r="AK11" s="462"/>
      <c r="AL11" s="462"/>
      <c r="AM11" s="462"/>
      <c r="AN11" s="462"/>
      <c r="AO11" s="462"/>
      <c r="AP11" s="288"/>
    </row>
    <row r="12" spans="1:65" s="689" customFormat="1" ht="15">
      <c r="A12" s="684"/>
      <c r="B12" s="684"/>
      <c r="C12" s="684" t="s">
        <v>1343</v>
      </c>
      <c r="D12" s="683">
        <f>SUM(D11)</f>
        <v>31550000</v>
      </c>
      <c r="E12" s="683">
        <f t="shared" ref="E12:AA12" si="1">SUM(E11)</f>
        <v>31550000</v>
      </c>
      <c r="F12" s="683">
        <f t="shared" si="1"/>
        <v>0</v>
      </c>
      <c r="G12" s="683">
        <f t="shared" si="1"/>
        <v>19550000</v>
      </c>
      <c r="H12" s="683">
        <f t="shared" si="1"/>
        <v>17412163</v>
      </c>
      <c r="I12" s="683">
        <f t="shared" si="1"/>
        <v>0</v>
      </c>
      <c r="J12" s="683">
        <f t="shared" si="1"/>
        <v>1983440</v>
      </c>
      <c r="K12" s="683">
        <f t="shared" si="1"/>
        <v>1983440</v>
      </c>
      <c r="L12" s="683">
        <f t="shared" si="1"/>
        <v>19395603</v>
      </c>
      <c r="M12" s="683">
        <f t="shared" si="1"/>
        <v>154397</v>
      </c>
      <c r="N12" s="683">
        <f t="shared" si="1"/>
        <v>1400000</v>
      </c>
      <c r="O12" s="683">
        <f t="shared" si="1"/>
        <v>10600000</v>
      </c>
      <c r="P12" s="683">
        <f t="shared" si="1"/>
        <v>154397</v>
      </c>
      <c r="Q12" s="683">
        <f t="shared" si="1"/>
        <v>0</v>
      </c>
      <c r="R12" s="683">
        <f t="shared" si="1"/>
        <v>0</v>
      </c>
      <c r="S12" s="683">
        <f t="shared" si="1"/>
        <v>0</v>
      </c>
      <c r="T12" s="683">
        <f t="shared" si="1"/>
        <v>0</v>
      </c>
      <c r="U12" s="683">
        <f t="shared" si="1"/>
        <v>1400000</v>
      </c>
      <c r="V12" s="683">
        <f t="shared" si="1"/>
        <v>0</v>
      </c>
      <c r="W12" s="683">
        <f t="shared" si="1"/>
        <v>1400000</v>
      </c>
      <c r="X12" s="683">
        <f t="shared" si="1"/>
        <v>0</v>
      </c>
      <c r="Y12" s="683">
        <f t="shared" si="1"/>
        <v>0</v>
      </c>
      <c r="Z12" s="683">
        <f t="shared" si="1"/>
        <v>0</v>
      </c>
      <c r="AA12" s="683">
        <f t="shared" si="1"/>
        <v>0</v>
      </c>
      <c r="AB12" s="684"/>
      <c r="AC12" s="684"/>
      <c r="AD12" s="687"/>
      <c r="AE12" s="687"/>
      <c r="AF12" s="687"/>
      <c r="AG12" s="687"/>
      <c r="AH12" s="687"/>
      <c r="AI12" s="688"/>
      <c r="AJ12" s="688"/>
      <c r="AK12" s="688"/>
      <c r="AL12" s="688"/>
      <c r="AM12" s="688"/>
      <c r="AN12" s="688"/>
      <c r="AO12" s="688"/>
      <c r="AP12" s="687"/>
    </row>
    <row r="13" spans="1:65" s="689" customFormat="1" ht="15">
      <c r="A13" s="684"/>
      <c r="B13" s="684"/>
      <c r="C13" s="684">
        <v>73</v>
      </c>
      <c r="D13" s="683"/>
      <c r="E13" s="683"/>
      <c r="F13" s="683"/>
      <c r="G13" s="683"/>
      <c r="H13" s="683"/>
      <c r="I13" s="683"/>
      <c r="J13" s="683"/>
      <c r="K13" s="683"/>
      <c r="L13" s="683"/>
      <c r="M13" s="685"/>
      <c r="N13" s="685"/>
      <c r="O13" s="685"/>
      <c r="P13" s="685"/>
      <c r="Q13" s="685"/>
      <c r="R13" s="685"/>
      <c r="S13" s="685"/>
      <c r="T13" s="685"/>
      <c r="U13" s="685"/>
      <c r="V13" s="685"/>
      <c r="W13" s="685"/>
      <c r="X13" s="683"/>
      <c r="Y13" s="683"/>
      <c r="Z13" s="683"/>
      <c r="AA13" s="684"/>
      <c r="AB13" s="684"/>
      <c r="AC13" s="684"/>
      <c r="AD13" s="687"/>
      <c r="AE13" s="687"/>
      <c r="AF13" s="687"/>
      <c r="AG13" s="687"/>
      <c r="AH13" s="687"/>
      <c r="AI13" s="688"/>
      <c r="AJ13" s="688"/>
      <c r="AK13" s="688"/>
      <c r="AL13" s="688"/>
      <c r="AM13" s="688"/>
      <c r="AN13" s="688"/>
      <c r="AO13" s="688"/>
      <c r="AP13" s="687"/>
    </row>
    <row r="14" spans="1:65" s="289" customFormat="1" ht="30">
      <c r="A14" s="467">
        <f>1+A11</f>
        <v>5</v>
      </c>
      <c r="B14" s="345">
        <v>2144</v>
      </c>
      <c r="C14" s="339" t="s">
        <v>325</v>
      </c>
      <c r="D14" s="340">
        <v>200000</v>
      </c>
      <c r="E14" s="340">
        <v>200000</v>
      </c>
      <c r="F14" s="340">
        <f>D14-E14</f>
        <v>0</v>
      </c>
      <c r="G14" s="340">
        <v>0</v>
      </c>
      <c r="H14" s="340">
        <v>0</v>
      </c>
      <c r="I14" s="340">
        <v>0</v>
      </c>
      <c r="J14" s="340">
        <v>0</v>
      </c>
      <c r="K14" s="452">
        <f>I14+J14</f>
        <v>0</v>
      </c>
      <c r="L14" s="340">
        <f>H14+K14</f>
        <v>0</v>
      </c>
      <c r="M14" s="468">
        <f>P14+S14</f>
        <v>0</v>
      </c>
      <c r="N14" s="340">
        <v>55000</v>
      </c>
      <c r="O14" s="340">
        <f>D14-L14-M14-N14</f>
        <v>145000</v>
      </c>
      <c r="P14" s="340">
        <f>G14-L14</f>
        <v>0</v>
      </c>
      <c r="Q14" s="342"/>
      <c r="R14" s="340"/>
      <c r="S14" s="340">
        <f>SUM(Q14:R14)</f>
        <v>0</v>
      </c>
      <c r="T14" s="341">
        <f>P14-M14+S14</f>
        <v>0</v>
      </c>
      <c r="U14" s="340">
        <f>N14-T14</f>
        <v>55000</v>
      </c>
      <c r="V14" s="340"/>
      <c r="W14" s="468">
        <f>U14-V14-X14-Z14-AA14</f>
        <v>55000</v>
      </c>
      <c r="X14" s="340"/>
      <c r="Y14" s="340"/>
      <c r="Z14" s="340"/>
      <c r="AA14" s="339"/>
      <c r="AB14" s="339" t="s">
        <v>332</v>
      </c>
      <c r="AC14" s="339">
        <v>732000</v>
      </c>
      <c r="AD14" s="288"/>
      <c r="AE14" s="288"/>
      <c r="AF14" s="288"/>
      <c r="AG14" s="288"/>
      <c r="AH14" s="288"/>
      <c r="AI14" s="462"/>
      <c r="AJ14" s="462"/>
      <c r="AK14" s="462"/>
      <c r="AL14" s="462"/>
      <c r="AM14" s="462"/>
      <c r="AN14" s="462"/>
      <c r="AO14" s="462"/>
      <c r="AP14" s="288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</row>
    <row r="15" spans="1:65" s="689" customFormat="1" ht="15">
      <c r="A15" s="684"/>
      <c r="B15" s="367"/>
      <c r="C15" s="367" t="s">
        <v>1330</v>
      </c>
      <c r="D15" s="332">
        <f>SUM(D14)</f>
        <v>200000</v>
      </c>
      <c r="E15" s="332">
        <f t="shared" ref="E15:AA15" si="2">SUM(E14)</f>
        <v>200000</v>
      </c>
      <c r="F15" s="332">
        <f t="shared" si="2"/>
        <v>0</v>
      </c>
      <c r="G15" s="332">
        <f t="shared" si="2"/>
        <v>0</v>
      </c>
      <c r="H15" s="332">
        <f t="shared" si="2"/>
        <v>0</v>
      </c>
      <c r="I15" s="332">
        <f t="shared" si="2"/>
        <v>0</v>
      </c>
      <c r="J15" s="332">
        <f t="shared" si="2"/>
        <v>0</v>
      </c>
      <c r="K15" s="332">
        <f t="shared" si="2"/>
        <v>0</v>
      </c>
      <c r="L15" s="332">
        <f t="shared" si="2"/>
        <v>0</v>
      </c>
      <c r="M15" s="332">
        <f t="shared" si="2"/>
        <v>0</v>
      </c>
      <c r="N15" s="332">
        <f t="shared" si="2"/>
        <v>55000</v>
      </c>
      <c r="O15" s="332">
        <f t="shared" si="2"/>
        <v>145000</v>
      </c>
      <c r="P15" s="332">
        <f t="shared" si="2"/>
        <v>0</v>
      </c>
      <c r="Q15" s="332">
        <f t="shared" si="2"/>
        <v>0</v>
      </c>
      <c r="R15" s="332">
        <f t="shared" si="2"/>
        <v>0</v>
      </c>
      <c r="S15" s="332">
        <f t="shared" si="2"/>
        <v>0</v>
      </c>
      <c r="T15" s="332">
        <f t="shared" si="2"/>
        <v>0</v>
      </c>
      <c r="U15" s="332">
        <f t="shared" si="2"/>
        <v>55000</v>
      </c>
      <c r="V15" s="332">
        <f t="shared" si="2"/>
        <v>0</v>
      </c>
      <c r="W15" s="332">
        <f t="shared" si="2"/>
        <v>55000</v>
      </c>
      <c r="X15" s="332">
        <f t="shared" si="2"/>
        <v>0</v>
      </c>
      <c r="Y15" s="332">
        <f t="shared" si="2"/>
        <v>0</v>
      </c>
      <c r="Z15" s="332">
        <f t="shared" si="2"/>
        <v>0</v>
      </c>
      <c r="AA15" s="332">
        <f t="shared" si="2"/>
        <v>0</v>
      </c>
      <c r="AB15" s="367"/>
      <c r="AC15" s="367"/>
      <c r="AD15" s="687"/>
      <c r="AE15" s="687"/>
      <c r="AF15" s="687"/>
      <c r="AG15" s="687"/>
      <c r="AH15" s="687"/>
      <c r="AI15" s="688"/>
      <c r="AJ15" s="688"/>
      <c r="AK15" s="688"/>
      <c r="AL15" s="688"/>
      <c r="AM15" s="688"/>
      <c r="AN15" s="688"/>
      <c r="AO15" s="688"/>
      <c r="AP15" s="687"/>
      <c r="AQ15" s="329"/>
      <c r="AR15" s="329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</row>
    <row r="16" spans="1:65" s="689" customFormat="1" ht="15">
      <c r="A16" s="684"/>
      <c r="B16" s="367"/>
      <c r="C16" s="367">
        <v>76</v>
      </c>
      <c r="D16" s="332"/>
      <c r="E16" s="332"/>
      <c r="F16" s="332"/>
      <c r="G16" s="332"/>
      <c r="H16" s="332"/>
      <c r="I16" s="332"/>
      <c r="J16" s="332"/>
      <c r="K16" s="683"/>
      <c r="L16" s="332"/>
      <c r="M16" s="685"/>
      <c r="N16" s="332"/>
      <c r="O16" s="332"/>
      <c r="P16" s="332"/>
      <c r="Q16" s="430"/>
      <c r="R16" s="332"/>
      <c r="S16" s="332"/>
      <c r="T16" s="332"/>
      <c r="U16" s="332"/>
      <c r="V16" s="332"/>
      <c r="W16" s="685"/>
      <c r="X16" s="332"/>
      <c r="Y16" s="332"/>
      <c r="Z16" s="332"/>
      <c r="AA16" s="367"/>
      <c r="AB16" s="367"/>
      <c r="AC16" s="367"/>
      <c r="AD16" s="687"/>
      <c r="AE16" s="687"/>
      <c r="AF16" s="687"/>
      <c r="AG16" s="687"/>
      <c r="AH16" s="687"/>
      <c r="AI16" s="688"/>
      <c r="AJ16" s="688"/>
      <c r="AK16" s="688"/>
      <c r="AL16" s="688"/>
      <c r="AM16" s="688"/>
      <c r="AN16" s="688"/>
      <c r="AO16" s="688"/>
      <c r="AP16" s="687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46"/>
      <c r="BE16" s="346"/>
      <c r="BF16" s="346"/>
      <c r="BG16" s="346"/>
      <c r="BH16" s="346"/>
      <c r="BI16" s="346"/>
      <c r="BJ16" s="346"/>
      <c r="BK16" s="346"/>
      <c r="BL16" s="346"/>
      <c r="BM16" s="346"/>
    </row>
    <row r="17" spans="1:65" s="289" customFormat="1" ht="45">
      <c r="A17" s="467">
        <v>1</v>
      </c>
      <c r="B17" s="467">
        <v>1002</v>
      </c>
      <c r="C17" s="467" t="s">
        <v>94</v>
      </c>
      <c r="D17" s="452">
        <v>3290000</v>
      </c>
      <c r="E17" s="452">
        <v>3290000</v>
      </c>
      <c r="F17" s="452">
        <f t="shared" ref="F17:F22" si="3">D17-E17</f>
        <v>0</v>
      </c>
      <c r="G17" s="452">
        <v>2310000</v>
      </c>
      <c r="H17" s="452">
        <v>2237464</v>
      </c>
      <c r="I17" s="452">
        <v>0</v>
      </c>
      <c r="J17" s="452">
        <v>4633</v>
      </c>
      <c r="K17" s="452">
        <f t="shared" ref="K17:K22" si="4">I17+J17</f>
        <v>4633</v>
      </c>
      <c r="L17" s="452">
        <f t="shared" ref="L17:L22" si="5">H17+K17</f>
        <v>2242097</v>
      </c>
      <c r="M17" s="468">
        <f>P17+S17-67000</f>
        <v>903</v>
      </c>
      <c r="N17" s="468">
        <f>450000+67000-450000</f>
        <v>67000</v>
      </c>
      <c r="O17" s="468">
        <f t="shared" ref="O17:O22" si="6">D17-L17-M17-N17</f>
        <v>980000</v>
      </c>
      <c r="P17" s="468">
        <f t="shared" ref="P17:P22" si="7">G17-L17</f>
        <v>67903</v>
      </c>
      <c r="Q17" s="468"/>
      <c r="R17" s="468"/>
      <c r="S17" s="468">
        <f t="shared" ref="S17:S22" si="8">SUM(Q17:R17)</f>
        <v>0</v>
      </c>
      <c r="T17" s="468">
        <f>P17-M17+S17</f>
        <v>67000</v>
      </c>
      <c r="U17" s="468">
        <f t="shared" ref="U17:U22" si="9">N17-T17</f>
        <v>0</v>
      </c>
      <c r="V17" s="468"/>
      <c r="W17" s="468">
        <f>U17-V17-X17-Z17-AA17</f>
        <v>0</v>
      </c>
      <c r="X17" s="452"/>
      <c r="Y17" s="452"/>
      <c r="Z17" s="452"/>
      <c r="AA17" s="467"/>
      <c r="AB17" s="467" t="s">
        <v>633</v>
      </c>
      <c r="AC17" s="467">
        <v>760000</v>
      </c>
      <c r="AD17" s="288"/>
      <c r="AE17" s="288"/>
      <c r="AF17" s="288"/>
      <c r="AG17" s="288"/>
      <c r="AH17" s="288"/>
      <c r="AI17" s="462"/>
      <c r="AJ17" s="462"/>
      <c r="AK17" s="462"/>
      <c r="AL17" s="462"/>
      <c r="AM17" s="462"/>
      <c r="AN17" s="462"/>
      <c r="AO17" s="462"/>
      <c r="AP17" s="28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</row>
    <row r="18" spans="1:65" s="343" customFormat="1" ht="36.75" customHeight="1">
      <c r="A18" s="467">
        <f>1+A17</f>
        <v>2</v>
      </c>
      <c r="B18" s="467">
        <v>1871</v>
      </c>
      <c r="C18" s="467" t="s">
        <v>270</v>
      </c>
      <c r="D18" s="452">
        <v>46840000</v>
      </c>
      <c r="E18" s="452">
        <v>46840000</v>
      </c>
      <c r="F18" s="452">
        <f t="shared" si="3"/>
        <v>0</v>
      </c>
      <c r="G18" s="452">
        <v>23340000</v>
      </c>
      <c r="H18" s="452">
        <v>18015535</v>
      </c>
      <c r="I18" s="452">
        <v>0</v>
      </c>
      <c r="J18" s="452">
        <v>5300558</v>
      </c>
      <c r="K18" s="452">
        <f t="shared" si="4"/>
        <v>5300558</v>
      </c>
      <c r="L18" s="452">
        <f t="shared" si="5"/>
        <v>23316093</v>
      </c>
      <c r="M18" s="468">
        <f>P18+S18</f>
        <v>23907</v>
      </c>
      <c r="N18" s="468">
        <f>4700000-200000-2550000</f>
        <v>1950000</v>
      </c>
      <c r="O18" s="468">
        <f t="shared" si="6"/>
        <v>21550000</v>
      </c>
      <c r="P18" s="468">
        <f t="shared" si="7"/>
        <v>23907</v>
      </c>
      <c r="Q18" s="468"/>
      <c r="R18" s="468"/>
      <c r="S18" s="468">
        <f t="shared" si="8"/>
        <v>0</v>
      </c>
      <c r="T18" s="468">
        <f>P18-M18+S18</f>
        <v>0</v>
      </c>
      <c r="U18" s="468">
        <f t="shared" si="9"/>
        <v>1950000</v>
      </c>
      <c r="V18" s="468">
        <f>U18-W18-X18-Y18-Z18-AA18</f>
        <v>849000</v>
      </c>
      <c r="W18" s="468">
        <v>1101000</v>
      </c>
      <c r="X18" s="452"/>
      <c r="Y18" s="452"/>
      <c r="Z18" s="452"/>
      <c r="AA18" s="467"/>
      <c r="AB18" s="467" t="s">
        <v>236</v>
      </c>
      <c r="AC18" s="467">
        <v>760000</v>
      </c>
      <c r="AD18" s="288"/>
      <c r="AE18" s="288"/>
      <c r="AF18" s="288"/>
      <c r="AG18" s="288"/>
      <c r="AH18" s="288"/>
      <c r="AI18" s="462"/>
      <c r="AJ18" s="462"/>
      <c r="AK18" s="462"/>
      <c r="AL18" s="462"/>
      <c r="AM18" s="462"/>
      <c r="AN18" s="462"/>
      <c r="AO18" s="462"/>
      <c r="AP18" s="288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</row>
    <row r="19" spans="1:65" s="343" customFormat="1" ht="31.5" customHeight="1">
      <c r="A19" s="467">
        <f>1+A18</f>
        <v>3</v>
      </c>
      <c r="B19" s="467">
        <v>2082</v>
      </c>
      <c r="C19" s="467" t="s">
        <v>577</v>
      </c>
      <c r="D19" s="452">
        <f>1600000+60000-60000</f>
        <v>1600000</v>
      </c>
      <c r="E19" s="452">
        <v>1600000</v>
      </c>
      <c r="F19" s="452">
        <f t="shared" si="3"/>
        <v>0</v>
      </c>
      <c r="G19" s="452">
        <v>1160000</v>
      </c>
      <c r="H19" s="452">
        <v>808264</v>
      </c>
      <c r="I19" s="452">
        <v>0</v>
      </c>
      <c r="J19" s="452">
        <v>51597</v>
      </c>
      <c r="K19" s="452">
        <f t="shared" si="4"/>
        <v>51597</v>
      </c>
      <c r="L19" s="452">
        <f t="shared" si="5"/>
        <v>859861</v>
      </c>
      <c r="M19" s="468">
        <f>P19+S19</f>
        <v>300139</v>
      </c>
      <c r="N19" s="468">
        <f>520000-20000-215000</f>
        <v>285000</v>
      </c>
      <c r="O19" s="468">
        <f t="shared" si="6"/>
        <v>155000</v>
      </c>
      <c r="P19" s="468">
        <f t="shared" si="7"/>
        <v>300139</v>
      </c>
      <c r="Q19" s="468"/>
      <c r="R19" s="468"/>
      <c r="S19" s="468">
        <f t="shared" si="8"/>
        <v>0</v>
      </c>
      <c r="T19" s="468">
        <f>P19-M19+S19</f>
        <v>0</v>
      </c>
      <c r="U19" s="468">
        <f t="shared" si="9"/>
        <v>285000</v>
      </c>
      <c r="V19" s="468"/>
      <c r="W19" s="468">
        <f>U19-V19-X19-Z19-AA19</f>
        <v>285000</v>
      </c>
      <c r="X19" s="452"/>
      <c r="Y19" s="452"/>
      <c r="Z19" s="452"/>
      <c r="AA19" s="467"/>
      <c r="AB19" s="467" t="s">
        <v>1282</v>
      </c>
      <c r="AC19" s="467">
        <v>760000</v>
      </c>
      <c r="AD19" s="288"/>
      <c r="AE19" s="288"/>
      <c r="AF19" s="288"/>
      <c r="AG19" s="288"/>
      <c r="AH19" s="288"/>
      <c r="AI19" s="462"/>
      <c r="AJ19" s="462"/>
      <c r="AK19" s="462"/>
      <c r="AL19" s="462"/>
      <c r="AM19" s="462"/>
      <c r="AN19" s="462"/>
      <c r="AO19" s="462"/>
      <c r="AP19" s="288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</row>
    <row r="20" spans="1:65" s="343" customFormat="1" ht="51" customHeight="1">
      <c r="A20" s="467">
        <f>1+A19</f>
        <v>4</v>
      </c>
      <c r="B20" s="345">
        <v>20085</v>
      </c>
      <c r="C20" s="339" t="s">
        <v>861</v>
      </c>
      <c r="D20" s="468">
        <f>700000+500000-500000</f>
        <v>700000</v>
      </c>
      <c r="E20" s="468">
        <v>700000</v>
      </c>
      <c r="F20" s="468">
        <f t="shared" si="3"/>
        <v>0</v>
      </c>
      <c r="G20" s="468">
        <v>200000</v>
      </c>
      <c r="H20" s="468">
        <v>199534</v>
      </c>
      <c r="I20" s="468">
        <v>0</v>
      </c>
      <c r="J20" s="468">
        <v>0</v>
      </c>
      <c r="K20" s="452">
        <f t="shared" si="4"/>
        <v>0</v>
      </c>
      <c r="L20" s="468">
        <f t="shared" si="5"/>
        <v>199534</v>
      </c>
      <c r="M20" s="468">
        <f>P20+S20</f>
        <v>365466</v>
      </c>
      <c r="N20" s="468">
        <f>626000-546000</f>
        <v>80000</v>
      </c>
      <c r="O20" s="468">
        <f t="shared" si="6"/>
        <v>55000</v>
      </c>
      <c r="P20" s="468">
        <f t="shared" si="7"/>
        <v>466</v>
      </c>
      <c r="Q20" s="468">
        <v>365000</v>
      </c>
      <c r="R20" s="468"/>
      <c r="S20" s="468">
        <f t="shared" si="8"/>
        <v>365000</v>
      </c>
      <c r="T20" s="468"/>
      <c r="U20" s="468">
        <f t="shared" si="9"/>
        <v>80000</v>
      </c>
      <c r="V20" s="468"/>
      <c r="W20" s="468">
        <f>U20-V20-X20-Z20-AA20</f>
        <v>80000</v>
      </c>
      <c r="X20" s="452"/>
      <c r="Y20" s="452"/>
      <c r="Z20" s="452"/>
      <c r="AA20" s="468"/>
      <c r="AB20" s="339" t="s">
        <v>862</v>
      </c>
      <c r="AC20" s="339">
        <v>760000</v>
      </c>
      <c r="AD20" s="288"/>
      <c r="AE20" s="288"/>
      <c r="AF20" s="288"/>
      <c r="AG20" s="288"/>
      <c r="AH20" s="288"/>
      <c r="AI20" s="462"/>
      <c r="AJ20" s="462"/>
      <c r="AK20" s="462"/>
      <c r="AL20" s="462"/>
      <c r="AM20" s="462"/>
      <c r="AN20" s="462"/>
      <c r="AO20" s="462"/>
      <c r="AP20" s="288"/>
      <c r="AQ20" s="289"/>
      <c r="AR20" s="289"/>
      <c r="AS20" s="289"/>
      <c r="AT20" s="289"/>
      <c r="AU20" s="289"/>
      <c r="AV20" s="289"/>
      <c r="AW20" s="289"/>
      <c r="AX20" s="289"/>
      <c r="AY20" s="289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  <c r="BK20" s="374"/>
      <c r="BL20" s="374"/>
      <c r="BM20" s="374"/>
    </row>
    <row r="21" spans="1:65" s="343" customFormat="1" ht="45" customHeight="1">
      <c r="A21" s="467">
        <f>1+A20</f>
        <v>5</v>
      </c>
      <c r="B21" s="345">
        <v>20134</v>
      </c>
      <c r="C21" s="127" t="s">
        <v>863</v>
      </c>
      <c r="D21" s="112">
        <v>200000</v>
      </c>
      <c r="E21" s="112">
        <v>200000</v>
      </c>
      <c r="F21" s="112">
        <f t="shared" si="3"/>
        <v>0</v>
      </c>
      <c r="G21" s="112">
        <v>0</v>
      </c>
      <c r="H21" s="112">
        <v>0</v>
      </c>
      <c r="I21" s="112">
        <v>0</v>
      </c>
      <c r="J21" s="112">
        <v>0</v>
      </c>
      <c r="K21" s="452">
        <f t="shared" si="4"/>
        <v>0</v>
      </c>
      <c r="L21" s="112">
        <f t="shared" si="5"/>
        <v>0</v>
      </c>
      <c r="M21" s="468">
        <f>P21+S21</f>
        <v>0</v>
      </c>
      <c r="N21" s="326">
        <v>200000</v>
      </c>
      <c r="O21" s="112">
        <f t="shared" si="6"/>
        <v>0</v>
      </c>
      <c r="P21" s="112">
        <f t="shared" si="7"/>
        <v>0</v>
      </c>
      <c r="Q21" s="112"/>
      <c r="R21" s="112"/>
      <c r="S21" s="468">
        <f t="shared" si="8"/>
        <v>0</v>
      </c>
      <c r="T21" s="112">
        <f>P21-M21+S21</f>
        <v>0</v>
      </c>
      <c r="U21" s="112">
        <f t="shared" si="9"/>
        <v>200000</v>
      </c>
      <c r="V21" s="112"/>
      <c r="W21" s="468">
        <f>U21-V21-X21-Z21-AA21</f>
        <v>200000</v>
      </c>
      <c r="X21" s="112"/>
      <c r="Y21" s="112"/>
      <c r="Z21" s="112"/>
      <c r="AA21" s="468"/>
      <c r="AB21" s="339" t="s">
        <v>864</v>
      </c>
      <c r="AC21" s="339">
        <v>760000</v>
      </c>
      <c r="AD21" s="288"/>
      <c r="AE21" s="288"/>
      <c r="AF21" s="288"/>
      <c r="AG21" s="288"/>
      <c r="AH21" s="462"/>
      <c r="AI21" s="462"/>
      <c r="AJ21" s="462"/>
      <c r="AK21" s="462"/>
      <c r="AL21" s="462"/>
      <c r="AM21" s="462"/>
      <c r="AN21" s="462"/>
      <c r="AO21" s="462"/>
      <c r="AP21" s="288"/>
      <c r="AQ21" s="362"/>
      <c r="AR21" s="362"/>
      <c r="AS21" s="362"/>
      <c r="AT21" s="362"/>
      <c r="AU21" s="362"/>
      <c r="AV21" s="362"/>
      <c r="AW21" s="362"/>
      <c r="AX21" s="362"/>
      <c r="AY21" s="362"/>
      <c r="AZ21" s="374"/>
      <c r="BA21" s="374"/>
      <c r="BB21" s="374"/>
      <c r="BC21" s="374"/>
      <c r="BD21" s="374"/>
      <c r="BE21" s="374"/>
      <c r="BF21" s="374"/>
      <c r="BG21" s="374"/>
      <c r="BH21" s="374"/>
    </row>
    <row r="22" spans="1:65" s="343" customFormat="1" ht="54.75" customHeight="1">
      <c r="A22" s="467">
        <f>1+A21</f>
        <v>6</v>
      </c>
      <c r="B22" s="345">
        <v>20175</v>
      </c>
      <c r="C22" s="127" t="s">
        <v>1241</v>
      </c>
      <c r="D22" s="112">
        <v>100000</v>
      </c>
      <c r="E22" s="112"/>
      <c r="F22" s="112">
        <f t="shared" si="3"/>
        <v>100000</v>
      </c>
      <c r="G22" s="112">
        <v>0</v>
      </c>
      <c r="H22" s="112"/>
      <c r="I22" s="112"/>
      <c r="J22" s="112"/>
      <c r="K22" s="112">
        <f t="shared" si="4"/>
        <v>0</v>
      </c>
      <c r="L22" s="112">
        <f t="shared" si="5"/>
        <v>0</v>
      </c>
      <c r="M22" s="112">
        <f>P22+S22</f>
        <v>0</v>
      </c>
      <c r="N22" s="112">
        <v>100000</v>
      </c>
      <c r="O22" s="112">
        <f t="shared" si="6"/>
        <v>0</v>
      </c>
      <c r="P22" s="112">
        <f t="shared" si="7"/>
        <v>0</v>
      </c>
      <c r="Q22" s="112"/>
      <c r="R22" s="112"/>
      <c r="S22" s="112">
        <f t="shared" si="8"/>
        <v>0</v>
      </c>
      <c r="T22" s="112">
        <f>P22-M22+S22</f>
        <v>0</v>
      </c>
      <c r="U22" s="112">
        <f t="shared" si="9"/>
        <v>100000</v>
      </c>
      <c r="V22" s="112"/>
      <c r="W22" s="468">
        <f>U22-V22-X22-Z22-AA22</f>
        <v>100000</v>
      </c>
      <c r="X22" s="112"/>
      <c r="Y22" s="112"/>
      <c r="Z22" s="112"/>
      <c r="AA22" s="112"/>
      <c r="AB22" s="339" t="s">
        <v>1240</v>
      </c>
      <c r="AC22" s="339">
        <v>760000</v>
      </c>
      <c r="AD22" s="288"/>
      <c r="AE22" s="288"/>
      <c r="AF22" s="288"/>
      <c r="AG22" s="348"/>
      <c r="AH22" s="288"/>
      <c r="AI22" s="462"/>
      <c r="AJ22" s="462"/>
      <c r="AK22" s="462"/>
      <c r="AL22" s="462"/>
      <c r="AM22" s="462"/>
      <c r="AN22" s="462"/>
      <c r="AO22" s="462"/>
      <c r="AP22" s="348"/>
      <c r="AQ22" s="348"/>
      <c r="AR22" s="348"/>
      <c r="AS22" s="348"/>
      <c r="AT22" s="348"/>
      <c r="AU22" s="348"/>
      <c r="AV22" s="348"/>
      <c r="AW22" s="256"/>
      <c r="AX22" s="256"/>
      <c r="AY22" s="256"/>
      <c r="AZ22" s="256"/>
      <c r="BA22" s="256"/>
      <c r="BB22" s="256"/>
      <c r="BC22" s="256"/>
      <c r="BD22" s="256"/>
      <c r="BE22" s="256"/>
    </row>
    <row r="23" spans="1:65" s="346" customFormat="1" ht="20.100000000000001" customHeight="1">
      <c r="A23" s="684"/>
      <c r="B23" s="367"/>
      <c r="C23" s="129" t="s">
        <v>1332</v>
      </c>
      <c r="D23" s="130">
        <f>SUM(D17:D22)</f>
        <v>52730000</v>
      </c>
      <c r="E23" s="130">
        <f t="shared" ref="E23:AA23" si="10">SUM(E17:E22)</f>
        <v>52630000</v>
      </c>
      <c r="F23" s="130">
        <f t="shared" si="10"/>
        <v>100000</v>
      </c>
      <c r="G23" s="130">
        <f t="shared" si="10"/>
        <v>27010000</v>
      </c>
      <c r="H23" s="130">
        <f t="shared" si="10"/>
        <v>21260797</v>
      </c>
      <c r="I23" s="130">
        <f t="shared" si="10"/>
        <v>0</v>
      </c>
      <c r="J23" s="130">
        <f t="shared" si="10"/>
        <v>5356788</v>
      </c>
      <c r="K23" s="130">
        <f t="shared" si="10"/>
        <v>5356788</v>
      </c>
      <c r="L23" s="130">
        <f t="shared" si="10"/>
        <v>26617585</v>
      </c>
      <c r="M23" s="130">
        <f t="shared" si="10"/>
        <v>690415</v>
      </c>
      <c r="N23" s="130">
        <f t="shared" si="10"/>
        <v>2682000</v>
      </c>
      <c r="O23" s="130">
        <f t="shared" si="10"/>
        <v>22740000</v>
      </c>
      <c r="P23" s="130">
        <f t="shared" si="10"/>
        <v>392415</v>
      </c>
      <c r="Q23" s="130">
        <f t="shared" si="10"/>
        <v>365000</v>
      </c>
      <c r="R23" s="130">
        <f t="shared" si="10"/>
        <v>0</v>
      </c>
      <c r="S23" s="130">
        <f t="shared" si="10"/>
        <v>365000</v>
      </c>
      <c r="T23" s="130">
        <f t="shared" si="10"/>
        <v>67000</v>
      </c>
      <c r="U23" s="130">
        <f t="shared" si="10"/>
        <v>2615000</v>
      </c>
      <c r="V23" s="130">
        <f t="shared" si="10"/>
        <v>849000</v>
      </c>
      <c r="W23" s="130">
        <f t="shared" si="10"/>
        <v>1766000</v>
      </c>
      <c r="X23" s="130">
        <f t="shared" si="10"/>
        <v>0</v>
      </c>
      <c r="Y23" s="130">
        <f t="shared" si="10"/>
        <v>0</v>
      </c>
      <c r="Z23" s="130">
        <f t="shared" si="10"/>
        <v>0</v>
      </c>
      <c r="AA23" s="130">
        <f t="shared" si="10"/>
        <v>0</v>
      </c>
      <c r="AB23" s="367"/>
      <c r="AC23" s="367"/>
      <c r="AD23" s="687"/>
      <c r="AE23" s="687"/>
      <c r="AF23" s="687"/>
      <c r="AG23" s="369"/>
      <c r="AH23" s="687"/>
      <c r="AI23" s="688"/>
      <c r="AJ23" s="688"/>
      <c r="AK23" s="688"/>
      <c r="AL23" s="688"/>
      <c r="AM23" s="688"/>
      <c r="AN23" s="688"/>
      <c r="AO23" s="688"/>
      <c r="AP23" s="369"/>
      <c r="AQ23" s="369"/>
      <c r="AR23" s="369"/>
      <c r="AS23" s="369"/>
      <c r="AT23" s="369"/>
      <c r="AU23" s="369"/>
      <c r="AV23" s="369"/>
      <c r="AW23" s="314"/>
      <c r="AX23" s="314"/>
      <c r="AY23" s="314"/>
      <c r="AZ23" s="314"/>
      <c r="BA23" s="314"/>
      <c r="BB23" s="314"/>
      <c r="BC23" s="314"/>
      <c r="BD23" s="314"/>
      <c r="BE23" s="314"/>
    </row>
    <row r="24" spans="1:65" s="346" customFormat="1" ht="20.100000000000001" customHeight="1">
      <c r="A24" s="684"/>
      <c r="B24" s="367"/>
      <c r="C24" s="129">
        <v>81</v>
      </c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685"/>
      <c r="X24" s="130"/>
      <c r="Y24" s="130"/>
      <c r="Z24" s="130"/>
      <c r="AA24" s="130"/>
      <c r="AB24" s="367"/>
      <c r="AC24" s="367"/>
      <c r="AD24" s="687"/>
      <c r="AE24" s="687"/>
      <c r="AF24" s="687"/>
      <c r="AG24" s="369"/>
      <c r="AH24" s="687"/>
      <c r="AI24" s="688"/>
      <c r="AJ24" s="688"/>
      <c r="AK24" s="688"/>
      <c r="AL24" s="688"/>
      <c r="AM24" s="688"/>
      <c r="AN24" s="688"/>
      <c r="AO24" s="688"/>
      <c r="AP24" s="369"/>
      <c r="AQ24" s="369"/>
      <c r="AR24" s="369"/>
      <c r="AS24" s="369"/>
      <c r="AT24" s="369"/>
      <c r="AU24" s="369"/>
      <c r="AV24" s="369"/>
      <c r="AW24" s="314"/>
      <c r="AX24" s="314"/>
      <c r="AY24" s="314"/>
      <c r="AZ24" s="314"/>
      <c r="BA24" s="314"/>
      <c r="BB24" s="314"/>
      <c r="BC24" s="314"/>
      <c r="BD24" s="314"/>
      <c r="BE24" s="314"/>
    </row>
    <row r="25" spans="1:65" s="343" customFormat="1" ht="51" customHeight="1">
      <c r="A25" s="467">
        <f>1+A22</f>
        <v>7</v>
      </c>
      <c r="B25" s="467">
        <v>1647</v>
      </c>
      <c r="C25" s="467" t="s">
        <v>237</v>
      </c>
      <c r="D25" s="452">
        <f>4700000+50000</f>
        <v>4750000</v>
      </c>
      <c r="E25" s="452">
        <v>4700000</v>
      </c>
      <c r="F25" s="452">
        <f>D25-E25</f>
        <v>50000</v>
      </c>
      <c r="G25" s="452">
        <v>4600000</v>
      </c>
      <c r="H25" s="452">
        <v>4446864</v>
      </c>
      <c r="I25" s="452">
        <v>0</v>
      </c>
      <c r="J25" s="452">
        <v>2814</v>
      </c>
      <c r="K25" s="452">
        <f>I25+J25</f>
        <v>2814</v>
      </c>
      <c r="L25" s="452">
        <f>H25+K25</f>
        <v>4449678</v>
      </c>
      <c r="M25" s="468">
        <f>P25+S25</f>
        <v>150322</v>
      </c>
      <c r="N25" s="468">
        <v>150000</v>
      </c>
      <c r="O25" s="468">
        <f>D25-L25-M25-N25</f>
        <v>0</v>
      </c>
      <c r="P25" s="468">
        <f>G25-L25</f>
        <v>150322</v>
      </c>
      <c r="Q25" s="468"/>
      <c r="R25" s="468"/>
      <c r="S25" s="468">
        <f>SUM(Q25:R25)</f>
        <v>0</v>
      </c>
      <c r="T25" s="469">
        <f>P25-M25+S25</f>
        <v>0</v>
      </c>
      <c r="U25" s="468">
        <f>N25-T25</f>
        <v>150000</v>
      </c>
      <c r="V25" s="468"/>
      <c r="W25" s="468">
        <f>U25-V25-X25-Z25-AA25</f>
        <v>150000</v>
      </c>
      <c r="X25" s="452"/>
      <c r="Y25" s="452"/>
      <c r="Z25" s="452"/>
      <c r="AA25" s="467"/>
      <c r="AB25" s="467" t="s">
        <v>257</v>
      </c>
      <c r="AC25" s="467">
        <v>810000</v>
      </c>
      <c r="AD25" s="288"/>
      <c r="AE25" s="288"/>
      <c r="AF25" s="288"/>
      <c r="AG25" s="288"/>
      <c r="AH25" s="288"/>
      <c r="AI25" s="462"/>
      <c r="AJ25" s="462"/>
      <c r="AK25" s="462"/>
      <c r="AL25" s="462"/>
      <c r="AM25" s="462"/>
      <c r="AN25" s="462"/>
      <c r="AO25" s="462"/>
      <c r="AP25" s="28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</row>
    <row r="26" spans="1:65" s="343" customFormat="1" ht="45">
      <c r="A26" s="467">
        <f>1+A25</f>
        <v>8</v>
      </c>
      <c r="B26" s="345">
        <v>20077</v>
      </c>
      <c r="C26" s="467" t="s">
        <v>245</v>
      </c>
      <c r="D26" s="468">
        <v>3000000</v>
      </c>
      <c r="E26" s="468">
        <v>2000000</v>
      </c>
      <c r="F26" s="468">
        <f>D26-E26</f>
        <v>1000000</v>
      </c>
      <c r="G26" s="468">
        <v>1000000</v>
      </c>
      <c r="H26" s="468">
        <v>685364</v>
      </c>
      <c r="I26" s="468">
        <v>0</v>
      </c>
      <c r="J26" s="468">
        <v>312990</v>
      </c>
      <c r="K26" s="452">
        <f>I26+J26</f>
        <v>312990</v>
      </c>
      <c r="L26" s="468">
        <f>H26+K26</f>
        <v>998354</v>
      </c>
      <c r="M26" s="468">
        <f>P26+S26</f>
        <v>1001646</v>
      </c>
      <c r="N26" s="468">
        <v>1000000</v>
      </c>
      <c r="O26" s="468">
        <f>D26-L26-M26-N26</f>
        <v>0</v>
      </c>
      <c r="P26" s="468">
        <f>G26-L26</f>
        <v>1646</v>
      </c>
      <c r="Q26" s="468">
        <v>1000000</v>
      </c>
      <c r="R26" s="468"/>
      <c r="S26" s="468">
        <f>SUM(Q26:R26)</f>
        <v>1000000</v>
      </c>
      <c r="T26" s="468">
        <f>P26-M26+S26</f>
        <v>0</v>
      </c>
      <c r="U26" s="468">
        <f>N26-T26</f>
        <v>1000000</v>
      </c>
      <c r="V26" s="468"/>
      <c r="W26" s="468">
        <f>U26-V26-X26-Z26-AA26</f>
        <v>0</v>
      </c>
      <c r="X26" s="452"/>
      <c r="Y26" s="452"/>
      <c r="Z26" s="452"/>
      <c r="AA26" s="468">
        <v>1000000</v>
      </c>
      <c r="AB26" s="467" t="s">
        <v>1284</v>
      </c>
      <c r="AC26" s="339">
        <v>810000</v>
      </c>
      <c r="AD26" s="288"/>
      <c r="AE26" s="288"/>
      <c r="AF26" s="288"/>
      <c r="AG26" s="288"/>
      <c r="AH26" s="288"/>
      <c r="AI26" s="462"/>
      <c r="AJ26" s="462"/>
      <c r="AK26" s="462"/>
      <c r="AL26" s="462"/>
      <c r="AM26" s="462"/>
      <c r="AN26" s="462"/>
      <c r="AO26" s="462"/>
      <c r="AP26" s="288"/>
      <c r="AQ26" s="148"/>
      <c r="AR26" s="148"/>
      <c r="AS26" s="148"/>
      <c r="AT26" s="148"/>
      <c r="AU26" s="148"/>
      <c r="AV26" s="148"/>
      <c r="AW26" s="148"/>
      <c r="AX26" s="148"/>
      <c r="AY26" s="148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</row>
    <row r="27" spans="1:65" s="346" customFormat="1" ht="15">
      <c r="A27" s="684"/>
      <c r="B27" s="367"/>
      <c r="C27" s="684" t="s">
        <v>1335</v>
      </c>
      <c r="D27" s="685">
        <f>SUM(D25:D26)</f>
        <v>7750000</v>
      </c>
      <c r="E27" s="685">
        <f t="shared" ref="E27:AA27" si="11">SUM(E25:E26)</f>
        <v>6700000</v>
      </c>
      <c r="F27" s="685">
        <f t="shared" si="11"/>
        <v>1050000</v>
      </c>
      <c r="G27" s="685">
        <f t="shared" si="11"/>
        <v>5600000</v>
      </c>
      <c r="H27" s="685">
        <f t="shared" si="11"/>
        <v>5132228</v>
      </c>
      <c r="I27" s="685">
        <f t="shared" si="11"/>
        <v>0</v>
      </c>
      <c r="J27" s="685">
        <f t="shared" si="11"/>
        <v>315804</v>
      </c>
      <c r="K27" s="685">
        <f t="shared" si="11"/>
        <v>315804</v>
      </c>
      <c r="L27" s="685">
        <f t="shared" si="11"/>
        <v>5448032</v>
      </c>
      <c r="M27" s="685">
        <f t="shared" si="11"/>
        <v>1151968</v>
      </c>
      <c r="N27" s="685">
        <f t="shared" si="11"/>
        <v>1150000</v>
      </c>
      <c r="O27" s="685">
        <f t="shared" si="11"/>
        <v>0</v>
      </c>
      <c r="P27" s="685">
        <f t="shared" si="11"/>
        <v>151968</v>
      </c>
      <c r="Q27" s="685">
        <f t="shared" si="11"/>
        <v>1000000</v>
      </c>
      <c r="R27" s="685">
        <f t="shared" si="11"/>
        <v>0</v>
      </c>
      <c r="S27" s="685">
        <f t="shared" si="11"/>
        <v>1000000</v>
      </c>
      <c r="T27" s="685">
        <f t="shared" si="11"/>
        <v>0</v>
      </c>
      <c r="U27" s="685">
        <f t="shared" si="11"/>
        <v>1150000</v>
      </c>
      <c r="V27" s="685">
        <f t="shared" si="11"/>
        <v>0</v>
      </c>
      <c r="W27" s="685">
        <f t="shared" si="11"/>
        <v>150000</v>
      </c>
      <c r="X27" s="685">
        <f t="shared" si="11"/>
        <v>0</v>
      </c>
      <c r="Y27" s="685">
        <f t="shared" si="11"/>
        <v>0</v>
      </c>
      <c r="Z27" s="685">
        <f t="shared" si="11"/>
        <v>0</v>
      </c>
      <c r="AA27" s="685">
        <f t="shared" si="11"/>
        <v>1000000</v>
      </c>
      <c r="AB27" s="684"/>
      <c r="AC27" s="367"/>
      <c r="AD27" s="687"/>
      <c r="AE27" s="687"/>
      <c r="AF27" s="687"/>
      <c r="AG27" s="687"/>
      <c r="AH27" s="687"/>
      <c r="AI27" s="688"/>
      <c r="AJ27" s="688"/>
      <c r="AK27" s="688"/>
      <c r="AL27" s="688"/>
      <c r="AM27" s="688"/>
      <c r="AN27" s="688"/>
      <c r="AO27" s="688"/>
      <c r="AP27" s="687"/>
      <c r="AQ27" s="596"/>
      <c r="AR27" s="596"/>
      <c r="AS27" s="596"/>
      <c r="AT27" s="596"/>
      <c r="AU27" s="596"/>
      <c r="AV27" s="596"/>
      <c r="AW27" s="596"/>
      <c r="AX27" s="596"/>
      <c r="AY27" s="596"/>
      <c r="AZ27" s="314"/>
      <c r="BA27" s="314"/>
      <c r="BB27" s="314"/>
      <c r="BC27" s="314"/>
      <c r="BD27" s="314"/>
      <c r="BE27" s="314"/>
      <c r="BF27" s="314"/>
      <c r="BG27" s="314"/>
      <c r="BH27" s="314"/>
      <c r="BI27" s="314"/>
    </row>
    <row r="28" spans="1:65" s="354" customFormat="1" ht="45" customHeight="1">
      <c r="A28" s="236">
        <f>COUNT(A6:A26)</f>
        <v>13</v>
      </c>
      <c r="B28" s="344"/>
      <c r="C28" s="208" t="s">
        <v>75</v>
      </c>
      <c r="D28" s="236">
        <f>D27+D23+D15+D12+D9</f>
        <v>105870000</v>
      </c>
      <c r="E28" s="236">
        <f t="shared" ref="E28:AA28" si="12">E27+E23+E15+E12+E9</f>
        <v>103520000</v>
      </c>
      <c r="F28" s="236">
        <f t="shared" si="12"/>
        <v>2350000</v>
      </c>
      <c r="G28" s="236">
        <f t="shared" si="12"/>
        <v>57958000</v>
      </c>
      <c r="H28" s="236">
        <f t="shared" si="12"/>
        <v>48220185</v>
      </c>
      <c r="I28" s="236">
        <f t="shared" si="12"/>
        <v>43536</v>
      </c>
      <c r="J28" s="236">
        <f t="shared" si="12"/>
        <v>7880605</v>
      </c>
      <c r="K28" s="236">
        <f t="shared" si="12"/>
        <v>7924141</v>
      </c>
      <c r="L28" s="236">
        <f t="shared" si="12"/>
        <v>56144326</v>
      </c>
      <c r="M28" s="236">
        <f t="shared" si="12"/>
        <v>3091674</v>
      </c>
      <c r="N28" s="236">
        <f t="shared" si="12"/>
        <v>7932000</v>
      </c>
      <c r="O28" s="236">
        <f t="shared" si="12"/>
        <v>38702000</v>
      </c>
      <c r="P28" s="236">
        <f t="shared" si="12"/>
        <v>1813674</v>
      </c>
      <c r="Q28" s="236">
        <f t="shared" si="12"/>
        <v>1365000</v>
      </c>
      <c r="R28" s="236">
        <f t="shared" si="12"/>
        <v>0</v>
      </c>
      <c r="S28" s="236">
        <f t="shared" si="12"/>
        <v>1365000</v>
      </c>
      <c r="T28" s="236">
        <f t="shared" si="12"/>
        <v>87000</v>
      </c>
      <c r="U28" s="236">
        <f t="shared" si="12"/>
        <v>7845000</v>
      </c>
      <c r="V28" s="236">
        <f t="shared" si="12"/>
        <v>849000</v>
      </c>
      <c r="W28" s="236">
        <f t="shared" si="12"/>
        <v>5996000</v>
      </c>
      <c r="X28" s="236">
        <f t="shared" si="12"/>
        <v>0</v>
      </c>
      <c r="Y28" s="236">
        <f t="shared" si="12"/>
        <v>0</v>
      </c>
      <c r="Z28" s="236">
        <f t="shared" si="12"/>
        <v>0</v>
      </c>
      <c r="AA28" s="236">
        <f t="shared" si="12"/>
        <v>1000000</v>
      </c>
      <c r="AB28" s="344"/>
      <c r="AC28" s="344"/>
      <c r="AD28" s="288"/>
      <c r="AE28" s="288"/>
      <c r="AF28" s="288"/>
      <c r="AG28" s="288"/>
      <c r="AH28" s="288"/>
      <c r="AI28" s="462"/>
      <c r="AJ28" s="462"/>
      <c r="AK28" s="462"/>
      <c r="AL28" s="462"/>
      <c r="AM28" s="462"/>
      <c r="AN28" s="462"/>
      <c r="AO28" s="462"/>
      <c r="AP28" s="288"/>
      <c r="AQ28" s="353"/>
      <c r="AR28" s="353"/>
      <c r="AS28" s="353"/>
      <c r="AT28" s="353"/>
      <c r="AU28" s="353"/>
      <c r="AV28" s="353"/>
      <c r="AW28" s="353"/>
      <c r="AX28" s="353"/>
      <c r="AY28" s="353"/>
      <c r="AZ28" s="312"/>
      <c r="BA28" s="312"/>
      <c r="BB28" s="312"/>
      <c r="BC28" s="312"/>
      <c r="BD28" s="312"/>
      <c r="BE28" s="312"/>
      <c r="BF28" s="312"/>
      <c r="BG28" s="312"/>
      <c r="BH28" s="312"/>
    </row>
    <row r="29" spans="1:65" s="386" customFormat="1" ht="21" hidden="1" customHeight="1">
      <c r="A29" s="335"/>
      <c r="C29" s="334"/>
      <c r="D29" s="363">
        <f>SUM(L28:O28)</f>
        <v>105870000</v>
      </c>
      <c r="E29" s="363"/>
      <c r="F29" s="363">
        <f>D28-E28</f>
        <v>2350000</v>
      </c>
      <c r="G29" s="363"/>
      <c r="H29" s="363"/>
      <c r="I29" s="363"/>
      <c r="J29" s="363"/>
      <c r="K29" s="363"/>
      <c r="L29" s="363">
        <f>H28+K28</f>
        <v>56144326</v>
      </c>
      <c r="M29" s="363"/>
      <c r="N29" s="363"/>
      <c r="O29" s="363"/>
      <c r="P29" s="363">
        <f>G28-L29</f>
        <v>1813674</v>
      </c>
      <c r="Q29" s="363">
        <f>'ריכוז אגפים 2024'!AV14</f>
        <v>1637000</v>
      </c>
      <c r="R29" s="363">
        <f>'עדכוני תקציב 2024'!AE143</f>
        <v>0</v>
      </c>
      <c r="S29" s="363"/>
      <c r="T29" s="363">
        <f>P29+S28-M28</f>
        <v>87000</v>
      </c>
      <c r="U29" s="363">
        <f>N28-T29</f>
        <v>7845000</v>
      </c>
      <c r="V29" s="335"/>
      <c r="W29" s="335"/>
      <c r="X29" s="335"/>
      <c r="Y29" s="335"/>
      <c r="Z29" s="335"/>
      <c r="AA29" s="335"/>
      <c r="AD29" s="633"/>
      <c r="AE29" s="633"/>
      <c r="AF29" s="633"/>
      <c r="AG29" s="633"/>
      <c r="AH29" s="633"/>
      <c r="AI29" s="634"/>
      <c r="AJ29" s="634"/>
      <c r="AK29" s="634"/>
      <c r="AL29" s="634"/>
      <c r="AM29" s="634"/>
      <c r="AN29" s="634"/>
      <c r="AO29" s="634"/>
      <c r="AP29" s="633"/>
      <c r="AQ29" s="387"/>
      <c r="AR29" s="387"/>
      <c r="AS29" s="387"/>
      <c r="AT29" s="387"/>
      <c r="AU29" s="387"/>
      <c r="AV29" s="387"/>
      <c r="AW29" s="387"/>
      <c r="AX29" s="387"/>
      <c r="AY29" s="387"/>
      <c r="AZ29" s="635"/>
      <c r="BA29" s="635"/>
      <c r="BB29" s="635"/>
      <c r="BC29" s="635"/>
      <c r="BD29" s="635"/>
      <c r="BE29" s="635"/>
      <c r="BF29" s="635"/>
      <c r="BG29" s="635"/>
      <c r="BH29" s="635"/>
    </row>
    <row r="30" spans="1:65" ht="21" customHeight="1">
      <c r="Q30" s="363">
        <f>Q28-Q29</f>
        <v>-272000</v>
      </c>
    </row>
    <row r="31" spans="1:65" ht="22.5" customHeight="1">
      <c r="P31" s="637" t="s">
        <v>1236</v>
      </c>
    </row>
    <row r="33" spans="17:17" ht="36.75" customHeight="1">
      <c r="Q33" s="636"/>
    </row>
    <row r="37" spans="17:17" ht="45" customHeight="1"/>
    <row r="39" spans="17:17" ht="58.5" customHeight="1"/>
    <row r="40" spans="17:17" ht="50.25" customHeight="1"/>
    <row r="47" spans="17:17" ht="51.75" customHeight="1"/>
    <row r="48" spans="17:17" ht="35.25" customHeight="1"/>
    <row r="49" ht="31.5" customHeight="1"/>
    <row r="54" ht="37.5" customHeight="1"/>
    <row r="65" ht="48.75" customHeight="1"/>
    <row r="66" ht="31.5" customHeight="1"/>
    <row r="68" ht="45.75" customHeight="1"/>
    <row r="70" ht="33.75" customHeight="1"/>
    <row r="73" ht="27.75" customHeight="1"/>
    <row r="125" spans="1:1">
      <c r="A125" s="148">
        <f>COUNT(A6:A124)</f>
        <v>14</v>
      </c>
    </row>
    <row r="128" spans="1:1">
      <c r="A128" s="148">
        <f>A125+1</f>
        <v>15</v>
      </c>
    </row>
    <row r="131" ht="37.9" customHeight="1"/>
    <row r="134" ht="70.900000000000006" customHeight="1"/>
    <row r="137" ht="72" customHeight="1"/>
    <row r="139" ht="43.9" customHeight="1"/>
    <row r="141" ht="30" customHeight="1"/>
  </sheetData>
  <sortState xmlns:xlrd2="http://schemas.microsoft.com/office/spreadsheetml/2017/richdata2" ref="A6:BM26">
    <sortCondition ref="AC6:AC26"/>
  </sortState>
  <conditionalFormatting sqref="F6:F8 F22 F19:F20 F10:F11 F13:F14 F16:F17 F24">
    <cfRule type="cellIs" dxfId="271" priority="35" operator="equal">
      <formula>0</formula>
    </cfRule>
  </conditionalFormatting>
  <conditionalFormatting sqref="AB17:AC17 B7:C13 Z2:AA2 V4:W5 AC1:AC16 A1:M1 AB3 X4:AB6 A3:U3 D22:G22 I22:J22 B6:W6 N19:Z20 N22:R22 L22 T22:Z22 S21:S22 B4:L5 D19:J20 AG18:AO24 L19:L20 AP19:AP20 AG25 O1:AB1 A2:X2 AI1:AO17 AI25:AO28 A6:A27 W18 W25 M16:M22 K16:K22 L16:L17 N16:AA17 D16:J17 D7:AA15 K24:K25 M24:M25 S24:S25 T24:Z24 L24 N24:R24 I24:J24 D24:G24 D23:AA23">
    <cfRule type="cellIs" dxfId="270" priority="34" operator="equal">
      <formula>0</formula>
    </cfRule>
  </conditionalFormatting>
  <conditionalFormatting sqref="AB11:AB13">
    <cfRule type="cellIs" dxfId="269" priority="31" operator="equal">
      <formula>0</formula>
    </cfRule>
  </conditionalFormatting>
  <conditionalFormatting sqref="AB7">
    <cfRule type="cellIs" dxfId="268" priority="33" operator="equal">
      <formula>0</formula>
    </cfRule>
  </conditionalFormatting>
  <conditionalFormatting sqref="AB8:AB10">
    <cfRule type="cellIs" dxfId="267" priority="32" operator="equal">
      <formula>0</formula>
    </cfRule>
  </conditionalFormatting>
  <conditionalFormatting sqref="B14:C16">
    <cfRule type="cellIs" dxfId="266" priority="30" operator="equal">
      <formula>0</formula>
    </cfRule>
  </conditionalFormatting>
  <conditionalFormatting sqref="AB14:AB16">
    <cfRule type="cellIs" dxfId="265" priority="29" operator="equal">
      <formula>0</formula>
    </cfRule>
  </conditionalFormatting>
  <conditionalFormatting sqref="B17">
    <cfRule type="cellIs" dxfId="264" priority="28" operator="equal">
      <formula>0</formula>
    </cfRule>
  </conditionalFormatting>
  <conditionalFormatting sqref="B17">
    <cfRule type="cellIs" dxfId="263" priority="27" operator="equal">
      <formula>0</formula>
    </cfRule>
  </conditionalFormatting>
  <conditionalFormatting sqref="AB2">
    <cfRule type="cellIs" dxfId="262" priority="26" operator="equal">
      <formula>0</formula>
    </cfRule>
  </conditionalFormatting>
  <conditionalFormatting sqref="C20">
    <cfRule type="cellIs" dxfId="261" priority="25" operator="equal">
      <formula>0</formula>
    </cfRule>
  </conditionalFormatting>
  <conditionalFormatting sqref="AB20">
    <cfRule type="cellIs" dxfId="260" priority="24" operator="equal">
      <formula>0</formula>
    </cfRule>
  </conditionalFormatting>
  <conditionalFormatting sqref="C17">
    <cfRule type="cellIs" dxfId="259" priority="23" operator="equal">
      <formula>0</formula>
    </cfRule>
  </conditionalFormatting>
  <conditionalFormatting sqref="C17">
    <cfRule type="cellIs" dxfId="258" priority="22" operator="equal">
      <formula>0</formula>
    </cfRule>
  </conditionalFormatting>
  <conditionalFormatting sqref="AU11:AU13">
    <cfRule type="cellIs" dxfId="257" priority="19" operator="equal">
      <formula>0</formula>
    </cfRule>
  </conditionalFormatting>
  <conditionalFormatting sqref="AU14:AU17">
    <cfRule type="cellIs" dxfId="256" priority="18" operator="equal">
      <formula>0</formula>
    </cfRule>
  </conditionalFormatting>
  <conditionalFormatting sqref="AQ14:AQ17">
    <cfRule type="cellIs" dxfId="255" priority="21" operator="equal">
      <formula>0</formula>
    </cfRule>
  </conditionalFormatting>
  <conditionalFormatting sqref="AQ6:AQ13">
    <cfRule type="cellIs" dxfId="254" priority="20" operator="equal">
      <formula>0</formula>
    </cfRule>
  </conditionalFormatting>
  <conditionalFormatting sqref="D21:G21 I21:J21 N21:R21 L21 T21:Z21">
    <cfRule type="cellIs" dxfId="253" priority="16" operator="equal">
      <formula>0</formula>
    </cfRule>
  </conditionalFormatting>
  <conditionalFormatting sqref="F21">
    <cfRule type="cellIs" dxfId="252" priority="17" operator="equal">
      <formula>0</formula>
    </cfRule>
  </conditionalFormatting>
  <conditionalFormatting sqref="H21:H22 H24">
    <cfRule type="cellIs" dxfId="251" priority="15" operator="equal">
      <formula>0</formula>
    </cfRule>
  </conditionalFormatting>
  <conditionalFormatting sqref="V3:AA3">
    <cfRule type="cellIs" dxfId="250" priority="9" operator="equal">
      <formula>0</formula>
    </cfRule>
  </conditionalFormatting>
  <conditionalFormatting sqref="O18">
    <cfRule type="cellIs" dxfId="249" priority="14" operator="lessThan">
      <formula>0</formula>
    </cfRule>
  </conditionalFormatting>
  <conditionalFormatting sqref="AA19:AA22 AA24:AA25">
    <cfRule type="cellIs" dxfId="248" priority="13" operator="equal">
      <formula>0</formula>
    </cfRule>
  </conditionalFormatting>
  <conditionalFormatting sqref="AP21">
    <cfRule type="cellIs" dxfId="247" priority="10" operator="equal">
      <formula>0</formula>
    </cfRule>
  </conditionalFormatting>
  <conditionalFormatting sqref="AG6:AO16">
    <cfRule type="cellIs" dxfId="246" priority="12" operator="equal">
      <formula>0</formula>
    </cfRule>
  </conditionalFormatting>
  <conditionalFormatting sqref="AP1:AP2 AP22:AP24 AP4:AP17">
    <cfRule type="cellIs" dxfId="245" priority="11" operator="equal">
      <formula>0</formula>
    </cfRule>
  </conditionalFormatting>
  <conditionalFormatting sqref="AG28:AO28">
    <cfRule type="cellIs" dxfId="244" priority="7" operator="equal">
      <formula>0</formula>
    </cfRule>
  </conditionalFormatting>
  <conditionalFormatting sqref="M4:N5">
    <cfRule type="cellIs" dxfId="243" priority="8" operator="equal">
      <formula>0</formula>
    </cfRule>
  </conditionalFormatting>
  <conditionalFormatting sqref="AI30:AN1048576">
    <cfRule type="cellIs" dxfId="242" priority="6" operator="equal">
      <formula>0</formula>
    </cfRule>
  </conditionalFormatting>
  <conditionalFormatting sqref="AO30:AO1048576">
    <cfRule type="cellIs" dxfId="241" priority="5" operator="equal">
      <formula>0</formula>
    </cfRule>
  </conditionalFormatting>
  <conditionalFormatting sqref="AH25">
    <cfRule type="cellIs" dxfId="240" priority="4" operator="equal">
      <formula>0</formula>
    </cfRule>
  </conditionalFormatting>
  <conditionalFormatting sqref="AI29:AN29">
    <cfRule type="cellIs" dxfId="239" priority="3" operator="equal">
      <formula>0</formula>
    </cfRule>
  </conditionalFormatting>
  <conditionalFormatting sqref="AO29">
    <cfRule type="cellIs" dxfId="238" priority="2" operator="equal">
      <formula>0</formula>
    </cfRule>
  </conditionalFormatting>
  <conditionalFormatting sqref="W26">
    <cfRule type="cellIs" dxfId="237" priority="1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3:Q17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227" customWidth="1"/>
    <col min="4" max="4" width="34.85546875" style="227" customWidth="1"/>
    <col min="5" max="5" width="30.42578125" style="227" customWidth="1"/>
    <col min="6" max="6" width="10.85546875" style="227" customWidth="1"/>
    <col min="7" max="7" width="5.5703125" style="227" customWidth="1"/>
    <col min="8" max="9" width="12.140625" style="227" customWidth="1"/>
    <col min="10" max="10" width="7.85546875" style="227" customWidth="1"/>
    <col min="11" max="16384" width="9.140625" style="227"/>
  </cols>
  <sheetData>
    <row r="3" spans="1:17" ht="20.25">
      <c r="A3" s="226"/>
      <c r="C3" s="228" t="s">
        <v>241</v>
      </c>
      <c r="D3" s="226"/>
      <c r="E3" s="226"/>
      <c r="F3" s="226"/>
      <c r="G3" s="226"/>
      <c r="H3" s="226"/>
      <c r="I3" s="226"/>
      <c r="J3" s="226"/>
      <c r="K3" s="226"/>
      <c r="L3" s="226"/>
    </row>
    <row r="4" spans="1:17" ht="20.25">
      <c r="A4" s="226"/>
      <c r="C4" s="228"/>
      <c r="D4" s="226"/>
      <c r="E4" s="226"/>
      <c r="F4" s="226"/>
      <c r="G4" s="226"/>
      <c r="H4" s="226"/>
      <c r="I4" s="226"/>
      <c r="J4" s="226"/>
      <c r="K4" s="226"/>
      <c r="L4" s="226"/>
    </row>
    <row r="5" spans="1:17" ht="21" thickBot="1">
      <c r="A5" s="226"/>
      <c r="C5" s="228"/>
      <c r="D5" s="226"/>
      <c r="E5" s="226"/>
      <c r="F5" s="226"/>
      <c r="G5" s="226"/>
      <c r="H5" s="226"/>
      <c r="I5" s="226"/>
      <c r="J5" s="226"/>
      <c r="K5" s="226"/>
      <c r="L5" s="226"/>
    </row>
    <row r="6" spans="1:17" ht="16.5" thickBot="1">
      <c r="A6" s="226"/>
      <c r="B6" s="229" t="s">
        <v>105</v>
      </c>
      <c r="C6" s="226" t="s">
        <v>897</v>
      </c>
      <c r="D6" s="226"/>
      <c r="E6" s="226"/>
      <c r="F6" s="230">
        <f>'תקציב אגף נכסים וביטוח 2025'!U15</f>
        <v>20125000</v>
      </c>
      <c r="I6" s="226"/>
      <c r="J6" s="226"/>
      <c r="K6" s="226"/>
      <c r="L6" s="226"/>
    </row>
    <row r="7" spans="1:17" ht="15.75">
      <c r="B7" s="229"/>
      <c r="C7" s="226"/>
      <c r="D7" s="226"/>
      <c r="E7" s="226"/>
      <c r="F7" s="226"/>
      <c r="H7" s="226"/>
      <c r="I7" s="226"/>
      <c r="J7" s="226"/>
      <c r="K7" s="226"/>
      <c r="L7" s="226"/>
      <c r="M7" s="226"/>
      <c r="N7" s="226"/>
      <c r="O7" s="226"/>
      <c r="P7" s="226"/>
      <c r="Q7" s="226"/>
    </row>
    <row r="8" spans="1:17" ht="15.75">
      <c r="B8" s="229" t="s">
        <v>105</v>
      </c>
      <c r="C8" s="422" t="s">
        <v>1308</v>
      </c>
      <c r="D8" s="226"/>
      <c r="E8" s="226"/>
      <c r="F8" s="226"/>
      <c r="G8" s="226"/>
      <c r="H8" s="226"/>
      <c r="I8" s="226"/>
      <c r="J8" s="226"/>
      <c r="K8" s="226"/>
      <c r="L8" s="226"/>
    </row>
    <row r="9" spans="1:17" ht="15.75">
      <c r="B9" s="229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</row>
    <row r="10" spans="1:17" s="423" customFormat="1" ht="15.75">
      <c r="B10" s="424" t="s">
        <v>105</v>
      </c>
      <c r="C10" s="422" t="s">
        <v>292</v>
      </c>
      <c r="D10" s="422"/>
      <c r="F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</row>
    <row r="11" spans="1:17" s="423" customFormat="1" ht="15.75">
      <c r="C11" s="422" t="s">
        <v>196</v>
      </c>
      <c r="D11" s="422"/>
      <c r="E11" s="422"/>
      <c r="F11" s="422"/>
      <c r="H11" s="422"/>
      <c r="I11" s="422"/>
      <c r="J11" s="422"/>
      <c r="K11" s="422"/>
      <c r="L11" s="422"/>
    </row>
    <row r="12" spans="1:17" ht="15.75">
      <c r="B12" s="229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</row>
    <row r="13" spans="1:17" ht="15.75">
      <c r="B13" s="229" t="s">
        <v>105</v>
      </c>
      <c r="C13" s="422" t="s">
        <v>1458</v>
      </c>
      <c r="D13" s="226"/>
      <c r="E13" s="226"/>
      <c r="F13" s="226"/>
      <c r="G13" s="226"/>
      <c r="H13" s="226"/>
      <c r="I13" s="226"/>
      <c r="J13" s="226"/>
      <c r="K13" s="226"/>
      <c r="L13" s="226"/>
    </row>
    <row r="14" spans="1:17" ht="15.75">
      <c r="B14" s="229"/>
      <c r="C14" s="422"/>
      <c r="D14" s="226"/>
      <c r="E14" s="226"/>
      <c r="F14" s="226"/>
      <c r="G14" s="226"/>
      <c r="H14" s="226"/>
      <c r="I14" s="226"/>
      <c r="J14" s="226"/>
      <c r="K14" s="226"/>
      <c r="L14" s="226"/>
    </row>
    <row r="15" spans="1:17" ht="15.75">
      <c r="B15" s="229" t="s">
        <v>105</v>
      </c>
      <c r="C15" s="417" t="s">
        <v>395</v>
      </c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</row>
    <row r="16" spans="1:17" s="617" customFormat="1" ht="15.75">
      <c r="A16" s="226"/>
      <c r="B16" s="226"/>
      <c r="C16" s="616" t="s">
        <v>1309</v>
      </c>
      <c r="E16" s="264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</row>
    <row r="17" spans="2:17" ht="15.75">
      <c r="B17" s="229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1BBD-6B50-4491-91EA-7E399F8494BE}">
  <dimension ref="A1:BD123"/>
  <sheetViews>
    <sheetView showZeros="0" rightToLeft="1" zoomScaleNormal="100" workbookViewId="0">
      <pane xSplit="3" ySplit="4" topLeftCell="D5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85546875" defaultRowHeight="15"/>
  <cols>
    <col min="1" max="1" width="3.7109375" style="123" customWidth="1"/>
    <col min="2" max="2" width="5.7109375" style="123" customWidth="1"/>
    <col min="3" max="3" width="22.140625" style="123" customWidth="1"/>
    <col min="4" max="5" width="11.140625" style="124" customWidth="1"/>
    <col min="6" max="6" width="10.7109375" style="124" customWidth="1"/>
    <col min="7" max="11" width="9.85546875" style="124" hidden="1" customWidth="1"/>
    <col min="12" max="12" width="9.85546875" style="124" customWidth="1"/>
    <col min="13" max="13" width="10.140625" style="124" customWidth="1"/>
    <col min="14" max="14" width="10.85546875" style="124" customWidth="1"/>
    <col min="15" max="15" width="10.28515625" style="124" customWidth="1"/>
    <col min="16" max="19" width="9.85546875" style="124" hidden="1" customWidth="1"/>
    <col min="20" max="20" width="7.28515625" style="124" customWidth="1"/>
    <col min="21" max="21" width="10.7109375" style="123" customWidth="1"/>
    <col min="22" max="22" width="10.85546875" style="123" customWidth="1"/>
    <col min="23" max="23" width="8.140625" style="123" customWidth="1"/>
    <col min="24" max="24" width="8.5703125" style="123" hidden="1" customWidth="1"/>
    <col min="25" max="27" width="9.85546875" style="123" hidden="1" customWidth="1"/>
    <col min="28" max="28" width="30.140625" style="123" customWidth="1"/>
    <col min="29" max="29" width="7" style="123" hidden="1" customWidth="1"/>
    <col min="30" max="31" width="14.140625" style="123" customWidth="1"/>
    <col min="32" max="32" width="22.28515625" style="123" customWidth="1"/>
    <col min="33" max="33" width="10.7109375" style="123" customWidth="1"/>
    <col min="34" max="34" width="26" style="123" customWidth="1"/>
    <col min="35" max="35" width="10.85546875" style="123" customWidth="1"/>
    <col min="36" max="36" width="12.140625" style="123" customWidth="1"/>
    <col min="37" max="37" width="10.85546875" style="123" customWidth="1"/>
    <col min="38" max="38" width="22.28515625" style="123" customWidth="1"/>
    <col min="39" max="39" width="10.7109375" style="123" customWidth="1"/>
    <col min="40" max="40" width="18.140625" style="123" customWidth="1"/>
    <col min="41" max="47" width="10.7109375" style="133" customWidth="1"/>
    <col min="48" max="48" width="8.85546875" style="133"/>
    <col min="49" max="16384" width="8.85546875" style="123"/>
  </cols>
  <sheetData>
    <row r="1" spans="1:56" s="132" customFormat="1" ht="18.7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33"/>
      <c r="AP1" s="133"/>
      <c r="AQ1" s="133"/>
      <c r="AR1" s="133"/>
      <c r="AS1" s="133"/>
      <c r="AT1" s="133"/>
      <c r="AU1" s="133"/>
      <c r="AV1" s="133"/>
    </row>
    <row r="2" spans="1:56" ht="18.75">
      <c r="A2" s="145" t="s">
        <v>241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Z2" s="145"/>
    </row>
    <row r="3" spans="1:56" ht="21" customHeight="1">
      <c r="V3" s="145"/>
      <c r="W3" s="145"/>
      <c r="X3" s="145"/>
      <c r="Y3" s="145"/>
      <c r="Z3" s="145"/>
      <c r="AA3" s="145"/>
    </row>
    <row r="4" spans="1:56" s="133" customFormat="1" ht="76.5" customHeight="1">
      <c r="A4" s="122" t="s">
        <v>0</v>
      </c>
      <c r="B4" s="122" t="s">
        <v>1</v>
      </c>
      <c r="C4" s="122" t="s">
        <v>2</v>
      </c>
      <c r="D4" s="122" t="s">
        <v>3</v>
      </c>
      <c r="E4" s="122" t="s">
        <v>4</v>
      </c>
      <c r="F4" s="122" t="s">
        <v>5</v>
      </c>
      <c r="G4" s="122" t="s">
        <v>6</v>
      </c>
      <c r="H4" s="122" t="s">
        <v>7</v>
      </c>
      <c r="I4" s="122" t="s">
        <v>9</v>
      </c>
      <c r="J4" s="122" t="s">
        <v>101</v>
      </c>
      <c r="K4" s="122" t="s">
        <v>10</v>
      </c>
      <c r="L4" s="122" t="s">
        <v>11</v>
      </c>
      <c r="M4" s="122" t="s">
        <v>793</v>
      </c>
      <c r="N4" s="122" t="s">
        <v>794</v>
      </c>
      <c r="O4" s="2" t="s">
        <v>795</v>
      </c>
      <c r="P4" s="2" t="s">
        <v>12</v>
      </c>
      <c r="Q4" s="2" t="s">
        <v>796</v>
      </c>
      <c r="R4" s="2" t="s">
        <v>797</v>
      </c>
      <c r="S4" s="2" t="s">
        <v>798</v>
      </c>
      <c r="T4" s="2" t="s">
        <v>799</v>
      </c>
      <c r="U4" s="2" t="s">
        <v>800</v>
      </c>
      <c r="V4" s="122" t="s">
        <v>13</v>
      </c>
      <c r="W4" s="122" t="s">
        <v>14</v>
      </c>
      <c r="X4" s="122" t="s">
        <v>15</v>
      </c>
      <c r="Y4" s="122" t="s">
        <v>185</v>
      </c>
      <c r="Z4" s="122" t="s">
        <v>385</v>
      </c>
      <c r="AA4" s="122" t="s">
        <v>67</v>
      </c>
      <c r="AB4" s="513" t="s">
        <v>207</v>
      </c>
      <c r="AC4" s="122" t="s">
        <v>16</v>
      </c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</row>
    <row r="5" spans="1:56" s="126" customFormat="1" ht="45">
      <c r="A5" s="127">
        <v>1</v>
      </c>
      <c r="B5" s="127">
        <v>470</v>
      </c>
      <c r="C5" s="127" t="s">
        <v>54</v>
      </c>
      <c r="D5" s="112">
        <v>2130000</v>
      </c>
      <c r="E5" s="112">
        <v>2130000</v>
      </c>
      <c r="F5" s="112">
        <f t="shared" ref="F5:F12" si="0">D5-E5</f>
        <v>0</v>
      </c>
      <c r="G5" s="112">
        <v>1830000</v>
      </c>
      <c r="H5" s="112">
        <v>1737007</v>
      </c>
      <c r="I5" s="112">
        <v>0</v>
      </c>
      <c r="J5" s="112">
        <v>0</v>
      </c>
      <c r="K5" s="112">
        <f>SUM(I5:J5)</f>
        <v>0</v>
      </c>
      <c r="L5" s="112">
        <f t="shared" ref="L5:L12" si="1">H5+K5</f>
        <v>1737007</v>
      </c>
      <c r="M5" s="112">
        <f>P5+S5</f>
        <v>92993</v>
      </c>
      <c r="N5" s="112"/>
      <c r="O5" s="112">
        <f t="shared" ref="O5:O12" si="2">D5-L5-M5-N5</f>
        <v>300000</v>
      </c>
      <c r="P5" s="112">
        <f t="shared" ref="P5:P12" si="3">G5-L5</f>
        <v>92993</v>
      </c>
      <c r="Q5" s="112"/>
      <c r="R5" s="112"/>
      <c r="S5" s="112">
        <f t="shared" ref="S5:S12" si="4">SUM(Q5:R5)</f>
        <v>0</v>
      </c>
      <c r="T5" s="112">
        <f t="shared" ref="T5:T12" si="5">P5-M5+S5</f>
        <v>0</v>
      </c>
      <c r="U5" s="112">
        <f t="shared" ref="U5:U12" si="6">N5-T5</f>
        <v>0</v>
      </c>
      <c r="V5" s="112">
        <f t="shared" ref="V5:V12" si="7">U5-W5-Z5-AA5</f>
        <v>0</v>
      </c>
      <c r="W5" s="112"/>
      <c r="X5" s="112"/>
      <c r="Y5" s="112"/>
      <c r="Z5" s="112"/>
      <c r="AA5" s="127"/>
      <c r="AB5" s="207" t="s">
        <v>239</v>
      </c>
      <c r="AC5" s="127">
        <v>935000</v>
      </c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33"/>
      <c r="AP5" s="133"/>
      <c r="AQ5" s="133"/>
      <c r="AR5" s="133"/>
      <c r="AS5" s="133"/>
      <c r="AT5" s="133"/>
      <c r="AU5" s="133"/>
      <c r="AV5" s="133"/>
    </row>
    <row r="6" spans="1:56" s="126" customFormat="1" ht="30" customHeight="1">
      <c r="A6" s="127">
        <f>A5+1</f>
        <v>2</v>
      </c>
      <c r="B6" s="127">
        <v>1066</v>
      </c>
      <c r="C6" s="127" t="s">
        <v>55</v>
      </c>
      <c r="D6" s="112">
        <v>75000</v>
      </c>
      <c r="E6" s="112">
        <v>75000</v>
      </c>
      <c r="F6" s="112">
        <f t="shared" si="0"/>
        <v>0</v>
      </c>
      <c r="G6" s="112">
        <v>75000</v>
      </c>
      <c r="H6" s="112">
        <v>40172</v>
      </c>
      <c r="I6" s="112">
        <v>0</v>
      </c>
      <c r="J6" s="112">
        <v>0</v>
      </c>
      <c r="K6" s="112">
        <f t="shared" ref="K6:K12" si="8">SUM(I6:J6)</f>
        <v>0</v>
      </c>
      <c r="L6" s="112">
        <f t="shared" si="1"/>
        <v>40172</v>
      </c>
      <c r="M6" s="112">
        <f t="shared" ref="M6:M13" si="9">P6+S6</f>
        <v>34828</v>
      </c>
      <c r="N6" s="112"/>
      <c r="O6" s="112">
        <f t="shared" si="2"/>
        <v>0</v>
      </c>
      <c r="P6" s="112">
        <f t="shared" si="3"/>
        <v>34828</v>
      </c>
      <c r="Q6" s="112"/>
      <c r="R6" s="112"/>
      <c r="S6" s="112">
        <f t="shared" si="4"/>
        <v>0</v>
      </c>
      <c r="T6" s="112">
        <f t="shared" si="5"/>
        <v>0</v>
      </c>
      <c r="U6" s="112">
        <f t="shared" si="6"/>
        <v>0</v>
      </c>
      <c r="V6" s="112">
        <f t="shared" si="7"/>
        <v>0</v>
      </c>
      <c r="W6" s="112"/>
      <c r="X6" s="112"/>
      <c r="Y6" s="112"/>
      <c r="Z6" s="112"/>
      <c r="AA6" s="127"/>
      <c r="AB6" s="213" t="s">
        <v>253</v>
      </c>
      <c r="AC6" s="127">
        <v>935000</v>
      </c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33"/>
      <c r="AP6" s="133"/>
      <c r="AQ6" s="133"/>
      <c r="AR6" s="133"/>
      <c r="AS6" s="133"/>
      <c r="AT6" s="133"/>
      <c r="AU6" s="133"/>
      <c r="AV6" s="133"/>
    </row>
    <row r="7" spans="1:56" s="126" customFormat="1" ht="60">
      <c r="A7" s="127">
        <f t="shared" ref="A7:A14" si="10">A6+1</f>
        <v>3</v>
      </c>
      <c r="B7" s="127">
        <v>1177</v>
      </c>
      <c r="C7" s="127" t="s">
        <v>882</v>
      </c>
      <c r="D7" s="112">
        <f>41850000+77107000</f>
        <v>118957000</v>
      </c>
      <c r="E7" s="112">
        <v>41850000</v>
      </c>
      <c r="F7" s="112">
        <f t="shared" si="0"/>
        <v>77107000</v>
      </c>
      <c r="G7" s="112">
        <v>28957000</v>
      </c>
      <c r="H7" s="112">
        <v>26879753</v>
      </c>
      <c r="I7" s="112">
        <v>0</v>
      </c>
      <c r="J7" s="112">
        <v>0</v>
      </c>
      <c r="K7" s="112">
        <f t="shared" si="8"/>
        <v>0</v>
      </c>
      <c r="L7" s="112">
        <f t="shared" si="1"/>
        <v>26879753</v>
      </c>
      <c r="M7" s="112">
        <f t="shared" si="9"/>
        <v>2077247</v>
      </c>
      <c r="N7" s="112">
        <f>90000000-40000000-30000000</f>
        <v>20000000</v>
      </c>
      <c r="O7" s="112">
        <f t="shared" si="2"/>
        <v>70000000</v>
      </c>
      <c r="P7" s="112">
        <f t="shared" si="3"/>
        <v>2077247</v>
      </c>
      <c r="Q7" s="112"/>
      <c r="R7" s="112"/>
      <c r="S7" s="112">
        <f t="shared" si="4"/>
        <v>0</v>
      </c>
      <c r="T7" s="112">
        <f t="shared" si="5"/>
        <v>0</v>
      </c>
      <c r="U7" s="112">
        <f t="shared" si="6"/>
        <v>20000000</v>
      </c>
      <c r="V7" s="112">
        <f t="shared" si="7"/>
        <v>20000000</v>
      </c>
      <c r="W7" s="112"/>
      <c r="X7" s="112"/>
      <c r="Y7" s="112"/>
      <c r="Z7" s="112"/>
      <c r="AA7" s="127"/>
      <c r="AB7" s="213" t="s">
        <v>1306</v>
      </c>
      <c r="AC7" s="127">
        <v>930000</v>
      </c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33"/>
      <c r="AP7" s="133"/>
      <c r="AQ7" s="133"/>
      <c r="AR7" s="133"/>
      <c r="AS7" s="133"/>
      <c r="AT7" s="133"/>
      <c r="AU7" s="133"/>
      <c r="AV7" s="133"/>
    </row>
    <row r="8" spans="1:56" s="126" customFormat="1" ht="30" customHeight="1">
      <c r="A8" s="127">
        <f t="shared" si="10"/>
        <v>4</v>
      </c>
      <c r="B8" s="127">
        <v>1258</v>
      </c>
      <c r="C8" s="127" t="s">
        <v>56</v>
      </c>
      <c r="D8" s="112">
        <v>1400000</v>
      </c>
      <c r="E8" s="112">
        <v>1400000</v>
      </c>
      <c r="F8" s="112">
        <f t="shared" si="0"/>
        <v>0</v>
      </c>
      <c r="G8" s="112">
        <v>1200000</v>
      </c>
      <c r="H8" s="112">
        <v>977565</v>
      </c>
      <c r="I8" s="112">
        <v>0</v>
      </c>
      <c r="J8" s="112">
        <v>0</v>
      </c>
      <c r="K8" s="112">
        <f t="shared" si="8"/>
        <v>0</v>
      </c>
      <c r="L8" s="112">
        <f t="shared" si="1"/>
        <v>977565</v>
      </c>
      <c r="M8" s="112">
        <f t="shared" si="9"/>
        <v>222435</v>
      </c>
      <c r="N8" s="112"/>
      <c r="O8" s="112">
        <f t="shared" si="2"/>
        <v>200000</v>
      </c>
      <c r="P8" s="112">
        <f t="shared" si="3"/>
        <v>222435</v>
      </c>
      <c r="Q8" s="112"/>
      <c r="R8" s="112"/>
      <c r="S8" s="112">
        <f t="shared" si="4"/>
        <v>0</v>
      </c>
      <c r="T8" s="112">
        <f t="shared" si="5"/>
        <v>0</v>
      </c>
      <c r="U8" s="112">
        <f t="shared" si="6"/>
        <v>0</v>
      </c>
      <c r="V8" s="112">
        <f t="shared" si="7"/>
        <v>0</v>
      </c>
      <c r="W8" s="112"/>
      <c r="X8" s="112"/>
      <c r="Y8" s="112"/>
      <c r="Z8" s="112"/>
      <c r="AA8" s="127"/>
      <c r="AB8" s="203" t="s">
        <v>206</v>
      </c>
      <c r="AC8" s="127">
        <v>930000</v>
      </c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33"/>
      <c r="AP8" s="133"/>
      <c r="AQ8" s="133"/>
      <c r="AR8" s="133"/>
      <c r="AS8" s="133"/>
      <c r="AT8" s="133"/>
      <c r="AU8" s="133"/>
      <c r="AV8" s="133"/>
    </row>
    <row r="9" spans="1:56" s="126" customFormat="1" ht="60">
      <c r="A9" s="127">
        <f t="shared" si="10"/>
        <v>5</v>
      </c>
      <c r="B9" s="127">
        <v>1330</v>
      </c>
      <c r="C9" s="127" t="s">
        <v>57</v>
      </c>
      <c r="D9" s="112">
        <f>60700000-43450175</f>
        <v>17249825</v>
      </c>
      <c r="E9" s="112">
        <v>60700000</v>
      </c>
      <c r="F9" s="112">
        <f t="shared" si="0"/>
        <v>-43450175</v>
      </c>
      <c r="G9" s="112">
        <v>17249825</v>
      </c>
      <c r="H9" s="112">
        <v>8241208</v>
      </c>
      <c r="I9" s="112">
        <v>0</v>
      </c>
      <c r="J9" s="112">
        <f>21341-21341</f>
        <v>0</v>
      </c>
      <c r="K9" s="112">
        <f t="shared" si="8"/>
        <v>0</v>
      </c>
      <c r="L9" s="112">
        <f t="shared" si="1"/>
        <v>8241208</v>
      </c>
      <c r="M9" s="112">
        <f>P9+S9</f>
        <v>9008617</v>
      </c>
      <c r="N9" s="112"/>
      <c r="O9" s="112">
        <f t="shared" si="2"/>
        <v>0</v>
      </c>
      <c r="P9" s="112">
        <f t="shared" si="3"/>
        <v>9008617</v>
      </c>
      <c r="Q9" s="112"/>
      <c r="R9" s="112"/>
      <c r="S9" s="112">
        <f t="shared" si="4"/>
        <v>0</v>
      </c>
      <c r="T9" s="112">
        <f t="shared" si="5"/>
        <v>0</v>
      </c>
      <c r="U9" s="112">
        <f t="shared" si="6"/>
        <v>0</v>
      </c>
      <c r="V9" s="112">
        <f t="shared" si="7"/>
        <v>0</v>
      </c>
      <c r="W9" s="112"/>
      <c r="X9" s="112"/>
      <c r="Y9" s="112"/>
      <c r="Z9" s="112"/>
      <c r="AA9" s="127"/>
      <c r="AB9" s="213" t="s">
        <v>1307</v>
      </c>
      <c r="AC9" s="127">
        <v>930000</v>
      </c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33"/>
      <c r="AP9" s="133"/>
      <c r="AQ9" s="133"/>
      <c r="AR9" s="133"/>
      <c r="AS9" s="133"/>
      <c r="AT9" s="133"/>
      <c r="AU9" s="133"/>
      <c r="AV9" s="133"/>
    </row>
    <row r="10" spans="1:56" s="126" customFormat="1" ht="30" customHeight="1">
      <c r="A10" s="127">
        <f t="shared" si="10"/>
        <v>6</v>
      </c>
      <c r="B10" s="127">
        <v>1993</v>
      </c>
      <c r="C10" s="127" t="s">
        <v>104</v>
      </c>
      <c r="D10" s="112">
        <v>6000000</v>
      </c>
      <c r="E10" s="112">
        <v>6000000</v>
      </c>
      <c r="F10" s="112">
        <f t="shared" si="0"/>
        <v>0</v>
      </c>
      <c r="G10" s="112">
        <v>6000000</v>
      </c>
      <c r="H10" s="112">
        <v>5968176</v>
      </c>
      <c r="I10" s="112">
        <v>0</v>
      </c>
      <c r="J10" s="112">
        <v>0</v>
      </c>
      <c r="K10" s="112">
        <f t="shared" si="8"/>
        <v>0</v>
      </c>
      <c r="L10" s="112">
        <f t="shared" si="1"/>
        <v>5968176</v>
      </c>
      <c r="M10" s="112">
        <f t="shared" si="9"/>
        <v>31824</v>
      </c>
      <c r="N10" s="112"/>
      <c r="O10" s="112">
        <f t="shared" si="2"/>
        <v>0</v>
      </c>
      <c r="P10" s="112">
        <f t="shared" si="3"/>
        <v>31824</v>
      </c>
      <c r="Q10" s="112"/>
      <c r="R10" s="112"/>
      <c r="S10" s="112">
        <f t="shared" si="4"/>
        <v>0</v>
      </c>
      <c r="T10" s="112">
        <f t="shared" si="5"/>
        <v>0</v>
      </c>
      <c r="U10" s="112">
        <f t="shared" si="6"/>
        <v>0</v>
      </c>
      <c r="V10" s="112">
        <f t="shared" si="7"/>
        <v>0</v>
      </c>
      <c r="W10" s="112"/>
      <c r="X10" s="112"/>
      <c r="Y10" s="112"/>
      <c r="Z10" s="112"/>
      <c r="AA10" s="127"/>
      <c r="AB10" s="213" t="s">
        <v>240</v>
      </c>
      <c r="AC10" s="127">
        <v>930000</v>
      </c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33"/>
      <c r="AP10" s="133"/>
      <c r="AQ10" s="133"/>
      <c r="AR10" s="133"/>
      <c r="AS10" s="133"/>
      <c r="AT10" s="133"/>
      <c r="AU10" s="133"/>
      <c r="AV10" s="133"/>
    </row>
    <row r="11" spans="1:56" s="126" customFormat="1" ht="30" customHeight="1">
      <c r="A11" s="127">
        <f t="shared" si="10"/>
        <v>7</v>
      </c>
      <c r="B11" s="127">
        <v>2055</v>
      </c>
      <c r="C11" s="127" t="s">
        <v>238</v>
      </c>
      <c r="D11" s="112">
        <v>220000</v>
      </c>
      <c r="E11" s="112">
        <v>220000</v>
      </c>
      <c r="F11" s="112">
        <f t="shared" si="0"/>
        <v>0</v>
      </c>
      <c r="G11" s="112">
        <v>200000</v>
      </c>
      <c r="H11" s="112">
        <v>122292</v>
      </c>
      <c r="I11" s="112">
        <v>0</v>
      </c>
      <c r="J11" s="112">
        <v>0</v>
      </c>
      <c r="K11" s="112">
        <f t="shared" si="8"/>
        <v>0</v>
      </c>
      <c r="L11" s="112">
        <f t="shared" si="1"/>
        <v>122292</v>
      </c>
      <c r="M11" s="112">
        <f t="shared" si="9"/>
        <v>77708</v>
      </c>
      <c r="N11" s="112"/>
      <c r="O11" s="112">
        <f t="shared" si="2"/>
        <v>20000</v>
      </c>
      <c r="P11" s="112">
        <f t="shared" si="3"/>
        <v>77708</v>
      </c>
      <c r="Q11" s="112"/>
      <c r="R11" s="112"/>
      <c r="S11" s="112">
        <f t="shared" si="4"/>
        <v>0</v>
      </c>
      <c r="T11" s="112">
        <f t="shared" si="5"/>
        <v>0</v>
      </c>
      <c r="U11" s="112">
        <f t="shared" si="6"/>
        <v>0</v>
      </c>
      <c r="V11" s="112">
        <f t="shared" si="7"/>
        <v>0</v>
      </c>
      <c r="W11" s="112"/>
      <c r="X11" s="112"/>
      <c r="Y11" s="112"/>
      <c r="Z11" s="112"/>
      <c r="AA11" s="127"/>
      <c r="AB11" s="213" t="s">
        <v>254</v>
      </c>
      <c r="AC11" s="127">
        <v>930000</v>
      </c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33"/>
      <c r="AP11" s="133"/>
      <c r="AQ11" s="133"/>
      <c r="AR11" s="133"/>
      <c r="AS11" s="133"/>
      <c r="AT11" s="133"/>
      <c r="AU11" s="133"/>
      <c r="AV11" s="133"/>
    </row>
    <row r="12" spans="1:56" s="126" customFormat="1" ht="30" customHeight="1">
      <c r="A12" s="127">
        <f t="shared" si="10"/>
        <v>8</v>
      </c>
      <c r="B12" s="127">
        <v>2072</v>
      </c>
      <c r="C12" s="127" t="s">
        <v>272</v>
      </c>
      <c r="D12" s="112">
        <v>100000</v>
      </c>
      <c r="E12" s="112">
        <v>100000</v>
      </c>
      <c r="F12" s="112">
        <f t="shared" si="0"/>
        <v>0</v>
      </c>
      <c r="G12" s="112">
        <v>100000</v>
      </c>
      <c r="H12" s="112">
        <v>33398</v>
      </c>
      <c r="I12" s="112">
        <v>0</v>
      </c>
      <c r="J12" s="112">
        <v>0</v>
      </c>
      <c r="K12" s="112">
        <f t="shared" si="8"/>
        <v>0</v>
      </c>
      <c r="L12" s="112">
        <f t="shared" si="1"/>
        <v>33398</v>
      </c>
      <c r="M12" s="112">
        <f t="shared" si="9"/>
        <v>66602</v>
      </c>
      <c r="N12" s="112"/>
      <c r="O12" s="112">
        <f t="shared" si="2"/>
        <v>0</v>
      </c>
      <c r="P12" s="112">
        <f t="shared" si="3"/>
        <v>66602</v>
      </c>
      <c r="Q12" s="112"/>
      <c r="R12" s="112"/>
      <c r="S12" s="112">
        <f t="shared" si="4"/>
        <v>0</v>
      </c>
      <c r="T12" s="112">
        <f t="shared" si="5"/>
        <v>0</v>
      </c>
      <c r="U12" s="112">
        <f t="shared" si="6"/>
        <v>0</v>
      </c>
      <c r="V12" s="112">
        <f t="shared" si="7"/>
        <v>0</v>
      </c>
      <c r="W12" s="112"/>
      <c r="X12" s="112"/>
      <c r="Y12" s="112"/>
      <c r="Z12" s="112"/>
      <c r="AA12" s="127"/>
      <c r="AB12" s="213" t="s">
        <v>255</v>
      </c>
      <c r="AC12" s="127">
        <v>930000</v>
      </c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33"/>
      <c r="AP12" s="133"/>
      <c r="AQ12" s="133"/>
      <c r="AR12" s="133"/>
      <c r="AS12" s="133"/>
      <c r="AT12" s="133"/>
      <c r="AU12" s="133"/>
      <c r="AV12" s="133"/>
    </row>
    <row r="13" spans="1:56" s="5" customFormat="1" ht="75">
      <c r="A13" s="127">
        <f t="shared" si="10"/>
        <v>9</v>
      </c>
      <c r="B13" s="19">
        <v>20135</v>
      </c>
      <c r="C13" s="127" t="s">
        <v>749</v>
      </c>
      <c r="D13" s="112">
        <v>5000000</v>
      </c>
      <c r="E13" s="112">
        <v>5000000</v>
      </c>
      <c r="F13" s="112">
        <f>D13-E13</f>
        <v>0</v>
      </c>
      <c r="G13" s="112">
        <v>3412500</v>
      </c>
      <c r="H13" s="112">
        <v>3397230</v>
      </c>
      <c r="I13" s="112">
        <v>0</v>
      </c>
      <c r="J13" s="112">
        <v>0</v>
      </c>
      <c r="K13" s="112">
        <f>I13+J13</f>
        <v>0</v>
      </c>
      <c r="L13" s="112">
        <f>H13+K13</f>
        <v>3397230</v>
      </c>
      <c r="M13" s="112">
        <f t="shared" si="9"/>
        <v>1152770</v>
      </c>
      <c r="N13" s="112"/>
      <c r="O13" s="112">
        <f>D13-L13-M13-N13</f>
        <v>450000</v>
      </c>
      <c r="P13" s="112">
        <f>G13-L13</f>
        <v>15270</v>
      </c>
      <c r="Q13" s="112">
        <v>1137500</v>
      </c>
      <c r="R13" s="112"/>
      <c r="S13" s="112">
        <f>SUM(Q13:R13)</f>
        <v>1137500</v>
      </c>
      <c r="T13" s="112">
        <f>P13-M13+S13</f>
        <v>0</v>
      </c>
      <c r="U13" s="112">
        <f>N13-T13</f>
        <v>0</v>
      </c>
      <c r="V13" s="112">
        <f>U13-W13-Z13-AA13</f>
        <v>0</v>
      </c>
      <c r="W13" s="112"/>
      <c r="X13" s="112"/>
      <c r="Y13" s="112"/>
      <c r="Z13" s="112"/>
      <c r="AA13" s="112"/>
      <c r="AB13" s="3" t="s">
        <v>750</v>
      </c>
      <c r="AC13" s="3">
        <v>930000</v>
      </c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256"/>
      <c r="AW13" s="256"/>
      <c r="AX13" s="256"/>
      <c r="AY13" s="256"/>
      <c r="AZ13" s="256"/>
      <c r="BA13" s="256"/>
      <c r="BB13" s="256"/>
      <c r="BC13" s="256"/>
      <c r="BD13" s="256"/>
    </row>
    <row r="14" spans="1:56" s="5" customFormat="1" ht="60">
      <c r="A14" s="127">
        <f t="shared" si="10"/>
        <v>10</v>
      </c>
      <c r="B14" s="19">
        <v>20176</v>
      </c>
      <c r="C14" s="127" t="s">
        <v>1205</v>
      </c>
      <c r="D14" s="112">
        <v>125000</v>
      </c>
      <c r="E14" s="112"/>
      <c r="F14" s="112">
        <f t="shared" ref="F14" si="11">D14-E14</f>
        <v>125000</v>
      </c>
      <c r="G14" s="112">
        <v>0</v>
      </c>
      <c r="H14" s="112"/>
      <c r="I14" s="112"/>
      <c r="J14" s="112"/>
      <c r="K14" s="112">
        <f t="shared" ref="K14" si="12">I14+J14</f>
        <v>0</v>
      </c>
      <c r="L14" s="112">
        <f t="shared" ref="L14" si="13">H14+K14</f>
        <v>0</v>
      </c>
      <c r="M14" s="112">
        <f t="shared" ref="M14" si="14">P14+S14</f>
        <v>0</v>
      </c>
      <c r="N14" s="112">
        <v>125000</v>
      </c>
      <c r="O14" s="112">
        <f t="shared" ref="O14" si="15">D14-L14-M14-N14</f>
        <v>0</v>
      </c>
      <c r="P14" s="112">
        <f t="shared" ref="P14" si="16">G14-L14</f>
        <v>0</v>
      </c>
      <c r="Q14" s="112"/>
      <c r="R14" s="112"/>
      <c r="S14" s="112">
        <f t="shared" ref="S14" si="17">SUM(Q14:R14)</f>
        <v>0</v>
      </c>
      <c r="T14" s="112">
        <f t="shared" ref="T14" si="18">P14-M14+S14</f>
        <v>0</v>
      </c>
      <c r="U14" s="112">
        <f t="shared" ref="U14" si="19">N14-T14</f>
        <v>125000</v>
      </c>
      <c r="V14" s="112">
        <f t="shared" ref="V14" si="20">U14-W14-Z14-AA14</f>
        <v>125000</v>
      </c>
      <c r="W14" s="112"/>
      <c r="X14" s="112"/>
      <c r="Y14" s="112"/>
      <c r="Z14" s="112"/>
      <c r="AA14" s="112"/>
      <c r="AB14" s="3" t="s">
        <v>1206</v>
      </c>
      <c r="AC14" s="3">
        <v>930000</v>
      </c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256"/>
      <c r="AV14" s="256"/>
      <c r="AW14" s="256"/>
      <c r="AX14" s="256"/>
      <c r="AY14" s="256"/>
      <c r="AZ14" s="256"/>
      <c r="BA14" s="256"/>
      <c r="BB14" s="256"/>
      <c r="BC14" s="256"/>
    </row>
    <row r="15" spans="1:56" s="40" customFormat="1" ht="30" customHeight="1">
      <c r="A15" s="236">
        <f>COUNT(A5:A14)</f>
        <v>10</v>
      </c>
      <c r="B15" s="20"/>
      <c r="C15" s="208" t="s">
        <v>75</v>
      </c>
      <c r="D15" s="236">
        <f>SUM(D5:D14)</f>
        <v>151256825</v>
      </c>
      <c r="E15" s="236">
        <f t="shared" ref="E15:AA15" si="21">SUM(E5:E14)</f>
        <v>117475000</v>
      </c>
      <c r="F15" s="236">
        <f t="shared" si="21"/>
        <v>33781825</v>
      </c>
      <c r="G15" s="236">
        <f t="shared" si="21"/>
        <v>59024325</v>
      </c>
      <c r="H15" s="236">
        <f t="shared" si="21"/>
        <v>47396801</v>
      </c>
      <c r="I15" s="236">
        <f t="shared" si="21"/>
        <v>0</v>
      </c>
      <c r="J15" s="236">
        <f t="shared" si="21"/>
        <v>0</v>
      </c>
      <c r="K15" s="236">
        <f t="shared" si="21"/>
        <v>0</v>
      </c>
      <c r="L15" s="236">
        <f t="shared" si="21"/>
        <v>47396801</v>
      </c>
      <c r="M15" s="236">
        <f t="shared" si="21"/>
        <v>12765024</v>
      </c>
      <c r="N15" s="236">
        <f t="shared" si="21"/>
        <v>20125000</v>
      </c>
      <c r="O15" s="236">
        <f t="shared" si="21"/>
        <v>70970000</v>
      </c>
      <c r="P15" s="236">
        <f t="shared" si="21"/>
        <v>11627524</v>
      </c>
      <c r="Q15" s="236">
        <f t="shared" si="21"/>
        <v>1137500</v>
      </c>
      <c r="R15" s="236">
        <f t="shared" si="21"/>
        <v>0</v>
      </c>
      <c r="S15" s="236">
        <f t="shared" si="21"/>
        <v>1137500</v>
      </c>
      <c r="T15" s="236">
        <f t="shared" si="21"/>
        <v>0</v>
      </c>
      <c r="U15" s="236">
        <f t="shared" si="21"/>
        <v>20125000</v>
      </c>
      <c r="V15" s="236">
        <f t="shared" si="21"/>
        <v>20125000</v>
      </c>
      <c r="W15" s="236">
        <f t="shared" si="21"/>
        <v>0</v>
      </c>
      <c r="X15" s="236">
        <f t="shared" si="21"/>
        <v>0</v>
      </c>
      <c r="Y15" s="236">
        <f t="shared" si="21"/>
        <v>0</v>
      </c>
      <c r="Z15" s="236">
        <f t="shared" si="21"/>
        <v>0</v>
      </c>
      <c r="AA15" s="236">
        <f t="shared" si="21"/>
        <v>0</v>
      </c>
      <c r="AB15" s="20"/>
      <c r="AC15" s="638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232"/>
      <c r="AP15" s="232"/>
      <c r="AQ15" s="232"/>
      <c r="AR15" s="232"/>
      <c r="AS15" s="232"/>
      <c r="AT15" s="232"/>
      <c r="AU15" s="232"/>
      <c r="AV15" s="312"/>
      <c r="AW15" s="312"/>
      <c r="AX15" s="312"/>
      <c r="AY15" s="312"/>
      <c r="AZ15" s="312"/>
      <c r="BA15" s="312"/>
      <c r="BB15" s="312"/>
      <c r="BC15" s="312"/>
      <c r="BD15" s="312"/>
    </row>
    <row r="16" spans="1:56" s="639" customFormat="1" hidden="1">
      <c r="D16" s="403">
        <f>SUM(L15:O15)</f>
        <v>151256825</v>
      </c>
      <c r="E16" s="640"/>
      <c r="F16" s="403">
        <f>D15-E15</f>
        <v>33781825</v>
      </c>
      <c r="G16" s="403"/>
      <c r="H16" s="403"/>
      <c r="I16" s="403"/>
      <c r="J16" s="403"/>
      <c r="K16" s="403"/>
      <c r="L16" s="403">
        <f>H15+K15</f>
        <v>47396801</v>
      </c>
      <c r="M16" s="403"/>
      <c r="N16" s="403"/>
      <c r="O16" s="403"/>
      <c r="P16" s="403">
        <f>G15-L16</f>
        <v>11627524</v>
      </c>
      <c r="Q16" s="403">
        <f>'ריכוז אגפים 2024'!AV15</f>
        <v>1137500</v>
      </c>
      <c r="R16" s="403">
        <f>'עדכוני תקציב 2024'!AE148</f>
        <v>0</v>
      </c>
      <c r="S16" s="403"/>
      <c r="T16" s="403">
        <f>P16+S15-M15</f>
        <v>0</v>
      </c>
      <c r="U16" s="403">
        <f>N15-T16</f>
        <v>20125000</v>
      </c>
      <c r="AO16" s="375"/>
      <c r="AP16" s="375"/>
      <c r="AQ16" s="375"/>
      <c r="AR16" s="375"/>
      <c r="AS16" s="375"/>
      <c r="AT16" s="375"/>
      <c r="AU16" s="375"/>
      <c r="AV16" s="375"/>
    </row>
    <row r="17" ht="22.5" customHeight="1"/>
    <row r="19" ht="47.25" customHeight="1"/>
    <row r="21" ht="36.75" customHeight="1"/>
    <row r="25" ht="45" customHeight="1"/>
    <row r="27" ht="58.5" customHeight="1"/>
    <row r="28" ht="50.25" customHeight="1"/>
    <row r="35" ht="51.75" customHeight="1"/>
    <row r="36" ht="35.25" customHeight="1"/>
    <row r="37" ht="31.5" customHeight="1"/>
    <row r="42" ht="37.5" customHeight="1"/>
    <row r="53" ht="48.75" customHeight="1"/>
    <row r="54" ht="31.5" customHeight="1"/>
    <row r="56" ht="45.75" customHeight="1"/>
    <row r="58" ht="33.75" customHeight="1"/>
    <row r="61" ht="27.75" customHeight="1"/>
    <row r="107" spans="1:1">
      <c r="A107" s="123">
        <f>COUNT(A5:A106)</f>
        <v>11</v>
      </c>
    </row>
    <row r="110" spans="1:1">
      <c r="A110" s="123">
        <f>A107+1</f>
        <v>12</v>
      </c>
    </row>
    <row r="113" ht="37.9" customHeight="1"/>
    <row r="116" ht="70.900000000000006" customHeight="1"/>
    <row r="119" ht="72" customHeight="1"/>
    <row r="121" ht="43.9" customHeight="1"/>
    <row r="123" ht="30" customHeight="1"/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236" priority="14" operator="equal">
      <formula>0</formula>
    </cfRule>
  </conditionalFormatting>
  <conditionalFormatting sqref="AN4">
    <cfRule type="cellIs" dxfId="235" priority="1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9D0E-0BD3-456D-B192-40464EA27871}">
  <dimension ref="A1:BD123"/>
  <sheetViews>
    <sheetView showZeros="0" rightToLeft="1" zoomScaleNormal="100" workbookViewId="0">
      <pane xSplit="3" ySplit="4" topLeftCell="D8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8.85546875" defaultRowHeight="15"/>
  <cols>
    <col min="1" max="1" width="3.7109375" style="123" customWidth="1"/>
    <col min="2" max="2" width="5.7109375" style="123" customWidth="1"/>
    <col min="3" max="3" width="28" style="123" customWidth="1"/>
    <col min="4" max="4" width="11.140625" style="124" customWidth="1"/>
    <col min="5" max="5" width="11.140625" style="124" hidden="1" customWidth="1"/>
    <col min="6" max="6" width="10.7109375" style="124" hidden="1" customWidth="1"/>
    <col min="7" max="11" width="9.85546875" style="124" hidden="1" customWidth="1"/>
    <col min="12" max="12" width="9.85546875" style="124" customWidth="1"/>
    <col min="13" max="13" width="10.140625" style="124" customWidth="1"/>
    <col min="14" max="14" width="10.85546875" style="124" customWidth="1"/>
    <col min="15" max="15" width="10.28515625" style="124" customWidth="1"/>
    <col min="16" max="19" width="9.85546875" style="124" hidden="1" customWidth="1"/>
    <col min="20" max="20" width="10.140625" style="124" hidden="1" customWidth="1"/>
    <col min="21" max="22" width="10.85546875" style="123" customWidth="1"/>
    <col min="23" max="23" width="9.85546875" style="123" hidden="1" customWidth="1"/>
    <col min="24" max="24" width="8.5703125" style="123" hidden="1" customWidth="1"/>
    <col min="25" max="27" width="9.85546875" style="123" hidden="1" customWidth="1"/>
    <col min="28" max="28" width="37.140625" style="123" customWidth="1"/>
    <col min="29" max="29" width="7" style="123" customWidth="1"/>
    <col min="30" max="31" width="14.140625" style="123" customWidth="1"/>
    <col min="32" max="32" width="22.28515625" style="123" customWidth="1"/>
    <col min="33" max="33" width="10.7109375" style="123" customWidth="1"/>
    <col min="34" max="34" width="26" style="123" customWidth="1"/>
    <col min="35" max="35" width="10.85546875" style="123" customWidth="1"/>
    <col min="36" max="36" width="12.140625" style="123" customWidth="1"/>
    <col min="37" max="37" width="10.85546875" style="123" customWidth="1"/>
    <col min="38" max="38" width="22.28515625" style="123" customWidth="1"/>
    <col min="39" max="39" width="10.7109375" style="123" customWidth="1"/>
    <col min="40" max="40" width="18.140625" style="123" customWidth="1"/>
    <col min="41" max="47" width="10.7109375" style="133" customWidth="1"/>
    <col min="48" max="48" width="8.85546875" style="133"/>
    <col min="49" max="16384" width="8.85546875" style="123"/>
  </cols>
  <sheetData>
    <row r="1" spans="1:56" s="132" customFormat="1" ht="18.7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33"/>
      <c r="AP1" s="133"/>
      <c r="AQ1" s="133"/>
      <c r="AR1" s="133"/>
      <c r="AS1" s="133"/>
      <c r="AT1" s="133"/>
      <c r="AU1" s="133"/>
      <c r="AV1" s="133"/>
    </row>
    <row r="2" spans="1:56" ht="18.75">
      <c r="A2" s="145" t="s">
        <v>241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Z2" s="145"/>
    </row>
    <row r="3" spans="1:56" ht="21" customHeight="1">
      <c r="V3" s="145"/>
      <c r="W3" s="145"/>
      <c r="X3" s="145"/>
      <c r="Y3" s="145"/>
      <c r="Z3" s="145"/>
      <c r="AA3" s="145"/>
    </row>
    <row r="4" spans="1:56" s="133" customFormat="1" ht="90">
      <c r="A4" s="122" t="s">
        <v>0</v>
      </c>
      <c r="B4" s="122" t="s">
        <v>1</v>
      </c>
      <c r="C4" s="122" t="s">
        <v>2</v>
      </c>
      <c r="D4" s="122" t="s">
        <v>3</v>
      </c>
      <c r="E4" s="122" t="s">
        <v>4</v>
      </c>
      <c r="F4" s="122" t="s">
        <v>5</v>
      </c>
      <c r="G4" s="122" t="s">
        <v>6</v>
      </c>
      <c r="H4" s="122" t="s">
        <v>7</v>
      </c>
      <c r="I4" s="122" t="s">
        <v>9</v>
      </c>
      <c r="J4" s="122" t="s">
        <v>101</v>
      </c>
      <c r="K4" s="122" t="s">
        <v>10</v>
      </c>
      <c r="L4" s="122" t="s">
        <v>11</v>
      </c>
      <c r="M4" s="122" t="s">
        <v>793</v>
      </c>
      <c r="N4" s="122" t="s">
        <v>794</v>
      </c>
      <c r="O4" s="2" t="s">
        <v>795</v>
      </c>
      <c r="P4" s="2" t="s">
        <v>12</v>
      </c>
      <c r="Q4" s="2" t="s">
        <v>796</v>
      </c>
      <c r="R4" s="2" t="s">
        <v>797</v>
      </c>
      <c r="S4" s="2" t="s">
        <v>798</v>
      </c>
      <c r="T4" s="2" t="s">
        <v>799</v>
      </c>
      <c r="U4" s="2" t="s">
        <v>800</v>
      </c>
      <c r="V4" s="122" t="s">
        <v>13</v>
      </c>
      <c r="W4" s="122" t="s">
        <v>14</v>
      </c>
      <c r="X4" s="122" t="s">
        <v>15</v>
      </c>
      <c r="Y4" s="122" t="s">
        <v>185</v>
      </c>
      <c r="Z4" s="122" t="s">
        <v>385</v>
      </c>
      <c r="AA4" s="122" t="s">
        <v>67</v>
      </c>
      <c r="AB4" s="513" t="s">
        <v>207</v>
      </c>
      <c r="AC4" s="122" t="s">
        <v>16</v>
      </c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</row>
    <row r="5" spans="1:56" s="126" customFormat="1" ht="30">
      <c r="A5" s="127">
        <v>1</v>
      </c>
      <c r="B5" s="127">
        <v>470</v>
      </c>
      <c r="C5" s="127" t="s">
        <v>54</v>
      </c>
      <c r="D5" s="112">
        <v>2130000</v>
      </c>
      <c r="E5" s="112">
        <v>2130000</v>
      </c>
      <c r="F5" s="112">
        <f t="shared" ref="F5:F12" si="0">D5-E5</f>
        <v>0</v>
      </c>
      <c r="G5" s="112">
        <v>1830000</v>
      </c>
      <c r="H5" s="112">
        <v>1737007</v>
      </c>
      <c r="I5" s="112">
        <v>0</v>
      </c>
      <c r="J5" s="112">
        <v>0</v>
      </c>
      <c r="K5" s="112">
        <f>SUM(I5:J5)</f>
        <v>0</v>
      </c>
      <c r="L5" s="112">
        <f t="shared" ref="L5:L12" si="1">H5+K5</f>
        <v>1737007</v>
      </c>
      <c r="M5" s="112">
        <f>P5+S5</f>
        <v>92993</v>
      </c>
      <c r="N5" s="112"/>
      <c r="O5" s="112">
        <f t="shared" ref="O5:O12" si="2">D5-L5-M5-N5</f>
        <v>300000</v>
      </c>
      <c r="P5" s="112">
        <f t="shared" ref="P5:P12" si="3">G5-L5</f>
        <v>92993</v>
      </c>
      <c r="Q5" s="112"/>
      <c r="R5" s="112"/>
      <c r="S5" s="112">
        <f t="shared" ref="S5:S12" si="4">SUM(Q5:R5)</f>
        <v>0</v>
      </c>
      <c r="T5" s="112">
        <f t="shared" ref="T5:T12" si="5">P5-M5+S5</f>
        <v>0</v>
      </c>
      <c r="U5" s="112">
        <f t="shared" ref="U5:U12" si="6">N5-T5</f>
        <v>0</v>
      </c>
      <c r="V5" s="112">
        <f t="shared" ref="V5:V12" si="7">U5-W5-Z5-AA5</f>
        <v>0</v>
      </c>
      <c r="W5" s="112"/>
      <c r="X5" s="112"/>
      <c r="Y5" s="112"/>
      <c r="Z5" s="112"/>
      <c r="AA5" s="127"/>
      <c r="AB5" s="207" t="s">
        <v>239</v>
      </c>
      <c r="AC5" s="127">
        <v>935000</v>
      </c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33"/>
      <c r="AP5" s="133"/>
      <c r="AQ5" s="133"/>
      <c r="AR5" s="133"/>
      <c r="AS5" s="133"/>
      <c r="AT5" s="133"/>
      <c r="AU5" s="133"/>
      <c r="AV5" s="133"/>
    </row>
    <row r="6" spans="1:56" s="126" customFormat="1" ht="30">
      <c r="A6" s="127">
        <f>A5+1</f>
        <v>2</v>
      </c>
      <c r="B6" s="127">
        <v>1066</v>
      </c>
      <c r="C6" s="127" t="s">
        <v>55</v>
      </c>
      <c r="D6" s="112">
        <v>75000</v>
      </c>
      <c r="E6" s="112">
        <v>75000</v>
      </c>
      <c r="F6" s="112">
        <f t="shared" si="0"/>
        <v>0</v>
      </c>
      <c r="G6" s="112">
        <v>75000</v>
      </c>
      <c r="H6" s="112">
        <v>40172</v>
      </c>
      <c r="I6" s="112">
        <v>0</v>
      </c>
      <c r="J6" s="112">
        <v>0</v>
      </c>
      <c r="K6" s="112">
        <f t="shared" ref="K6:K12" si="8">SUM(I6:J6)</f>
        <v>0</v>
      </c>
      <c r="L6" s="112">
        <f t="shared" si="1"/>
        <v>40172</v>
      </c>
      <c r="M6" s="112">
        <f t="shared" ref="M6:M14" si="9">P6+S6</f>
        <v>34828</v>
      </c>
      <c r="N6" s="112"/>
      <c r="O6" s="112">
        <f t="shared" si="2"/>
        <v>0</v>
      </c>
      <c r="P6" s="112">
        <f t="shared" si="3"/>
        <v>34828</v>
      </c>
      <c r="Q6" s="112"/>
      <c r="R6" s="112"/>
      <c r="S6" s="112">
        <f t="shared" si="4"/>
        <v>0</v>
      </c>
      <c r="T6" s="112">
        <f t="shared" si="5"/>
        <v>0</v>
      </c>
      <c r="U6" s="112">
        <f t="shared" si="6"/>
        <v>0</v>
      </c>
      <c r="V6" s="112">
        <f t="shared" si="7"/>
        <v>0</v>
      </c>
      <c r="W6" s="112"/>
      <c r="X6" s="112"/>
      <c r="Y6" s="112"/>
      <c r="Z6" s="112"/>
      <c r="AA6" s="127"/>
      <c r="AB6" s="213" t="s">
        <v>253</v>
      </c>
      <c r="AC6" s="127">
        <v>935000</v>
      </c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33"/>
      <c r="AP6" s="133"/>
      <c r="AQ6" s="133"/>
      <c r="AR6" s="133"/>
      <c r="AS6" s="133"/>
      <c r="AT6" s="133"/>
      <c r="AU6" s="133"/>
      <c r="AV6" s="133"/>
    </row>
    <row r="7" spans="1:56" s="126" customFormat="1" ht="45">
      <c r="A7" s="127">
        <f t="shared" ref="A7:A14" si="10">A6+1</f>
        <v>3</v>
      </c>
      <c r="B7" s="127">
        <v>1177</v>
      </c>
      <c r="C7" s="127" t="s">
        <v>882</v>
      </c>
      <c r="D7" s="112">
        <f>41850000+77107000</f>
        <v>118957000</v>
      </c>
      <c r="E7" s="112">
        <v>41850000</v>
      </c>
      <c r="F7" s="112">
        <f t="shared" si="0"/>
        <v>77107000</v>
      </c>
      <c r="G7" s="112">
        <v>28957000</v>
      </c>
      <c r="H7" s="112">
        <v>26879753</v>
      </c>
      <c r="I7" s="112">
        <v>0</v>
      </c>
      <c r="J7" s="112">
        <v>0</v>
      </c>
      <c r="K7" s="112">
        <f t="shared" si="8"/>
        <v>0</v>
      </c>
      <c r="L7" s="112">
        <f t="shared" si="1"/>
        <v>26879753</v>
      </c>
      <c r="M7" s="112">
        <f t="shared" si="9"/>
        <v>2077247</v>
      </c>
      <c r="N7" s="112">
        <f>90000000-40000000-30000000</f>
        <v>20000000</v>
      </c>
      <c r="O7" s="112">
        <f t="shared" si="2"/>
        <v>70000000</v>
      </c>
      <c r="P7" s="112">
        <f t="shared" si="3"/>
        <v>2077247</v>
      </c>
      <c r="Q7" s="112"/>
      <c r="R7" s="112"/>
      <c r="S7" s="112">
        <f t="shared" si="4"/>
        <v>0</v>
      </c>
      <c r="T7" s="112">
        <f t="shared" si="5"/>
        <v>0</v>
      </c>
      <c r="U7" s="112">
        <f t="shared" si="6"/>
        <v>20000000</v>
      </c>
      <c r="V7" s="112">
        <f t="shared" si="7"/>
        <v>20000000</v>
      </c>
      <c r="W7" s="112"/>
      <c r="X7" s="112"/>
      <c r="Y7" s="112"/>
      <c r="Z7" s="112"/>
      <c r="AA7" s="127"/>
      <c r="AB7" s="213" t="s">
        <v>1306</v>
      </c>
      <c r="AC7" s="127">
        <v>930000</v>
      </c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33"/>
      <c r="AP7" s="133"/>
      <c r="AQ7" s="133"/>
      <c r="AR7" s="133"/>
      <c r="AS7" s="133"/>
      <c r="AT7" s="133"/>
      <c r="AU7" s="133"/>
      <c r="AV7" s="133"/>
    </row>
    <row r="8" spans="1:56" s="126" customFormat="1" ht="36.75" customHeight="1">
      <c r="A8" s="127">
        <f t="shared" si="10"/>
        <v>4</v>
      </c>
      <c r="B8" s="127">
        <v>1258</v>
      </c>
      <c r="C8" s="127" t="s">
        <v>56</v>
      </c>
      <c r="D8" s="112">
        <v>1400000</v>
      </c>
      <c r="E8" s="112">
        <v>1400000</v>
      </c>
      <c r="F8" s="112">
        <f t="shared" si="0"/>
        <v>0</v>
      </c>
      <c r="G8" s="112">
        <v>1200000</v>
      </c>
      <c r="H8" s="112">
        <v>977565</v>
      </c>
      <c r="I8" s="112">
        <v>0</v>
      </c>
      <c r="J8" s="112">
        <v>0</v>
      </c>
      <c r="K8" s="112">
        <f t="shared" si="8"/>
        <v>0</v>
      </c>
      <c r="L8" s="112">
        <f t="shared" si="1"/>
        <v>977565</v>
      </c>
      <c r="M8" s="112">
        <f t="shared" si="9"/>
        <v>222435</v>
      </c>
      <c r="N8" s="112"/>
      <c r="O8" s="112">
        <f t="shared" si="2"/>
        <v>200000</v>
      </c>
      <c r="P8" s="112">
        <f t="shared" si="3"/>
        <v>222435</v>
      </c>
      <c r="Q8" s="112"/>
      <c r="R8" s="112"/>
      <c r="S8" s="112">
        <f t="shared" si="4"/>
        <v>0</v>
      </c>
      <c r="T8" s="112">
        <f t="shared" si="5"/>
        <v>0</v>
      </c>
      <c r="U8" s="112">
        <f t="shared" si="6"/>
        <v>0</v>
      </c>
      <c r="V8" s="112">
        <f t="shared" si="7"/>
        <v>0</v>
      </c>
      <c r="W8" s="112"/>
      <c r="X8" s="112"/>
      <c r="Y8" s="112"/>
      <c r="Z8" s="112"/>
      <c r="AA8" s="127"/>
      <c r="AB8" s="203" t="s">
        <v>206</v>
      </c>
      <c r="AC8" s="127">
        <v>930000</v>
      </c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33"/>
      <c r="AP8" s="133"/>
      <c r="AQ8" s="133"/>
      <c r="AR8" s="133"/>
      <c r="AS8" s="133"/>
      <c r="AT8" s="133"/>
      <c r="AU8" s="133"/>
      <c r="AV8" s="133"/>
    </row>
    <row r="9" spans="1:56" s="126" customFormat="1" ht="45">
      <c r="A9" s="127">
        <f t="shared" si="10"/>
        <v>5</v>
      </c>
      <c r="B9" s="127">
        <v>1330</v>
      </c>
      <c r="C9" s="127" t="s">
        <v>57</v>
      </c>
      <c r="D9" s="112">
        <f>60700000-43450175</f>
        <v>17249825</v>
      </c>
      <c r="E9" s="112">
        <v>60700000</v>
      </c>
      <c r="F9" s="112">
        <f t="shared" si="0"/>
        <v>-43450175</v>
      </c>
      <c r="G9" s="112">
        <v>17249825</v>
      </c>
      <c r="H9" s="112">
        <v>8241208</v>
      </c>
      <c r="I9" s="112">
        <v>0</v>
      </c>
      <c r="J9" s="112">
        <f>21341-21341</f>
        <v>0</v>
      </c>
      <c r="K9" s="112">
        <f t="shared" si="8"/>
        <v>0</v>
      </c>
      <c r="L9" s="112">
        <f t="shared" si="1"/>
        <v>8241208</v>
      </c>
      <c r="M9" s="112">
        <f>P9+S9</f>
        <v>9008617</v>
      </c>
      <c r="N9" s="112"/>
      <c r="O9" s="112">
        <f t="shared" si="2"/>
        <v>0</v>
      </c>
      <c r="P9" s="112">
        <f t="shared" si="3"/>
        <v>9008617</v>
      </c>
      <c r="Q9" s="112"/>
      <c r="R9" s="112"/>
      <c r="S9" s="112">
        <f t="shared" si="4"/>
        <v>0</v>
      </c>
      <c r="T9" s="112">
        <f t="shared" si="5"/>
        <v>0</v>
      </c>
      <c r="U9" s="112">
        <f t="shared" si="6"/>
        <v>0</v>
      </c>
      <c r="V9" s="112">
        <f t="shared" si="7"/>
        <v>0</v>
      </c>
      <c r="W9" s="112"/>
      <c r="X9" s="112"/>
      <c r="Y9" s="112"/>
      <c r="Z9" s="112"/>
      <c r="AA9" s="127"/>
      <c r="AB9" s="213" t="s">
        <v>1307</v>
      </c>
      <c r="AC9" s="127">
        <v>930000</v>
      </c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33"/>
      <c r="AP9" s="133"/>
      <c r="AQ9" s="133"/>
      <c r="AR9" s="133"/>
      <c r="AS9" s="133"/>
      <c r="AT9" s="133"/>
      <c r="AU9" s="133"/>
      <c r="AV9" s="133"/>
    </row>
    <row r="10" spans="1:56" s="126" customFormat="1" ht="46.5" customHeight="1">
      <c r="A10" s="127">
        <f t="shared" si="10"/>
        <v>6</v>
      </c>
      <c r="B10" s="127">
        <v>1993</v>
      </c>
      <c r="C10" s="127" t="s">
        <v>104</v>
      </c>
      <c r="D10" s="112">
        <v>6000000</v>
      </c>
      <c r="E10" s="112">
        <v>6000000</v>
      </c>
      <c r="F10" s="112">
        <f t="shared" si="0"/>
        <v>0</v>
      </c>
      <c r="G10" s="112">
        <v>6000000</v>
      </c>
      <c r="H10" s="112">
        <v>5968176</v>
      </c>
      <c r="I10" s="112">
        <v>0</v>
      </c>
      <c r="J10" s="112">
        <v>0</v>
      </c>
      <c r="K10" s="112">
        <f t="shared" si="8"/>
        <v>0</v>
      </c>
      <c r="L10" s="112">
        <f t="shared" si="1"/>
        <v>5968176</v>
      </c>
      <c r="M10" s="112">
        <f t="shared" si="9"/>
        <v>31824</v>
      </c>
      <c r="N10" s="112"/>
      <c r="O10" s="112">
        <f t="shared" si="2"/>
        <v>0</v>
      </c>
      <c r="P10" s="112">
        <f t="shared" si="3"/>
        <v>31824</v>
      </c>
      <c r="Q10" s="112"/>
      <c r="R10" s="112"/>
      <c r="S10" s="112">
        <f t="shared" si="4"/>
        <v>0</v>
      </c>
      <c r="T10" s="112">
        <f t="shared" si="5"/>
        <v>0</v>
      </c>
      <c r="U10" s="112">
        <f t="shared" si="6"/>
        <v>0</v>
      </c>
      <c r="V10" s="112">
        <f t="shared" si="7"/>
        <v>0</v>
      </c>
      <c r="W10" s="112"/>
      <c r="X10" s="112"/>
      <c r="Y10" s="112"/>
      <c r="Z10" s="112"/>
      <c r="AA10" s="127"/>
      <c r="AB10" s="213" t="s">
        <v>240</v>
      </c>
      <c r="AC10" s="127">
        <v>930000</v>
      </c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33"/>
      <c r="AP10" s="133"/>
      <c r="AQ10" s="133"/>
      <c r="AR10" s="133"/>
      <c r="AS10" s="133"/>
      <c r="AT10" s="133"/>
      <c r="AU10" s="133"/>
      <c r="AV10" s="133"/>
    </row>
    <row r="11" spans="1:56" s="126" customFormat="1" ht="30">
      <c r="A11" s="127">
        <f t="shared" si="10"/>
        <v>7</v>
      </c>
      <c r="B11" s="127">
        <v>2055</v>
      </c>
      <c r="C11" s="127" t="s">
        <v>238</v>
      </c>
      <c r="D11" s="112">
        <v>220000</v>
      </c>
      <c r="E11" s="112">
        <v>220000</v>
      </c>
      <c r="F11" s="112">
        <f t="shared" si="0"/>
        <v>0</v>
      </c>
      <c r="G11" s="112">
        <v>200000</v>
      </c>
      <c r="H11" s="112">
        <v>122292</v>
      </c>
      <c r="I11" s="112">
        <v>0</v>
      </c>
      <c r="J11" s="112">
        <v>0</v>
      </c>
      <c r="K11" s="112">
        <f t="shared" si="8"/>
        <v>0</v>
      </c>
      <c r="L11" s="112">
        <f t="shared" si="1"/>
        <v>122292</v>
      </c>
      <c r="M11" s="112">
        <f t="shared" si="9"/>
        <v>77708</v>
      </c>
      <c r="N11" s="112"/>
      <c r="O11" s="112">
        <f t="shared" si="2"/>
        <v>20000</v>
      </c>
      <c r="P11" s="112">
        <f t="shared" si="3"/>
        <v>77708</v>
      </c>
      <c r="Q11" s="112"/>
      <c r="R11" s="112"/>
      <c r="S11" s="112">
        <f t="shared" si="4"/>
        <v>0</v>
      </c>
      <c r="T11" s="112">
        <f t="shared" si="5"/>
        <v>0</v>
      </c>
      <c r="U11" s="112">
        <f t="shared" si="6"/>
        <v>0</v>
      </c>
      <c r="V11" s="112">
        <f t="shared" si="7"/>
        <v>0</v>
      </c>
      <c r="W11" s="112"/>
      <c r="X11" s="112"/>
      <c r="Y11" s="112"/>
      <c r="Z11" s="112"/>
      <c r="AA11" s="127"/>
      <c r="AB11" s="213" t="s">
        <v>254</v>
      </c>
      <c r="AC11" s="127">
        <v>930000</v>
      </c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33"/>
      <c r="AP11" s="133"/>
      <c r="AQ11" s="133"/>
      <c r="AR11" s="133"/>
      <c r="AS11" s="133"/>
      <c r="AT11" s="133"/>
      <c r="AU11" s="133"/>
      <c r="AV11" s="133"/>
    </row>
    <row r="12" spans="1:56" s="126" customFormat="1" ht="31.5" customHeight="1">
      <c r="A12" s="127">
        <f t="shared" si="10"/>
        <v>8</v>
      </c>
      <c r="B12" s="127">
        <v>2072</v>
      </c>
      <c r="C12" s="127" t="s">
        <v>272</v>
      </c>
      <c r="D12" s="112">
        <v>100000</v>
      </c>
      <c r="E12" s="112">
        <v>100000</v>
      </c>
      <c r="F12" s="112">
        <f t="shared" si="0"/>
        <v>0</v>
      </c>
      <c r="G12" s="112">
        <v>100000</v>
      </c>
      <c r="H12" s="112">
        <v>33398</v>
      </c>
      <c r="I12" s="112">
        <v>0</v>
      </c>
      <c r="J12" s="112">
        <v>0</v>
      </c>
      <c r="K12" s="112">
        <f t="shared" si="8"/>
        <v>0</v>
      </c>
      <c r="L12" s="112">
        <f t="shared" si="1"/>
        <v>33398</v>
      </c>
      <c r="M12" s="112">
        <f t="shared" si="9"/>
        <v>66602</v>
      </c>
      <c r="N12" s="112"/>
      <c r="O12" s="112">
        <f t="shared" si="2"/>
        <v>0</v>
      </c>
      <c r="P12" s="112">
        <f t="shared" si="3"/>
        <v>66602</v>
      </c>
      <c r="Q12" s="112"/>
      <c r="R12" s="112"/>
      <c r="S12" s="112">
        <f t="shared" si="4"/>
        <v>0</v>
      </c>
      <c r="T12" s="112">
        <f t="shared" si="5"/>
        <v>0</v>
      </c>
      <c r="U12" s="112">
        <f t="shared" si="6"/>
        <v>0</v>
      </c>
      <c r="V12" s="112">
        <f t="shared" si="7"/>
        <v>0</v>
      </c>
      <c r="W12" s="112"/>
      <c r="X12" s="112"/>
      <c r="Y12" s="112"/>
      <c r="Z12" s="112"/>
      <c r="AA12" s="127"/>
      <c r="AB12" s="213" t="s">
        <v>255</v>
      </c>
      <c r="AC12" s="127">
        <v>930000</v>
      </c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33"/>
      <c r="AP12" s="133"/>
      <c r="AQ12" s="133"/>
      <c r="AR12" s="133"/>
      <c r="AS12" s="133"/>
      <c r="AT12" s="133"/>
      <c r="AU12" s="133"/>
      <c r="AV12" s="133"/>
    </row>
    <row r="13" spans="1:56" s="5" customFormat="1" ht="60">
      <c r="A13" s="127">
        <f t="shared" si="10"/>
        <v>9</v>
      </c>
      <c r="B13" s="19">
        <v>20135</v>
      </c>
      <c r="C13" s="127" t="s">
        <v>749</v>
      </c>
      <c r="D13" s="112">
        <v>5000000</v>
      </c>
      <c r="E13" s="112">
        <v>5000000</v>
      </c>
      <c r="F13" s="112">
        <f>D13-E13</f>
        <v>0</v>
      </c>
      <c r="G13" s="112">
        <v>3412500</v>
      </c>
      <c r="H13" s="112">
        <v>3397230</v>
      </c>
      <c r="I13" s="112">
        <v>0</v>
      </c>
      <c r="J13" s="112">
        <v>0</v>
      </c>
      <c r="K13" s="112">
        <f>I13+J13</f>
        <v>0</v>
      </c>
      <c r="L13" s="112">
        <f>H13+K13</f>
        <v>3397230</v>
      </c>
      <c r="M13" s="112">
        <f t="shared" si="9"/>
        <v>1152770</v>
      </c>
      <c r="N13" s="112"/>
      <c r="O13" s="112">
        <f>D13-L13-M13-N13</f>
        <v>450000</v>
      </c>
      <c r="P13" s="112">
        <f>G13-L13</f>
        <v>15270</v>
      </c>
      <c r="Q13" s="112">
        <v>1137500</v>
      </c>
      <c r="R13" s="112"/>
      <c r="S13" s="112">
        <f>SUM(Q13:R13)</f>
        <v>1137500</v>
      </c>
      <c r="T13" s="112">
        <f>P13-M13+S13</f>
        <v>0</v>
      </c>
      <c r="U13" s="112">
        <f>N13-T13</f>
        <v>0</v>
      </c>
      <c r="V13" s="112">
        <f>U13-W13-Z13-AA13</f>
        <v>0</v>
      </c>
      <c r="W13" s="112"/>
      <c r="X13" s="112"/>
      <c r="Y13" s="112"/>
      <c r="Z13" s="112"/>
      <c r="AA13" s="112"/>
      <c r="AB13" s="3" t="s">
        <v>750</v>
      </c>
      <c r="AC13" s="3">
        <v>930000</v>
      </c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256"/>
      <c r="AW13" s="256"/>
      <c r="AX13" s="256"/>
      <c r="AY13" s="256"/>
      <c r="AZ13" s="256"/>
      <c r="BA13" s="256"/>
      <c r="BB13" s="256"/>
      <c r="BC13" s="256"/>
      <c r="BD13" s="256"/>
    </row>
    <row r="14" spans="1:56" s="5" customFormat="1" ht="45">
      <c r="A14" s="127">
        <f t="shared" si="10"/>
        <v>10</v>
      </c>
      <c r="B14" s="19"/>
      <c r="C14" s="127" t="s">
        <v>1205</v>
      </c>
      <c r="D14" s="112">
        <v>125000</v>
      </c>
      <c r="E14" s="112"/>
      <c r="F14" s="112">
        <f t="shared" ref="F14" si="11">D14-E14</f>
        <v>125000</v>
      </c>
      <c r="G14" s="112">
        <v>0</v>
      </c>
      <c r="H14" s="112"/>
      <c r="I14" s="112"/>
      <c r="J14" s="112"/>
      <c r="K14" s="112">
        <f t="shared" ref="K14" si="12">I14+J14</f>
        <v>0</v>
      </c>
      <c r="L14" s="112">
        <f t="shared" ref="L14" si="13">H14+K14</f>
        <v>0</v>
      </c>
      <c r="M14" s="112">
        <f t="shared" si="9"/>
        <v>0</v>
      </c>
      <c r="N14" s="112">
        <v>125000</v>
      </c>
      <c r="O14" s="112">
        <f t="shared" ref="O14" si="14">D14-L14-M14-N14</f>
        <v>0</v>
      </c>
      <c r="P14" s="112">
        <f t="shared" ref="P14" si="15">G14-L14</f>
        <v>0</v>
      </c>
      <c r="Q14" s="112"/>
      <c r="R14" s="112"/>
      <c r="S14" s="112">
        <f t="shared" ref="S14" si="16">SUM(Q14:R14)</f>
        <v>0</v>
      </c>
      <c r="T14" s="112">
        <f t="shared" ref="T14" si="17">P14-M14+S14</f>
        <v>0</v>
      </c>
      <c r="U14" s="112">
        <f t="shared" ref="U14" si="18">N14-T14</f>
        <v>125000</v>
      </c>
      <c r="V14" s="112">
        <f t="shared" ref="V14" si="19">U14-W14-Z14-AA14</f>
        <v>125000</v>
      </c>
      <c r="W14" s="112"/>
      <c r="X14" s="112"/>
      <c r="Y14" s="112"/>
      <c r="Z14" s="112"/>
      <c r="AA14" s="112"/>
      <c r="AB14" s="3" t="s">
        <v>1206</v>
      </c>
      <c r="AC14" s="3">
        <v>930000</v>
      </c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256"/>
      <c r="AV14" s="256"/>
      <c r="AW14" s="256"/>
      <c r="AX14" s="256"/>
      <c r="AY14" s="256"/>
      <c r="AZ14" s="256"/>
      <c r="BA14" s="256"/>
      <c r="BB14" s="256"/>
      <c r="BC14" s="256"/>
    </row>
    <row r="15" spans="1:56" s="40" customFormat="1" ht="33" customHeight="1">
      <c r="A15" s="236">
        <f>COUNT(A5:A14)</f>
        <v>10</v>
      </c>
      <c r="B15" s="20"/>
      <c r="C15" s="208" t="s">
        <v>75</v>
      </c>
      <c r="D15" s="236">
        <f>SUM(D5:D14)</f>
        <v>151256825</v>
      </c>
      <c r="E15" s="236">
        <f t="shared" ref="E15:AA15" si="20">SUM(E5:E14)</f>
        <v>117475000</v>
      </c>
      <c r="F15" s="236">
        <f t="shared" si="20"/>
        <v>33781825</v>
      </c>
      <c r="G15" s="236">
        <f t="shared" si="20"/>
        <v>59024325</v>
      </c>
      <c r="H15" s="236">
        <f t="shared" si="20"/>
        <v>47396801</v>
      </c>
      <c r="I15" s="236">
        <f t="shared" si="20"/>
        <v>0</v>
      </c>
      <c r="J15" s="236">
        <f t="shared" si="20"/>
        <v>0</v>
      </c>
      <c r="K15" s="236">
        <f t="shared" si="20"/>
        <v>0</v>
      </c>
      <c r="L15" s="236">
        <f t="shared" si="20"/>
        <v>47396801</v>
      </c>
      <c r="M15" s="236">
        <f t="shared" si="20"/>
        <v>12765024</v>
      </c>
      <c r="N15" s="236">
        <f t="shared" si="20"/>
        <v>20125000</v>
      </c>
      <c r="O15" s="236">
        <f t="shared" si="20"/>
        <v>70970000</v>
      </c>
      <c r="P15" s="236">
        <f t="shared" si="20"/>
        <v>11627524</v>
      </c>
      <c r="Q15" s="236">
        <f t="shared" si="20"/>
        <v>1137500</v>
      </c>
      <c r="R15" s="236">
        <f t="shared" si="20"/>
        <v>0</v>
      </c>
      <c r="S15" s="236">
        <f t="shared" si="20"/>
        <v>1137500</v>
      </c>
      <c r="T15" s="236">
        <f t="shared" si="20"/>
        <v>0</v>
      </c>
      <c r="U15" s="236">
        <f t="shared" si="20"/>
        <v>20125000</v>
      </c>
      <c r="V15" s="236">
        <f t="shared" si="20"/>
        <v>20125000</v>
      </c>
      <c r="W15" s="236">
        <f t="shared" si="20"/>
        <v>0</v>
      </c>
      <c r="X15" s="236">
        <f t="shared" si="20"/>
        <v>0</v>
      </c>
      <c r="Y15" s="236">
        <f t="shared" si="20"/>
        <v>0</v>
      </c>
      <c r="Z15" s="236">
        <f t="shared" si="20"/>
        <v>0</v>
      </c>
      <c r="AA15" s="236">
        <f t="shared" si="20"/>
        <v>0</v>
      </c>
      <c r="AB15" s="20"/>
      <c r="AC15" s="20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232"/>
      <c r="AP15" s="232"/>
      <c r="AQ15" s="232"/>
      <c r="AR15" s="232"/>
      <c r="AS15" s="232"/>
      <c r="AT15" s="232"/>
      <c r="AU15" s="232"/>
      <c r="AV15" s="312"/>
      <c r="AW15" s="312"/>
      <c r="AX15" s="312"/>
      <c r="AY15" s="312"/>
      <c r="AZ15" s="312"/>
      <c r="BA15" s="312"/>
      <c r="BB15" s="312"/>
      <c r="BC15" s="312"/>
      <c r="BD15" s="312"/>
    </row>
    <row r="16" spans="1:56" s="639" customFormat="1" hidden="1">
      <c r="D16" s="403">
        <f>SUM(L15:O15)</f>
        <v>151256825</v>
      </c>
      <c r="E16" s="640"/>
      <c r="F16" s="403">
        <f>D15-E15</f>
        <v>33781825</v>
      </c>
      <c r="G16" s="403"/>
      <c r="H16" s="403"/>
      <c r="I16" s="403"/>
      <c r="J16" s="403"/>
      <c r="K16" s="403"/>
      <c r="L16" s="403">
        <f>H15+K15</f>
        <v>47396801</v>
      </c>
      <c r="M16" s="403"/>
      <c r="N16" s="403"/>
      <c r="O16" s="403"/>
      <c r="P16" s="403">
        <f>G15-L16</f>
        <v>11627524</v>
      </c>
      <c r="Q16" s="403">
        <f>'ריכוז אגפים 2024'!AV15</f>
        <v>1137500</v>
      </c>
      <c r="R16" s="403">
        <f>'עדכוני תקציב 2024'!AE148</f>
        <v>0</v>
      </c>
      <c r="S16" s="403"/>
      <c r="T16" s="403">
        <f>P16+S15-M15</f>
        <v>0</v>
      </c>
      <c r="U16" s="403">
        <f>N15-T16</f>
        <v>20125000</v>
      </c>
      <c r="AO16" s="375"/>
      <c r="AP16" s="375"/>
      <c r="AQ16" s="375"/>
      <c r="AR16" s="375"/>
      <c r="AS16" s="375"/>
      <c r="AT16" s="375"/>
      <c r="AU16" s="375"/>
      <c r="AV16" s="375"/>
    </row>
    <row r="17" ht="22.5" customHeight="1"/>
    <row r="19" ht="47.25" customHeight="1"/>
    <row r="21" ht="36.75" customHeight="1"/>
    <row r="25" ht="45" customHeight="1"/>
    <row r="27" ht="58.5" customHeight="1"/>
    <row r="28" ht="50.25" customHeight="1"/>
    <row r="35" ht="51.75" customHeight="1"/>
    <row r="36" ht="35.25" customHeight="1"/>
    <row r="37" ht="31.5" customHeight="1"/>
    <row r="42" ht="37.5" customHeight="1"/>
    <row r="53" ht="48.75" customHeight="1"/>
    <row r="54" ht="31.5" customHeight="1"/>
    <row r="56" ht="45.75" customHeight="1"/>
    <row r="58" ht="33.75" customHeight="1"/>
    <row r="61" ht="27.75" customHeight="1"/>
    <row r="107" spans="1:1">
      <c r="A107" s="123">
        <f>COUNT(A5:A106)</f>
        <v>11</v>
      </c>
    </row>
    <row r="110" spans="1:1">
      <c r="A110" s="123">
        <f>A107+1</f>
        <v>12</v>
      </c>
    </row>
    <row r="113" ht="37.9" customHeight="1"/>
    <row r="116" ht="70.900000000000006" customHeight="1"/>
    <row r="119" ht="72" customHeight="1"/>
    <row r="121" ht="43.9" customHeight="1"/>
    <row r="123" ht="30" customHeight="1"/>
  </sheetData>
  <sheetProtection formatCells="0" formatColumns="0" formatRows="0" insertColumns="0" insertRows="0" insertHyperlinks="0" deleteColumns="0" deleteRows="0" sort="0" autoFilter="0" pivotTables="0"/>
  <conditionalFormatting sqref="AB4">
    <cfRule type="cellIs" dxfId="234" priority="2" operator="equal">
      <formula>0</formula>
    </cfRule>
  </conditionalFormatting>
  <conditionalFormatting sqref="AN4">
    <cfRule type="cellIs" dxfId="233" priority="1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3:Q42"/>
  <sheetViews>
    <sheetView showZeros="0" rightToLeft="1" zoomScaleNormal="100" workbookViewId="0">
      <selection activeCell="U4" sqref="U4"/>
    </sheetView>
  </sheetViews>
  <sheetFormatPr defaultColWidth="9.140625" defaultRowHeight="14.25"/>
  <cols>
    <col min="1" max="3" width="4.140625" style="167" customWidth="1"/>
    <col min="4" max="4" width="34.85546875" style="167" customWidth="1"/>
    <col min="5" max="5" width="30.42578125" style="167" customWidth="1"/>
    <col min="6" max="6" width="10.85546875" style="167" customWidth="1"/>
    <col min="7" max="16384" width="9.140625" style="167"/>
  </cols>
  <sheetData>
    <row r="3" spans="1:8" ht="20.25">
      <c r="A3" s="166"/>
      <c r="C3" s="168" t="s">
        <v>175</v>
      </c>
      <c r="D3" s="166"/>
      <c r="E3" s="166"/>
      <c r="F3" s="166"/>
    </row>
    <row r="4" spans="1:8" ht="20.25">
      <c r="A4" s="166"/>
      <c r="C4" s="168"/>
      <c r="D4" s="166"/>
      <c r="E4" s="166"/>
      <c r="F4" s="166"/>
    </row>
    <row r="5" spans="1:8" ht="21" thickBot="1">
      <c r="A5" s="166"/>
      <c r="C5" s="168"/>
      <c r="D5" s="166"/>
      <c r="E5" s="166"/>
      <c r="F5" s="166"/>
    </row>
    <row r="6" spans="1:8" ht="16.5" thickBot="1">
      <c r="A6" s="166"/>
      <c r="B6" s="169" t="s">
        <v>105</v>
      </c>
      <c r="C6" s="166" t="s">
        <v>898</v>
      </c>
      <c r="D6" s="166"/>
      <c r="E6" s="166"/>
      <c r="F6" s="170">
        <f>'תקציב איכות הסביבה 2025  '!U14+'תקציב מינהל כללי 2025  '!U16</f>
        <v>37720000</v>
      </c>
    </row>
    <row r="7" spans="1:8" ht="15.75">
      <c r="B7" s="169"/>
      <c r="C7" s="166"/>
      <c r="D7" s="166"/>
      <c r="E7" s="166"/>
      <c r="F7" s="166"/>
      <c r="G7" s="166"/>
      <c r="H7" s="166"/>
    </row>
    <row r="8" spans="1:8" ht="15.75">
      <c r="B8" s="169" t="s">
        <v>105</v>
      </c>
      <c r="C8" s="166" t="s">
        <v>190</v>
      </c>
      <c r="D8" s="166"/>
      <c r="E8" s="166"/>
      <c r="F8" s="166"/>
    </row>
    <row r="9" spans="1:8" ht="16.5" thickBot="1">
      <c r="B9" s="166"/>
      <c r="C9" s="166"/>
      <c r="D9" s="166"/>
      <c r="E9" s="166"/>
      <c r="F9" s="166"/>
      <c r="G9" s="166"/>
      <c r="H9" s="166"/>
    </row>
    <row r="10" spans="1:8" ht="15.75">
      <c r="D10" s="177" t="s">
        <v>191</v>
      </c>
      <c r="E10" s="178" t="s">
        <v>192</v>
      </c>
      <c r="F10" s="179" t="s">
        <v>193</v>
      </c>
      <c r="G10" s="166"/>
      <c r="H10" s="166"/>
    </row>
    <row r="11" spans="1:8" ht="15.75">
      <c r="C11" s="169"/>
      <c r="D11" s="173" t="s">
        <v>13</v>
      </c>
      <c r="E11" s="180">
        <f>'תקציב איכות הסביבה 2025  '!V14+'תקציב מינהל כללי 2025  '!V16</f>
        <v>32600000</v>
      </c>
      <c r="F11" s="186">
        <f>E11/$E$14</f>
        <v>0.86426299045599153</v>
      </c>
      <c r="G11" s="166"/>
      <c r="H11" s="166"/>
    </row>
    <row r="12" spans="1:8" ht="15.75">
      <c r="C12" s="169"/>
      <c r="D12" s="173" t="s">
        <v>14</v>
      </c>
      <c r="E12" s="180">
        <f>'תקציב איכות הסביבה 2025  '!W14+'תקציב מינהל כללי 2025  '!W16</f>
        <v>5070000</v>
      </c>
      <c r="F12" s="186">
        <f>E12/$E$14</f>
        <v>0.13441145281018027</v>
      </c>
      <c r="G12" s="166"/>
      <c r="H12" s="166"/>
    </row>
    <row r="13" spans="1:8" ht="15.75">
      <c r="C13" s="169"/>
      <c r="D13" s="183" t="s">
        <v>67</v>
      </c>
      <c r="E13" s="231">
        <f>'תקציב איכות הסביבה 2025  '!AA14+'תקציב מינהל כללי 2025  '!AA16</f>
        <v>50000</v>
      </c>
      <c r="F13" s="186">
        <f>E13/$E$14</f>
        <v>1.3255567338282079E-3</v>
      </c>
      <c r="G13" s="166"/>
      <c r="H13" s="166"/>
    </row>
    <row r="14" spans="1:8" ht="16.5" thickBot="1">
      <c r="C14" s="169"/>
      <c r="D14" s="175" t="s">
        <v>75</v>
      </c>
      <c r="E14" s="182">
        <f>SUM(E11:E13)</f>
        <v>37720000</v>
      </c>
      <c r="F14" s="242">
        <f>SUM(F11:F13)</f>
        <v>1</v>
      </c>
      <c r="G14" s="166"/>
      <c r="H14" s="166"/>
    </row>
    <row r="15" spans="1:8" ht="15.75">
      <c r="C15" s="169"/>
      <c r="D15" s="172"/>
      <c r="E15" s="189"/>
      <c r="F15" s="190"/>
      <c r="G15" s="166"/>
      <c r="H15" s="166"/>
    </row>
    <row r="16" spans="1:8" ht="15.75">
      <c r="C16" s="169"/>
      <c r="D16" s="172"/>
      <c r="E16" s="189"/>
      <c r="F16" s="190"/>
      <c r="G16" s="166"/>
      <c r="H16" s="166"/>
    </row>
    <row r="17" spans="1:17" ht="15.75">
      <c r="B17" s="169"/>
      <c r="C17" s="166"/>
      <c r="D17" s="166"/>
      <c r="E17" s="166"/>
      <c r="F17" s="166"/>
    </row>
    <row r="18" spans="1:17" s="418" customFormat="1" ht="15.75">
      <c r="B18" s="419" t="s">
        <v>105</v>
      </c>
      <c r="C18" s="420" t="s">
        <v>890</v>
      </c>
      <c r="D18" s="420"/>
      <c r="F18" s="420"/>
      <c r="G18" s="420"/>
      <c r="H18" s="420"/>
    </row>
    <row r="19" spans="1:17" ht="15.75">
      <c r="C19" s="166" t="s">
        <v>297</v>
      </c>
      <c r="D19" s="166"/>
      <c r="E19" s="166"/>
      <c r="F19" s="166"/>
    </row>
    <row r="20" spans="1:17" ht="15.75">
      <c r="B20" s="169"/>
      <c r="C20" s="166" t="s">
        <v>1459</v>
      </c>
      <c r="D20" s="166"/>
      <c r="E20" s="166"/>
      <c r="F20" s="166"/>
      <c r="G20" s="166"/>
      <c r="H20" s="166"/>
    </row>
    <row r="21" spans="1:17" ht="15.75">
      <c r="B21" s="169"/>
      <c r="C21" s="166" t="s">
        <v>1517</v>
      </c>
      <c r="D21" s="166"/>
      <c r="E21" s="166"/>
      <c r="F21" s="166"/>
      <c r="G21" s="166"/>
      <c r="H21" s="166"/>
    </row>
    <row r="22" spans="1:17" ht="15.75">
      <c r="B22" s="169"/>
      <c r="C22" s="166"/>
      <c r="D22" s="166"/>
      <c r="E22" s="166"/>
      <c r="F22" s="166"/>
      <c r="G22" s="166"/>
      <c r="H22" s="166"/>
    </row>
    <row r="23" spans="1:17" ht="15.75">
      <c r="B23" s="169"/>
      <c r="C23" s="166"/>
      <c r="D23" s="166"/>
      <c r="E23" s="166"/>
      <c r="F23" s="166"/>
      <c r="G23" s="166"/>
      <c r="H23" s="166"/>
    </row>
    <row r="24" spans="1:17" s="418" customFormat="1" ht="15.75">
      <c r="B24" s="419" t="s">
        <v>105</v>
      </c>
      <c r="C24" s="420" t="s">
        <v>781</v>
      </c>
      <c r="D24" s="420"/>
      <c r="F24" s="420"/>
      <c r="G24" s="420"/>
      <c r="H24" s="420"/>
    </row>
    <row r="28" spans="1:17" s="227" customFormat="1" ht="15.75">
      <c r="C28" s="229"/>
      <c r="D28" s="393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</row>
    <row r="29" spans="1:17" s="227" customFormat="1" ht="15.75">
      <c r="C29" s="229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</row>
    <row r="30" spans="1:17" s="227" customFormat="1" ht="15.75">
      <c r="A30" s="226"/>
      <c r="B30" s="226"/>
      <c r="C30" s="226"/>
      <c r="D30" s="324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</row>
    <row r="42" spans="3:3">
      <c r="C42" s="241"/>
    </row>
  </sheetData>
  <sortState xmlns:xlrd2="http://schemas.microsoft.com/office/spreadsheetml/2017/richdata2" ref="C20">
    <sortCondition ref="C20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33"/>
  <sheetViews>
    <sheetView showZeros="0" rightToLeft="1" workbookViewId="0">
      <selection activeCell="U4" sqref="U4"/>
    </sheetView>
  </sheetViews>
  <sheetFormatPr defaultColWidth="9.140625" defaultRowHeight="14.25"/>
  <cols>
    <col min="1" max="3" width="4.140625" style="63" customWidth="1"/>
    <col min="4" max="4" width="33" style="63" customWidth="1"/>
    <col min="5" max="9" width="12.140625" style="63" customWidth="1"/>
    <col min="10" max="10" width="7.85546875" style="63" customWidth="1"/>
    <col min="11" max="16384" width="9.140625" style="63"/>
  </cols>
  <sheetData>
    <row r="3" spans="1:17" ht="20.25">
      <c r="E3" s="64"/>
    </row>
    <row r="4" spans="1:17" s="73" customFormat="1" ht="18.75">
      <c r="A4" s="71" t="s">
        <v>143</v>
      </c>
      <c r="C4" s="72" t="s">
        <v>885</v>
      </c>
    </row>
    <row r="5" spans="1:17" ht="15.75">
      <c r="A5" s="65"/>
      <c r="C5" s="66"/>
      <c r="G5" s="66" t="s">
        <v>132</v>
      </c>
    </row>
    <row r="6" spans="1:17" ht="16.5" thickBot="1">
      <c r="A6" s="65"/>
      <c r="C6" s="66"/>
    </row>
    <row r="7" spans="1:17" ht="16.5" thickBot="1">
      <c r="A7" s="65">
        <v>3.1</v>
      </c>
      <c r="C7" s="65" t="s">
        <v>142</v>
      </c>
      <c r="D7" s="65"/>
      <c r="E7" s="65"/>
      <c r="F7" s="65"/>
      <c r="G7" s="304">
        <f>מבוא!E27</f>
        <v>397670.12300000002</v>
      </c>
    </row>
    <row r="8" spans="1:17" ht="16.5" thickBot="1">
      <c r="A8" s="65"/>
      <c r="C8" s="65"/>
      <c r="D8" s="65"/>
      <c r="E8" s="65"/>
      <c r="F8" s="65"/>
      <c r="G8" s="65"/>
    </row>
    <row r="9" spans="1:17" ht="16.5" thickBot="1">
      <c r="A9" s="65"/>
      <c r="C9" s="65" t="s">
        <v>868</v>
      </c>
      <c r="D9" s="65"/>
      <c r="E9" s="65"/>
      <c r="F9" s="65"/>
      <c r="G9" s="304">
        <f>מבוא!E29</f>
        <v>400699.12300000002</v>
      </c>
      <c r="I9" s="65"/>
      <c r="J9" s="65"/>
      <c r="K9" s="65"/>
      <c r="L9" s="65"/>
    </row>
    <row r="10" spans="1:17" ht="16.5" thickBot="1">
      <c r="A10" s="65"/>
      <c r="C10" s="65"/>
      <c r="D10" s="65"/>
      <c r="E10" s="65"/>
      <c r="F10" s="65"/>
      <c r="G10" s="65"/>
      <c r="I10" s="65"/>
      <c r="J10" s="65"/>
      <c r="K10" s="65"/>
      <c r="L10" s="65"/>
    </row>
    <row r="11" spans="1:17" ht="16.5" thickBot="1">
      <c r="A11" s="65"/>
      <c r="C11" s="65" t="s">
        <v>1220</v>
      </c>
      <c r="D11" s="65"/>
      <c r="E11" s="65"/>
      <c r="F11" s="65"/>
      <c r="G11" s="304">
        <f>מבוא!E30</f>
        <v>2656604.557</v>
      </c>
      <c r="I11" s="65"/>
      <c r="J11" s="65"/>
      <c r="K11" s="65"/>
      <c r="L11" s="65"/>
    </row>
    <row r="12" spans="1:17" ht="16.5" thickBot="1">
      <c r="A12" s="65"/>
      <c r="C12" s="65"/>
      <c r="D12" s="65"/>
      <c r="E12" s="65"/>
      <c r="F12" s="65"/>
      <c r="G12" s="65"/>
      <c r="I12" s="65"/>
      <c r="J12" s="65"/>
      <c r="K12" s="65"/>
      <c r="L12" s="65"/>
    </row>
    <row r="13" spans="1:17" ht="16.5" thickBot="1">
      <c r="A13" s="65"/>
      <c r="C13" s="65" t="s">
        <v>133</v>
      </c>
      <c r="D13" s="65"/>
      <c r="E13" s="65"/>
      <c r="F13" s="65"/>
      <c r="G13" s="304">
        <f>מבוא!E31</f>
        <v>6308173.3550000004</v>
      </c>
      <c r="I13" s="65"/>
      <c r="J13" s="65"/>
      <c r="K13" s="65"/>
      <c r="L13" s="65"/>
      <c r="O13" s="65"/>
      <c r="P13" s="65"/>
      <c r="Q13" s="65"/>
    </row>
    <row r="14" spans="1:17" ht="15.75">
      <c r="A14" s="65"/>
      <c r="C14" s="65"/>
      <c r="D14" s="65"/>
      <c r="E14" s="65"/>
      <c r="F14" s="65"/>
      <c r="G14" s="82"/>
      <c r="I14" s="65"/>
      <c r="J14" s="65"/>
      <c r="K14" s="65"/>
      <c r="L14" s="65"/>
      <c r="O14" s="65"/>
      <c r="P14" s="65"/>
      <c r="Q14" s="65"/>
    </row>
    <row r="15" spans="1:17" ht="15.75">
      <c r="A15" s="65"/>
      <c r="C15" s="65"/>
      <c r="D15" s="65"/>
      <c r="E15" s="65"/>
      <c r="F15" s="65"/>
      <c r="G15" s="82"/>
      <c r="I15" s="65"/>
      <c r="J15" s="65"/>
      <c r="K15" s="65"/>
      <c r="L15" s="65"/>
      <c r="O15" s="65"/>
      <c r="P15" s="65"/>
      <c r="Q15" s="65"/>
    </row>
    <row r="16" spans="1:17" ht="15.75">
      <c r="A16" s="65"/>
      <c r="C16" s="65"/>
      <c r="D16" s="146"/>
      <c r="E16" s="65"/>
      <c r="F16" s="65"/>
      <c r="G16" s="65"/>
      <c r="H16" s="65"/>
      <c r="I16" s="65"/>
      <c r="J16" s="65"/>
      <c r="K16" s="65"/>
      <c r="L16" s="65"/>
      <c r="O16" s="65"/>
      <c r="P16" s="65"/>
      <c r="Q16" s="65"/>
    </row>
    <row r="17" spans="1:17" ht="15.75">
      <c r="A17" s="65">
        <v>3.2</v>
      </c>
      <c r="C17" s="413" t="s">
        <v>887</v>
      </c>
      <c r="D17" s="65"/>
      <c r="E17" s="480"/>
      <c r="F17" s="65"/>
      <c r="G17" s="65"/>
      <c r="H17" s="65"/>
      <c r="I17" s="65"/>
      <c r="J17" s="65"/>
      <c r="K17" s="65"/>
      <c r="L17" s="65"/>
      <c r="O17" s="65"/>
      <c r="P17" s="65"/>
      <c r="Q17" s="65"/>
    </row>
    <row r="18" spans="1:17" ht="15.75">
      <c r="A18" s="65"/>
      <c r="B18" s="68" t="s">
        <v>105</v>
      </c>
      <c r="C18" s="65" t="s">
        <v>1449</v>
      </c>
      <c r="D18" s="65"/>
      <c r="E18" s="65"/>
      <c r="F18" s="65"/>
      <c r="G18" s="65"/>
      <c r="H18" s="65"/>
      <c r="I18" s="65"/>
      <c r="J18" s="65"/>
      <c r="K18" s="65"/>
      <c r="L18" s="65"/>
      <c r="O18" s="65"/>
      <c r="P18" s="65"/>
      <c r="Q18" s="65"/>
    </row>
    <row r="19" spans="1:17" ht="15.75">
      <c r="B19" s="68" t="s">
        <v>105</v>
      </c>
      <c r="C19" s="65" t="s">
        <v>469</v>
      </c>
    </row>
    <row r="20" spans="1:17" ht="15.75">
      <c r="A20" s="65"/>
      <c r="B20" s="68" t="s">
        <v>105</v>
      </c>
      <c r="C20" s="65" t="s">
        <v>580</v>
      </c>
      <c r="D20" s="65"/>
      <c r="E20" s="65"/>
      <c r="F20" s="65"/>
      <c r="G20" s="65"/>
      <c r="H20" s="65"/>
      <c r="I20" s="65"/>
      <c r="J20" s="65"/>
      <c r="K20" s="65"/>
      <c r="L20" s="65"/>
      <c r="O20" s="65"/>
      <c r="P20" s="65"/>
      <c r="Q20" s="65"/>
    </row>
    <row r="21" spans="1:17" ht="15.75">
      <c r="A21" s="65"/>
      <c r="B21" s="68" t="s">
        <v>105</v>
      </c>
      <c r="C21" s="65" t="s">
        <v>542</v>
      </c>
      <c r="D21" s="65"/>
      <c r="E21" s="65"/>
      <c r="F21" s="65"/>
      <c r="G21" s="65"/>
      <c r="H21" s="65"/>
      <c r="I21" s="65"/>
      <c r="J21" s="65"/>
      <c r="K21" s="65"/>
      <c r="L21" s="65"/>
      <c r="O21" s="65"/>
      <c r="P21" s="65"/>
      <c r="Q21" s="65"/>
    </row>
    <row r="22" spans="1:17" ht="15.75">
      <c r="A22" s="65"/>
      <c r="B22" s="68" t="s">
        <v>105</v>
      </c>
      <c r="C22" s="65" t="s">
        <v>1490</v>
      </c>
      <c r="D22" s="65"/>
      <c r="E22" s="65"/>
      <c r="F22" s="65"/>
      <c r="G22" s="65"/>
      <c r="H22" s="65"/>
      <c r="I22" s="65"/>
      <c r="J22" s="65"/>
      <c r="K22" s="65"/>
      <c r="L22" s="65"/>
      <c r="O22" s="65"/>
      <c r="P22" s="65"/>
      <c r="Q22" s="65"/>
    </row>
    <row r="23" spans="1:17" ht="15.75">
      <c r="A23" s="65"/>
      <c r="B23" s="68" t="s">
        <v>105</v>
      </c>
      <c r="C23" s="65" t="s">
        <v>1450</v>
      </c>
      <c r="D23" s="65"/>
      <c r="E23" s="65"/>
      <c r="F23" s="65"/>
      <c r="G23" s="65"/>
      <c r="H23" s="65"/>
      <c r="I23" s="65"/>
      <c r="J23" s="65"/>
      <c r="K23" s="65"/>
      <c r="L23" s="65"/>
      <c r="O23" s="65"/>
      <c r="P23" s="65"/>
      <c r="Q23" s="65"/>
    </row>
    <row r="24" spans="1:17" ht="15.75">
      <c r="A24" s="65"/>
      <c r="B24" s="68" t="s">
        <v>105</v>
      </c>
      <c r="C24" s="65" t="s">
        <v>1491</v>
      </c>
      <c r="D24" s="65"/>
      <c r="E24" s="65"/>
      <c r="F24" s="65"/>
      <c r="G24" s="65"/>
      <c r="H24" s="65"/>
      <c r="I24" s="65"/>
      <c r="J24" s="65"/>
      <c r="K24" s="65"/>
      <c r="L24" s="65"/>
      <c r="O24" s="65"/>
      <c r="P24" s="65"/>
      <c r="Q24" s="65"/>
    </row>
    <row r="25" spans="1:17" ht="15.75">
      <c r="A25" s="65"/>
      <c r="B25" s="68" t="s">
        <v>105</v>
      </c>
      <c r="C25" s="65" t="s">
        <v>544</v>
      </c>
      <c r="D25" s="65"/>
      <c r="E25" s="65"/>
      <c r="F25" s="65"/>
      <c r="G25" s="65"/>
      <c r="H25" s="65"/>
      <c r="I25" s="65"/>
      <c r="J25" s="65"/>
      <c r="K25" s="65"/>
      <c r="L25" s="65"/>
      <c r="O25" s="65"/>
      <c r="P25" s="65"/>
      <c r="Q25" s="65"/>
    </row>
    <row r="26" spans="1:17" ht="15.75">
      <c r="A26" s="65"/>
      <c r="B26" s="68" t="s">
        <v>105</v>
      </c>
      <c r="C26" s="65" t="s">
        <v>1492</v>
      </c>
      <c r="D26" s="65"/>
      <c r="E26" s="65"/>
      <c r="F26" s="65"/>
      <c r="G26" s="65"/>
      <c r="H26" s="65"/>
      <c r="I26" s="65"/>
      <c r="J26" s="65"/>
      <c r="K26" s="65"/>
      <c r="L26" s="65"/>
      <c r="O26" s="65"/>
      <c r="P26" s="65"/>
      <c r="Q26" s="65"/>
    </row>
    <row r="27" spans="1:17" ht="15.75">
      <c r="A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O27" s="65"/>
      <c r="P27" s="65"/>
      <c r="Q27" s="65"/>
    </row>
    <row r="28" spans="1:17" ht="15.75">
      <c r="A28" s="65"/>
      <c r="N28" s="65"/>
      <c r="O28" s="65"/>
      <c r="P28" s="65"/>
      <c r="Q28" s="65"/>
    </row>
    <row r="29" spans="1:17" ht="15.75">
      <c r="A29" s="65"/>
      <c r="N29" s="65"/>
      <c r="O29" s="65"/>
      <c r="P29" s="65"/>
      <c r="Q29" s="65"/>
    </row>
    <row r="30" spans="1:17" ht="23.25">
      <c r="A30" s="65"/>
      <c r="B30" s="70"/>
      <c r="C30" s="70"/>
      <c r="D30" s="21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1:17" ht="15.75">
      <c r="A31" s="70"/>
      <c r="B31" s="70"/>
      <c r="C31" s="70"/>
      <c r="D31" s="70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1:17" ht="15.75"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5:17" ht="15.75"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BI132"/>
  <sheetViews>
    <sheetView showZeros="0" rightToLeft="1" zoomScaleNormal="100" workbookViewId="0">
      <pane xSplit="3" ySplit="4" topLeftCell="D5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"/>
  <cols>
    <col min="1" max="1" width="3.7109375" style="347" customWidth="1"/>
    <col min="2" max="2" width="5.7109375" style="348" customWidth="1"/>
    <col min="3" max="3" width="16.42578125" style="348" customWidth="1"/>
    <col min="4" max="4" width="10.140625" style="350" customWidth="1"/>
    <col min="5" max="5" width="11.140625" style="350" customWidth="1"/>
    <col min="6" max="6" width="10.85546875" style="350" customWidth="1"/>
    <col min="7" max="8" width="11.140625" style="350" hidden="1" customWidth="1"/>
    <col min="9" max="9" width="7.5703125" style="350" hidden="1" customWidth="1"/>
    <col min="10" max="10" width="9.140625" style="350" hidden="1" customWidth="1"/>
    <col min="11" max="11" width="10.5703125" style="350" hidden="1" customWidth="1"/>
    <col min="12" max="12" width="9.5703125" style="350" customWidth="1"/>
    <col min="13" max="13" width="10.140625" style="350" customWidth="1"/>
    <col min="14" max="14" width="9.140625" style="350" bestFit="1" customWidth="1"/>
    <col min="15" max="15" width="10.7109375" style="350" customWidth="1"/>
    <col min="16" max="16" width="10.140625" style="350" hidden="1" customWidth="1"/>
    <col min="17" max="18" width="13.5703125" style="350" hidden="1" customWidth="1"/>
    <col min="19" max="19" width="8.42578125" style="350" hidden="1" customWidth="1"/>
    <col min="20" max="20" width="7.7109375" style="350" customWidth="1"/>
    <col min="21" max="21" width="8.85546875" style="348" customWidth="1"/>
    <col min="22" max="22" width="8" style="348" hidden="1" customWidth="1"/>
    <col min="23" max="23" width="9.140625" style="348" customWidth="1"/>
    <col min="24" max="24" width="6.42578125" style="348" hidden="1" customWidth="1"/>
    <col min="25" max="25" width="7.42578125" style="348" hidden="1" customWidth="1"/>
    <col min="26" max="26" width="7.85546875" style="348" hidden="1" customWidth="1"/>
    <col min="27" max="27" width="7.28515625" style="348" customWidth="1"/>
    <col min="28" max="28" width="38.42578125" style="351" customWidth="1"/>
    <col min="29" max="29" width="7" style="348" hidden="1" customWidth="1"/>
    <col min="30" max="31" width="13.140625" style="351" customWidth="1"/>
    <col min="32" max="32" width="15.5703125" style="351" customWidth="1"/>
    <col min="33" max="34" width="27.7109375" style="351" customWidth="1"/>
    <col min="35" max="35" width="11.140625" style="351" customWidth="1"/>
    <col min="36" max="36" width="25.28515625" style="351" customWidth="1"/>
    <col min="37" max="37" width="13.140625" style="351" customWidth="1"/>
    <col min="38" max="38" width="15.5703125" style="351" customWidth="1"/>
    <col min="39" max="39" width="18.140625" style="351" customWidth="1"/>
    <col min="40" max="40" width="24.7109375" style="348" customWidth="1"/>
    <col min="41" max="41" width="36.7109375" style="348" customWidth="1"/>
    <col min="42" max="52" width="10.7109375" style="348" customWidth="1"/>
    <col min="53" max="16384" width="9.140625" style="348"/>
  </cols>
  <sheetData>
    <row r="1" spans="1:61" s="377" customFormat="1" ht="18.75">
      <c r="A1" s="802"/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376"/>
      <c r="Y1" s="376"/>
      <c r="Z1" s="376"/>
      <c r="AB1" s="378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48"/>
      <c r="AO1" s="348"/>
      <c r="AP1" s="348"/>
      <c r="AQ1" s="348"/>
      <c r="AR1" s="348"/>
      <c r="AS1" s="348"/>
      <c r="AT1" s="348"/>
      <c r="AU1" s="348"/>
      <c r="AV1" s="348"/>
      <c r="AW1" s="348"/>
      <c r="AX1" s="348"/>
      <c r="AY1" s="348"/>
      <c r="AZ1" s="348"/>
    </row>
    <row r="2" spans="1:61" ht="18.75">
      <c r="A2" s="379" t="s">
        <v>69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V2" s="379"/>
      <c r="W2" s="379"/>
    </row>
    <row r="3" spans="1:61">
      <c r="V3" s="351"/>
      <c r="W3" s="351"/>
      <c r="X3" s="351"/>
      <c r="Y3" s="351"/>
      <c r="Z3" s="351"/>
      <c r="AA3" s="351"/>
    </row>
    <row r="4" spans="1:61" s="381" customFormat="1" ht="75">
      <c r="A4" s="380" t="s">
        <v>0</v>
      </c>
      <c r="B4" s="380" t="s">
        <v>1</v>
      </c>
      <c r="C4" s="380" t="s">
        <v>2</v>
      </c>
      <c r="D4" s="380" t="s">
        <v>3</v>
      </c>
      <c r="E4" s="380" t="s">
        <v>4</v>
      </c>
      <c r="F4" s="380" t="s">
        <v>5</v>
      </c>
      <c r="G4" s="380" t="s">
        <v>6</v>
      </c>
      <c r="H4" s="380" t="s">
        <v>7</v>
      </c>
      <c r="I4" s="380" t="s">
        <v>9</v>
      </c>
      <c r="J4" s="380" t="s">
        <v>101</v>
      </c>
      <c r="K4" s="380" t="s">
        <v>10</v>
      </c>
      <c r="L4" s="380" t="s">
        <v>11</v>
      </c>
      <c r="M4" s="380" t="s">
        <v>793</v>
      </c>
      <c r="N4" s="380" t="s">
        <v>794</v>
      </c>
      <c r="O4" s="328" t="s">
        <v>795</v>
      </c>
      <c r="P4" s="328" t="s">
        <v>12</v>
      </c>
      <c r="Q4" s="328" t="s">
        <v>796</v>
      </c>
      <c r="R4" s="328" t="s">
        <v>797</v>
      </c>
      <c r="S4" s="328" t="s">
        <v>798</v>
      </c>
      <c r="T4" s="328" t="s">
        <v>799</v>
      </c>
      <c r="U4" s="328" t="s">
        <v>800</v>
      </c>
      <c r="V4" s="380" t="s">
        <v>13</v>
      </c>
      <c r="W4" s="380" t="s">
        <v>14</v>
      </c>
      <c r="X4" s="380" t="s">
        <v>15</v>
      </c>
      <c r="Y4" s="380" t="s">
        <v>185</v>
      </c>
      <c r="Z4" s="380" t="s">
        <v>385</v>
      </c>
      <c r="AA4" s="380" t="s">
        <v>67</v>
      </c>
      <c r="AB4" s="471" t="s">
        <v>207</v>
      </c>
      <c r="AC4" s="380" t="s">
        <v>16</v>
      </c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</row>
    <row r="5" spans="1:61" s="148" customFormat="1" ht="64.5" customHeight="1">
      <c r="A5" s="339">
        <v>1</v>
      </c>
      <c r="B5" s="339">
        <v>1134</v>
      </c>
      <c r="C5" s="127" t="s">
        <v>49</v>
      </c>
      <c r="D5" s="112">
        <f>3200000-95000</f>
        <v>3105000</v>
      </c>
      <c r="E5" s="112">
        <v>3105000</v>
      </c>
      <c r="F5" s="112">
        <f t="shared" ref="F5:F11" si="0">D5-E5</f>
        <v>0</v>
      </c>
      <c r="G5" s="112">
        <v>2847000</v>
      </c>
      <c r="H5" s="112">
        <v>2646405.7200000002</v>
      </c>
      <c r="I5" s="112">
        <v>0</v>
      </c>
      <c r="J5" s="112">
        <v>200545.37</v>
      </c>
      <c r="K5" s="112">
        <f t="shared" ref="K5:K11" si="1">I5+J5</f>
        <v>200545.37</v>
      </c>
      <c r="L5" s="112">
        <f t="shared" ref="L5:L11" si="2">H5+K5</f>
        <v>2846951.0900000003</v>
      </c>
      <c r="M5" s="112">
        <f>P5+S5</f>
        <v>48.90999999968335</v>
      </c>
      <c r="N5" s="112"/>
      <c r="O5" s="112">
        <f t="shared" ref="O5:O11" si="3">D5-L5-M5-N5</f>
        <v>258000</v>
      </c>
      <c r="P5" s="112">
        <f t="shared" ref="P5:P11" si="4">G5-L5</f>
        <v>48.90999999968335</v>
      </c>
      <c r="Q5" s="112"/>
      <c r="R5" s="112"/>
      <c r="S5" s="112">
        <f t="shared" ref="S5:S11" si="5">SUM(Q5:R5)</f>
        <v>0</v>
      </c>
      <c r="T5" s="112">
        <f t="shared" ref="T5:T11" si="6">P5-M5+S5</f>
        <v>0</v>
      </c>
      <c r="U5" s="112">
        <f t="shared" ref="U5:U11" si="7">N5-T5</f>
        <v>0</v>
      </c>
      <c r="V5" s="112">
        <f t="shared" ref="V5:V11" si="8">U5-W5-Z5-AA5</f>
        <v>0</v>
      </c>
      <c r="W5" s="112"/>
      <c r="X5" s="112"/>
      <c r="Y5" s="112"/>
      <c r="Z5" s="112"/>
      <c r="AA5" s="112"/>
      <c r="AB5" s="339" t="s">
        <v>865</v>
      </c>
      <c r="AC5" s="339">
        <v>746000</v>
      </c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48"/>
      <c r="AO5" s="348"/>
      <c r="AP5" s="348"/>
      <c r="AQ5" s="348"/>
      <c r="AR5" s="348"/>
      <c r="AS5" s="348"/>
      <c r="AT5" s="348"/>
      <c r="AU5" s="348"/>
      <c r="AV5" s="348"/>
      <c r="AW5" s="348"/>
      <c r="AX5" s="348"/>
      <c r="AY5" s="348"/>
      <c r="AZ5" s="348"/>
      <c r="BA5" s="288"/>
      <c r="BB5" s="288"/>
      <c r="BC5" s="288"/>
    </row>
    <row r="6" spans="1:61" s="148" customFormat="1" ht="35.1" customHeight="1">
      <c r="A6" s="339">
        <f t="shared" ref="A6:A13" si="9">1+A5</f>
        <v>2</v>
      </c>
      <c r="B6" s="339">
        <v>1598</v>
      </c>
      <c r="C6" s="127" t="s">
        <v>50</v>
      </c>
      <c r="D6" s="112">
        <v>688500</v>
      </c>
      <c r="E6" s="112">
        <v>688500</v>
      </c>
      <c r="F6" s="112">
        <f t="shared" si="0"/>
        <v>0</v>
      </c>
      <c r="G6" s="112">
        <v>688500</v>
      </c>
      <c r="H6" s="112">
        <v>629583.48</v>
      </c>
      <c r="I6" s="112">
        <v>0</v>
      </c>
      <c r="J6" s="112">
        <v>31536.79</v>
      </c>
      <c r="K6" s="112">
        <f t="shared" si="1"/>
        <v>31536.79</v>
      </c>
      <c r="L6" s="112">
        <f t="shared" si="2"/>
        <v>661120.27</v>
      </c>
      <c r="M6" s="112">
        <f t="shared" ref="M6:M11" si="10">P6+S6</f>
        <v>27379.729999999981</v>
      </c>
      <c r="N6" s="112"/>
      <c r="O6" s="112">
        <f t="shared" si="3"/>
        <v>0</v>
      </c>
      <c r="P6" s="112">
        <f t="shared" si="4"/>
        <v>27379.729999999981</v>
      </c>
      <c r="Q6" s="112"/>
      <c r="R6" s="112"/>
      <c r="S6" s="112">
        <f t="shared" si="5"/>
        <v>0</v>
      </c>
      <c r="T6" s="112">
        <f t="shared" si="6"/>
        <v>0</v>
      </c>
      <c r="U6" s="112">
        <f t="shared" si="7"/>
        <v>0</v>
      </c>
      <c r="V6" s="112">
        <f t="shared" si="8"/>
        <v>0</v>
      </c>
      <c r="W6" s="112"/>
      <c r="X6" s="112"/>
      <c r="Y6" s="112"/>
      <c r="Z6" s="112"/>
      <c r="AA6" s="112"/>
      <c r="AB6" s="339" t="s">
        <v>1285</v>
      </c>
      <c r="AC6" s="339">
        <v>870000</v>
      </c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288"/>
      <c r="BB6" s="288"/>
      <c r="BC6" s="288"/>
    </row>
    <row r="7" spans="1:61" s="148" customFormat="1" ht="35.1" customHeight="1">
      <c r="A7" s="339">
        <f t="shared" si="9"/>
        <v>3</v>
      </c>
      <c r="B7" s="339">
        <v>1817</v>
      </c>
      <c r="C7" s="127" t="s">
        <v>81</v>
      </c>
      <c r="D7" s="112">
        <f>1040000-50000</f>
        <v>990000</v>
      </c>
      <c r="E7" s="112">
        <v>940000</v>
      </c>
      <c r="F7" s="112">
        <f t="shared" si="0"/>
        <v>50000</v>
      </c>
      <c r="G7" s="112">
        <v>940000</v>
      </c>
      <c r="H7" s="112">
        <v>801747.55</v>
      </c>
      <c r="I7" s="112">
        <v>0</v>
      </c>
      <c r="J7" s="112">
        <v>57194.5</v>
      </c>
      <c r="K7" s="112">
        <f t="shared" si="1"/>
        <v>57194.5</v>
      </c>
      <c r="L7" s="112">
        <f t="shared" si="2"/>
        <v>858942.05</v>
      </c>
      <c r="M7" s="112">
        <f t="shared" si="10"/>
        <v>81057.949999999953</v>
      </c>
      <c r="N7" s="112">
        <v>50000</v>
      </c>
      <c r="O7" s="112">
        <f t="shared" si="3"/>
        <v>0</v>
      </c>
      <c r="P7" s="112">
        <f t="shared" si="4"/>
        <v>81057.949999999953</v>
      </c>
      <c r="Q7" s="112"/>
      <c r="R7" s="112"/>
      <c r="S7" s="112">
        <f t="shared" si="5"/>
        <v>0</v>
      </c>
      <c r="T7" s="112">
        <f t="shared" si="6"/>
        <v>0</v>
      </c>
      <c r="U7" s="112">
        <f t="shared" si="7"/>
        <v>50000</v>
      </c>
      <c r="V7" s="112">
        <f t="shared" si="8"/>
        <v>0</v>
      </c>
      <c r="W7" s="112"/>
      <c r="X7" s="112"/>
      <c r="Y7" s="112"/>
      <c r="Z7" s="112"/>
      <c r="AA7" s="112">
        <v>50000</v>
      </c>
      <c r="AB7" s="339" t="s">
        <v>393</v>
      </c>
      <c r="AC7" s="339">
        <v>810000</v>
      </c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288"/>
      <c r="BB7" s="288"/>
      <c r="BC7" s="288"/>
    </row>
    <row r="8" spans="1:61" s="148" customFormat="1" ht="90">
      <c r="A8" s="339">
        <f t="shared" si="9"/>
        <v>4</v>
      </c>
      <c r="B8" s="339">
        <v>1922</v>
      </c>
      <c r="C8" s="127" t="s">
        <v>93</v>
      </c>
      <c r="D8" s="112">
        <v>330000</v>
      </c>
      <c r="E8" s="112">
        <v>330000</v>
      </c>
      <c r="F8" s="112">
        <f t="shared" si="0"/>
        <v>0</v>
      </c>
      <c r="G8" s="112">
        <v>200000</v>
      </c>
      <c r="H8" s="112">
        <v>147444.19</v>
      </c>
      <c r="I8" s="112">
        <v>0</v>
      </c>
      <c r="J8" s="112">
        <v>13840</v>
      </c>
      <c r="K8" s="112">
        <f t="shared" si="1"/>
        <v>13840</v>
      </c>
      <c r="L8" s="112">
        <f t="shared" si="2"/>
        <v>161284.19</v>
      </c>
      <c r="M8" s="112">
        <f t="shared" si="10"/>
        <v>38715.81</v>
      </c>
      <c r="N8" s="112">
        <v>50000</v>
      </c>
      <c r="O8" s="112">
        <f t="shared" si="3"/>
        <v>80000</v>
      </c>
      <c r="P8" s="112">
        <f t="shared" si="4"/>
        <v>38715.81</v>
      </c>
      <c r="Q8" s="112"/>
      <c r="R8" s="112"/>
      <c r="S8" s="112">
        <f t="shared" si="5"/>
        <v>0</v>
      </c>
      <c r="T8" s="112">
        <f t="shared" si="6"/>
        <v>0</v>
      </c>
      <c r="U8" s="112">
        <f t="shared" si="7"/>
        <v>50000</v>
      </c>
      <c r="V8" s="112">
        <f t="shared" si="8"/>
        <v>0</v>
      </c>
      <c r="W8" s="112">
        <v>50000</v>
      </c>
      <c r="X8" s="112"/>
      <c r="Y8" s="112"/>
      <c r="Z8" s="112"/>
      <c r="AA8" s="112"/>
      <c r="AB8" s="339" t="s">
        <v>561</v>
      </c>
      <c r="AC8" s="339">
        <v>870000</v>
      </c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48"/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288"/>
      <c r="BB8" s="288"/>
      <c r="BC8" s="288"/>
    </row>
    <row r="9" spans="1:61" s="385" customFormat="1" ht="45">
      <c r="A9" s="339">
        <f t="shared" si="9"/>
        <v>5</v>
      </c>
      <c r="B9" s="345">
        <v>2168</v>
      </c>
      <c r="C9" s="127" t="s">
        <v>319</v>
      </c>
      <c r="D9" s="112">
        <v>100000</v>
      </c>
      <c r="E9" s="112">
        <v>100000</v>
      </c>
      <c r="F9" s="112">
        <f t="shared" si="0"/>
        <v>0</v>
      </c>
      <c r="G9" s="112">
        <v>100000</v>
      </c>
      <c r="H9" s="112">
        <v>11040</v>
      </c>
      <c r="I9" s="112">
        <v>0</v>
      </c>
      <c r="J9" s="112">
        <v>400</v>
      </c>
      <c r="K9" s="112">
        <f t="shared" si="1"/>
        <v>400</v>
      </c>
      <c r="L9" s="112">
        <f t="shared" si="2"/>
        <v>11440</v>
      </c>
      <c r="M9" s="112">
        <f t="shared" si="10"/>
        <v>88560</v>
      </c>
      <c r="N9" s="112"/>
      <c r="O9" s="112">
        <f t="shared" si="3"/>
        <v>0</v>
      </c>
      <c r="P9" s="112">
        <f t="shared" si="4"/>
        <v>88560</v>
      </c>
      <c r="Q9" s="112"/>
      <c r="R9" s="112"/>
      <c r="S9" s="112">
        <f t="shared" si="5"/>
        <v>0</v>
      </c>
      <c r="T9" s="112">
        <f t="shared" si="6"/>
        <v>0</v>
      </c>
      <c r="U9" s="112">
        <f t="shared" si="7"/>
        <v>0</v>
      </c>
      <c r="V9" s="112">
        <f t="shared" si="8"/>
        <v>0</v>
      </c>
      <c r="W9" s="112"/>
      <c r="X9" s="112"/>
      <c r="Y9" s="112"/>
      <c r="Z9" s="112"/>
      <c r="AA9" s="112"/>
      <c r="AB9" s="339" t="s">
        <v>502</v>
      </c>
      <c r="AC9" s="339">
        <v>746000</v>
      </c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84"/>
      <c r="BB9" s="384"/>
      <c r="BC9" s="384"/>
    </row>
    <row r="10" spans="1:61" s="385" customFormat="1" ht="30" customHeight="1">
      <c r="A10" s="339">
        <f t="shared" si="9"/>
        <v>6</v>
      </c>
      <c r="B10" s="345">
        <v>20019</v>
      </c>
      <c r="C10" s="352" t="s">
        <v>435</v>
      </c>
      <c r="D10" s="112">
        <v>350000</v>
      </c>
      <c r="E10" s="112">
        <v>350000</v>
      </c>
      <c r="F10" s="112">
        <f t="shared" si="0"/>
        <v>0</v>
      </c>
      <c r="G10" s="112">
        <v>150000</v>
      </c>
      <c r="H10" s="112">
        <v>17380</v>
      </c>
      <c r="I10" s="112">
        <v>0</v>
      </c>
      <c r="J10" s="112">
        <v>0</v>
      </c>
      <c r="K10" s="112">
        <f t="shared" si="1"/>
        <v>0</v>
      </c>
      <c r="L10" s="112">
        <f t="shared" si="2"/>
        <v>17380</v>
      </c>
      <c r="M10" s="112">
        <f t="shared" si="10"/>
        <v>293620</v>
      </c>
      <c r="N10" s="112"/>
      <c r="O10" s="112">
        <f t="shared" si="3"/>
        <v>39000</v>
      </c>
      <c r="P10" s="112">
        <f t="shared" si="4"/>
        <v>132620</v>
      </c>
      <c r="Q10" s="112">
        <v>161000</v>
      </c>
      <c r="R10" s="112"/>
      <c r="S10" s="112">
        <f t="shared" si="5"/>
        <v>161000</v>
      </c>
      <c r="T10" s="112">
        <f t="shared" si="6"/>
        <v>0</v>
      </c>
      <c r="U10" s="112">
        <f t="shared" si="7"/>
        <v>0</v>
      </c>
      <c r="V10" s="112">
        <f t="shared" si="8"/>
        <v>0</v>
      </c>
      <c r="W10" s="112"/>
      <c r="X10" s="112"/>
      <c r="Y10" s="112"/>
      <c r="Z10" s="112"/>
      <c r="AA10" s="112"/>
      <c r="AB10" s="339" t="s">
        <v>1286</v>
      </c>
      <c r="AC10" s="339">
        <v>870000</v>
      </c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8"/>
      <c r="BA10" s="384"/>
      <c r="BB10" s="384"/>
      <c r="BC10" s="384"/>
    </row>
    <row r="11" spans="1:61" s="343" customFormat="1" ht="60">
      <c r="A11" s="339">
        <f t="shared" si="9"/>
        <v>7</v>
      </c>
      <c r="B11" s="345">
        <v>20079</v>
      </c>
      <c r="C11" s="127" t="s">
        <v>496</v>
      </c>
      <c r="D11" s="112">
        <f>200000-100000</f>
        <v>100000</v>
      </c>
      <c r="E11" s="112">
        <v>100000</v>
      </c>
      <c r="F11" s="112">
        <f t="shared" si="0"/>
        <v>0</v>
      </c>
      <c r="G11" s="112">
        <v>100000</v>
      </c>
      <c r="H11" s="112">
        <v>8921</v>
      </c>
      <c r="I11" s="112">
        <v>0</v>
      </c>
      <c r="J11" s="112">
        <v>0</v>
      </c>
      <c r="K11" s="112">
        <f t="shared" si="1"/>
        <v>0</v>
      </c>
      <c r="L11" s="112">
        <f t="shared" si="2"/>
        <v>8921</v>
      </c>
      <c r="M11" s="112">
        <f t="shared" si="10"/>
        <v>91079</v>
      </c>
      <c r="N11" s="112"/>
      <c r="O11" s="112">
        <f t="shared" si="3"/>
        <v>0</v>
      </c>
      <c r="P11" s="112">
        <f t="shared" si="4"/>
        <v>91079</v>
      </c>
      <c r="Q11" s="112"/>
      <c r="R11" s="112"/>
      <c r="S11" s="112">
        <f t="shared" si="5"/>
        <v>0</v>
      </c>
      <c r="T11" s="112">
        <f t="shared" si="6"/>
        <v>0</v>
      </c>
      <c r="U11" s="112">
        <f t="shared" si="7"/>
        <v>0</v>
      </c>
      <c r="V11" s="112">
        <f t="shared" si="8"/>
        <v>0</v>
      </c>
      <c r="W11" s="112"/>
      <c r="X11" s="112"/>
      <c r="Y11" s="112"/>
      <c r="Z11" s="112"/>
      <c r="AA11" s="112"/>
      <c r="AB11" s="339" t="s">
        <v>559</v>
      </c>
      <c r="AC11" s="339">
        <v>870000</v>
      </c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48"/>
      <c r="AO11" s="348"/>
      <c r="AP11" s="348"/>
      <c r="AQ11" s="348"/>
      <c r="AR11" s="348"/>
      <c r="AS11" s="348"/>
      <c r="AT11" s="348"/>
      <c r="AU11" s="348"/>
      <c r="AV11" s="348"/>
      <c r="AW11" s="348"/>
      <c r="AX11" s="348"/>
      <c r="AY11" s="348"/>
      <c r="AZ11" s="348"/>
      <c r="BA11" s="256"/>
      <c r="BB11" s="256"/>
      <c r="BC11" s="256"/>
      <c r="BD11" s="256"/>
      <c r="BE11" s="256"/>
      <c r="BF11" s="256"/>
      <c r="BG11" s="256"/>
      <c r="BH11" s="256"/>
      <c r="BI11" s="256"/>
    </row>
    <row r="12" spans="1:61" s="343" customFormat="1" ht="45">
      <c r="A12" s="339">
        <f t="shared" si="9"/>
        <v>8</v>
      </c>
      <c r="B12" s="345">
        <v>20136</v>
      </c>
      <c r="C12" s="127" t="s">
        <v>636</v>
      </c>
      <c r="D12" s="112">
        <v>344000</v>
      </c>
      <c r="E12" s="112">
        <v>344000</v>
      </c>
      <c r="F12" s="112">
        <f>D12-E12</f>
        <v>0</v>
      </c>
      <c r="G12" s="112">
        <v>150000</v>
      </c>
      <c r="H12" s="112">
        <v>3746.4</v>
      </c>
      <c r="I12" s="112">
        <v>0</v>
      </c>
      <c r="J12" s="112">
        <v>97227.99</v>
      </c>
      <c r="K12" s="112">
        <f>I12+J12</f>
        <v>97227.99</v>
      </c>
      <c r="L12" s="112">
        <f>H12+K12</f>
        <v>100974.39</v>
      </c>
      <c r="M12" s="112">
        <f>P12+S12-200000</f>
        <v>43025.609999999986</v>
      </c>
      <c r="N12" s="112">
        <v>200000</v>
      </c>
      <c r="O12" s="112">
        <f>D12-L12-M12-N12</f>
        <v>0</v>
      </c>
      <c r="P12" s="112">
        <f>G12-L12</f>
        <v>49025.61</v>
      </c>
      <c r="Q12" s="112">
        <v>194000</v>
      </c>
      <c r="R12" s="112"/>
      <c r="S12" s="112">
        <f>SUM(Q12:R12)</f>
        <v>194000</v>
      </c>
      <c r="T12" s="112">
        <f>P12-M12+S12</f>
        <v>200000</v>
      </c>
      <c r="U12" s="112">
        <f>N12-T12</f>
        <v>0</v>
      </c>
      <c r="V12" s="112">
        <f>U12-W12-Z12-AA12</f>
        <v>0</v>
      </c>
      <c r="W12" s="112"/>
      <c r="X12" s="112"/>
      <c r="Y12" s="112"/>
      <c r="Z12" s="112"/>
      <c r="AA12" s="112"/>
      <c r="AB12" s="339" t="s">
        <v>770</v>
      </c>
      <c r="AC12" s="339">
        <v>870000</v>
      </c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256"/>
      <c r="BB12" s="256"/>
      <c r="BC12" s="256"/>
      <c r="BD12" s="256"/>
      <c r="BE12" s="256"/>
      <c r="BF12" s="256"/>
      <c r="BG12" s="256"/>
      <c r="BH12" s="256"/>
      <c r="BI12" s="256"/>
    </row>
    <row r="13" spans="1:61" s="343" customFormat="1" ht="30" customHeight="1">
      <c r="A13" s="339">
        <f t="shared" si="9"/>
        <v>9</v>
      </c>
      <c r="B13" s="345">
        <v>20177</v>
      </c>
      <c r="C13" s="127" t="s">
        <v>866</v>
      </c>
      <c r="D13" s="112">
        <v>15000000</v>
      </c>
      <c r="E13" s="112"/>
      <c r="F13" s="112">
        <f t="shared" ref="F13" si="11">D13-E13</f>
        <v>15000000</v>
      </c>
      <c r="G13" s="112">
        <v>0</v>
      </c>
      <c r="H13" s="112"/>
      <c r="I13" s="112"/>
      <c r="J13" s="112"/>
      <c r="K13" s="112">
        <f t="shared" ref="K13" si="12">I13+J13</f>
        <v>0</v>
      </c>
      <c r="L13" s="112">
        <f t="shared" ref="L13" si="13">H13+K13</f>
        <v>0</v>
      </c>
      <c r="M13" s="112">
        <f t="shared" ref="M13" si="14">P13+S13</f>
        <v>0</v>
      </c>
      <c r="N13" s="112">
        <f>5000000-4000000</f>
        <v>1000000</v>
      </c>
      <c r="O13" s="112">
        <f t="shared" ref="O13" si="15">D13-L13-M13-N13</f>
        <v>14000000</v>
      </c>
      <c r="P13" s="112">
        <f t="shared" ref="P13" si="16">G13-L13</f>
        <v>0</v>
      </c>
      <c r="Q13" s="112"/>
      <c r="R13" s="112"/>
      <c r="S13" s="112">
        <f t="shared" ref="S13" si="17">SUM(Q13:R13)</f>
        <v>0</v>
      </c>
      <c r="T13" s="112">
        <f t="shared" ref="T13" si="18">P13-M13+S13</f>
        <v>0</v>
      </c>
      <c r="U13" s="112">
        <f t="shared" ref="U13" si="19">N13-T13</f>
        <v>1000000</v>
      </c>
      <c r="V13" s="112">
        <f t="shared" ref="V13" si="20">U13-W13-Z13-AA13</f>
        <v>0</v>
      </c>
      <c r="W13" s="112">
        <v>1000000</v>
      </c>
      <c r="X13" s="112"/>
      <c r="Y13" s="112"/>
      <c r="Z13" s="112"/>
      <c r="AA13" s="112"/>
      <c r="AB13" s="339" t="s">
        <v>1287</v>
      </c>
      <c r="AC13" s="339">
        <v>870000</v>
      </c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48"/>
      <c r="AO13" s="348"/>
      <c r="AP13" s="348"/>
      <c r="AQ13" s="348"/>
      <c r="AR13" s="348"/>
      <c r="AS13" s="348"/>
      <c r="AT13" s="348"/>
      <c r="AU13" s="348"/>
      <c r="AV13" s="348"/>
      <c r="AW13" s="256"/>
      <c r="AX13" s="256"/>
      <c r="AY13" s="256"/>
      <c r="AZ13" s="256"/>
      <c r="BA13" s="256"/>
      <c r="BB13" s="256"/>
      <c r="BC13" s="256"/>
      <c r="BD13" s="256"/>
      <c r="BE13" s="256"/>
    </row>
    <row r="14" spans="1:61" s="354" customFormat="1" ht="30" customHeight="1">
      <c r="A14" s="236">
        <f>COUNT(A5:A13)</f>
        <v>9</v>
      </c>
      <c r="B14" s="344"/>
      <c r="C14" s="208" t="s">
        <v>75</v>
      </c>
      <c r="D14" s="236">
        <f>SUM(D5:D13)</f>
        <v>21007500</v>
      </c>
      <c r="E14" s="236">
        <f t="shared" ref="E14:AA14" si="21">SUM(E5:E13)</f>
        <v>5957500</v>
      </c>
      <c r="F14" s="236">
        <f t="shared" si="21"/>
        <v>15050000</v>
      </c>
      <c r="G14" s="236">
        <f t="shared" si="21"/>
        <v>5175500</v>
      </c>
      <c r="H14" s="236">
        <f t="shared" si="21"/>
        <v>4266268.3400000008</v>
      </c>
      <c r="I14" s="236">
        <f t="shared" si="21"/>
        <v>0</v>
      </c>
      <c r="J14" s="236">
        <f t="shared" si="21"/>
        <v>400744.65</v>
      </c>
      <c r="K14" s="236">
        <f t="shared" si="21"/>
        <v>400744.65</v>
      </c>
      <c r="L14" s="236">
        <f t="shared" si="21"/>
        <v>4667012.99</v>
      </c>
      <c r="M14" s="236">
        <f t="shared" si="21"/>
        <v>663487.00999999966</v>
      </c>
      <c r="N14" s="236">
        <f t="shared" si="21"/>
        <v>1300000</v>
      </c>
      <c r="O14" s="236">
        <f t="shared" si="21"/>
        <v>14377000</v>
      </c>
      <c r="P14" s="236">
        <f t="shared" si="21"/>
        <v>508487.0099999996</v>
      </c>
      <c r="Q14" s="236">
        <f t="shared" si="21"/>
        <v>355000</v>
      </c>
      <c r="R14" s="236">
        <f t="shared" si="21"/>
        <v>0</v>
      </c>
      <c r="S14" s="236">
        <f t="shared" si="21"/>
        <v>355000</v>
      </c>
      <c r="T14" s="236">
        <f t="shared" si="21"/>
        <v>200000</v>
      </c>
      <c r="U14" s="236">
        <f t="shared" si="21"/>
        <v>1100000</v>
      </c>
      <c r="V14" s="236">
        <f t="shared" si="21"/>
        <v>0</v>
      </c>
      <c r="W14" s="236">
        <f t="shared" si="21"/>
        <v>1050000</v>
      </c>
      <c r="X14" s="236">
        <f t="shared" si="21"/>
        <v>0</v>
      </c>
      <c r="Y14" s="236">
        <f t="shared" si="21"/>
        <v>0</v>
      </c>
      <c r="Z14" s="236">
        <f t="shared" si="21"/>
        <v>0</v>
      </c>
      <c r="AA14" s="236">
        <f t="shared" si="21"/>
        <v>50000</v>
      </c>
      <c r="AB14" s="344"/>
      <c r="AC14" s="344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48"/>
      <c r="AO14" s="348"/>
      <c r="AP14" s="353"/>
      <c r="AQ14" s="353"/>
      <c r="AR14" s="353"/>
      <c r="AS14" s="353"/>
      <c r="AT14" s="353"/>
      <c r="AU14" s="353"/>
      <c r="AV14" s="353"/>
      <c r="AW14" s="353"/>
      <c r="AX14" s="353"/>
      <c r="AY14" s="353"/>
      <c r="AZ14" s="353"/>
      <c r="BA14" s="312"/>
      <c r="BB14" s="312"/>
      <c r="BC14" s="312"/>
      <c r="BD14" s="312"/>
      <c r="BE14" s="312"/>
      <c r="BF14" s="312"/>
      <c r="BG14" s="312"/>
      <c r="BH14" s="312"/>
      <c r="BI14" s="312"/>
    </row>
    <row r="15" spans="1:61" ht="23.25" hidden="1" customHeight="1">
      <c r="D15" s="350">
        <f>SUM(L14:O14)</f>
        <v>21007500</v>
      </c>
      <c r="E15" s="514"/>
      <c r="F15" s="350">
        <f>SUM(E14:F14)</f>
        <v>21007500</v>
      </c>
      <c r="L15" s="350">
        <f>H14+I14+J14</f>
        <v>4667012.9900000012</v>
      </c>
      <c r="P15" s="350">
        <f>G14-L15</f>
        <v>508487.00999999885</v>
      </c>
      <c r="Q15" s="350">
        <f>'תקציב איכות הסביבה 2024  '!AX14</f>
        <v>355000</v>
      </c>
      <c r="T15" s="350">
        <f>P15+S14-M14</f>
        <v>199999.99999999919</v>
      </c>
      <c r="U15" s="350">
        <f>N14-T14</f>
        <v>1100000</v>
      </c>
      <c r="AB15" s="472"/>
    </row>
    <row r="16" spans="1:61" ht="33" customHeight="1"/>
    <row r="18" ht="33" customHeight="1"/>
    <row r="20" ht="45.75" customHeight="1"/>
    <row r="22" ht="47.25" customHeight="1"/>
    <row r="24" ht="36.75" customHeight="1"/>
    <row r="28" ht="45" customHeight="1"/>
    <row r="30" ht="58.5" customHeight="1"/>
    <row r="31" ht="50.25" customHeight="1"/>
    <row r="38" ht="51.75" customHeight="1"/>
    <row r="39" ht="35.25" customHeight="1"/>
    <row r="40" ht="31.5" customHeight="1"/>
    <row r="45" ht="37.5" customHeight="1"/>
    <row r="56" ht="48.75" customHeight="1"/>
    <row r="57" ht="31.5" customHeight="1"/>
    <row r="59" ht="45.75" customHeight="1"/>
    <row r="61" ht="33.75" customHeight="1"/>
    <row r="64" ht="27.75" customHeight="1"/>
    <row r="116" spans="1:1">
      <c r="A116" s="347">
        <f>COUNT(A5:A115)</f>
        <v>10</v>
      </c>
    </row>
    <row r="119" spans="1:1">
      <c r="A119" s="347">
        <f>A116+1</f>
        <v>11</v>
      </c>
    </row>
    <row r="122" spans="1:1" ht="37.9" customHeight="1"/>
    <row r="125" spans="1:1" ht="70.900000000000006" customHeight="1"/>
    <row r="128" spans="1:1" ht="72" customHeight="1"/>
    <row r="130" ht="43.9" customHeight="1"/>
    <row r="132" ht="30" customHeight="1"/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conditionalFormatting sqref="AB4">
    <cfRule type="cellIs" dxfId="232" priority="8" operator="equal">
      <formula>0</formula>
    </cfRule>
  </conditionalFormatting>
  <conditionalFormatting sqref="AG4:AM4">
    <cfRule type="cellIs" dxfId="231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519F-31D3-4D95-899A-8E27AF6A140B}">
  <dimension ref="A1:BI132"/>
  <sheetViews>
    <sheetView showZeros="0" rightToLeft="1" zoomScaleNormal="100" workbookViewId="0">
      <pane xSplit="3" ySplit="4" topLeftCell="D5" activePane="bottomRight" state="frozen"/>
      <selection activeCell="AJ53" sqref="AJ53"/>
      <selection pane="topRight" activeCell="AJ53" sqref="AJ53"/>
      <selection pane="bottomLeft" activeCell="AJ53" sqref="AJ53"/>
      <selection pane="bottomRight" activeCell="AJ53" sqref="AJ53"/>
    </sheetView>
  </sheetViews>
  <sheetFormatPr defaultColWidth="9.140625" defaultRowHeight="15"/>
  <cols>
    <col min="1" max="1" width="3.7109375" style="347" customWidth="1"/>
    <col min="2" max="2" width="5.7109375" style="348" customWidth="1"/>
    <col min="3" max="3" width="16.42578125" style="348" customWidth="1"/>
    <col min="4" max="4" width="10.140625" style="350" customWidth="1"/>
    <col min="5" max="5" width="11.140625" style="350" hidden="1" customWidth="1"/>
    <col min="6" max="6" width="10.85546875" style="350" hidden="1" customWidth="1"/>
    <col min="7" max="8" width="11.140625" style="350" hidden="1" customWidth="1"/>
    <col min="9" max="9" width="7.5703125" style="350" hidden="1" customWidth="1"/>
    <col min="10" max="10" width="9.140625" style="350" hidden="1" customWidth="1"/>
    <col min="11" max="11" width="10.5703125" style="350" hidden="1" customWidth="1"/>
    <col min="12" max="12" width="9.5703125" style="350" customWidth="1"/>
    <col min="13" max="13" width="10.140625" style="350" customWidth="1"/>
    <col min="14" max="14" width="9.140625" style="350" bestFit="1" customWidth="1"/>
    <col min="15" max="15" width="10.7109375" style="350" customWidth="1"/>
    <col min="16" max="16" width="10.140625" style="350" hidden="1" customWidth="1"/>
    <col min="17" max="18" width="13.5703125" style="350" hidden="1" customWidth="1"/>
    <col min="19" max="19" width="8.42578125" style="350" hidden="1" customWidth="1"/>
    <col min="20" max="20" width="7.7109375" style="350" customWidth="1"/>
    <col min="21" max="21" width="8.85546875" style="348" customWidth="1"/>
    <col min="22" max="22" width="8" style="348" hidden="1" customWidth="1"/>
    <col min="23" max="23" width="9.140625" style="348" customWidth="1"/>
    <col min="24" max="24" width="6.42578125" style="348" hidden="1" customWidth="1"/>
    <col min="25" max="25" width="7.42578125" style="348" hidden="1" customWidth="1"/>
    <col min="26" max="26" width="7.85546875" style="348" hidden="1" customWidth="1"/>
    <col min="27" max="27" width="7.28515625" style="348" customWidth="1"/>
    <col min="28" max="28" width="38.42578125" style="351" customWidth="1"/>
    <col min="29" max="29" width="7" style="348" customWidth="1"/>
    <col min="30" max="31" width="13.140625" style="351" customWidth="1"/>
    <col min="32" max="32" width="15.5703125" style="351" customWidth="1"/>
    <col min="33" max="34" width="27.7109375" style="351" customWidth="1"/>
    <col min="35" max="35" width="11.140625" style="351" customWidth="1"/>
    <col min="36" max="36" width="25.28515625" style="351" customWidth="1"/>
    <col min="37" max="37" width="13.140625" style="351" customWidth="1"/>
    <col min="38" max="38" width="15.5703125" style="351" customWidth="1"/>
    <col min="39" max="39" width="18.140625" style="351" customWidth="1"/>
    <col min="40" max="40" width="24.7109375" style="348" customWidth="1"/>
    <col min="41" max="41" width="36.7109375" style="348" customWidth="1"/>
    <col min="42" max="52" width="10.7109375" style="348" customWidth="1"/>
    <col min="53" max="16384" width="9.140625" style="348"/>
  </cols>
  <sheetData>
    <row r="1" spans="1:61" s="377" customFormat="1" ht="18.75">
      <c r="A1" s="802"/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376"/>
      <c r="Y1" s="376"/>
      <c r="Z1" s="376"/>
      <c r="AB1" s="378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48"/>
      <c r="AO1" s="348"/>
      <c r="AP1" s="348"/>
      <c r="AQ1" s="348"/>
      <c r="AR1" s="348"/>
      <c r="AS1" s="348"/>
      <c r="AT1" s="348"/>
      <c r="AU1" s="348"/>
      <c r="AV1" s="348"/>
      <c r="AW1" s="348"/>
      <c r="AX1" s="348"/>
      <c r="AY1" s="348"/>
      <c r="AZ1" s="348"/>
    </row>
    <row r="2" spans="1:61" ht="18.75">
      <c r="A2" s="379" t="s">
        <v>69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V2" s="379"/>
      <c r="W2" s="379"/>
    </row>
    <row r="3" spans="1:61">
      <c r="V3" s="351"/>
      <c r="W3" s="351"/>
      <c r="X3" s="351"/>
      <c r="Y3" s="351"/>
      <c r="Z3" s="351"/>
      <c r="AA3" s="351"/>
    </row>
    <row r="4" spans="1:61" s="381" customFormat="1" ht="75">
      <c r="A4" s="380" t="s">
        <v>0</v>
      </c>
      <c r="B4" s="380" t="s">
        <v>1</v>
      </c>
      <c r="C4" s="380" t="s">
        <v>2</v>
      </c>
      <c r="D4" s="380" t="s">
        <v>3</v>
      </c>
      <c r="E4" s="380" t="s">
        <v>4</v>
      </c>
      <c r="F4" s="380" t="s">
        <v>5</v>
      </c>
      <c r="G4" s="380" t="s">
        <v>6</v>
      </c>
      <c r="H4" s="380" t="s">
        <v>7</v>
      </c>
      <c r="I4" s="380" t="s">
        <v>9</v>
      </c>
      <c r="J4" s="380" t="s">
        <v>101</v>
      </c>
      <c r="K4" s="380" t="s">
        <v>10</v>
      </c>
      <c r="L4" s="380" t="s">
        <v>11</v>
      </c>
      <c r="M4" s="380" t="s">
        <v>793</v>
      </c>
      <c r="N4" s="380" t="s">
        <v>794</v>
      </c>
      <c r="O4" s="328" t="s">
        <v>795</v>
      </c>
      <c r="P4" s="328" t="s">
        <v>12</v>
      </c>
      <c r="Q4" s="328" t="s">
        <v>796</v>
      </c>
      <c r="R4" s="328" t="s">
        <v>797</v>
      </c>
      <c r="S4" s="328" t="s">
        <v>798</v>
      </c>
      <c r="T4" s="328" t="s">
        <v>799</v>
      </c>
      <c r="U4" s="328" t="s">
        <v>800</v>
      </c>
      <c r="V4" s="380" t="s">
        <v>13</v>
      </c>
      <c r="W4" s="380" t="s">
        <v>14</v>
      </c>
      <c r="X4" s="380" t="s">
        <v>15</v>
      </c>
      <c r="Y4" s="380" t="s">
        <v>185</v>
      </c>
      <c r="Z4" s="380" t="s">
        <v>385</v>
      </c>
      <c r="AA4" s="380" t="s">
        <v>67</v>
      </c>
      <c r="AB4" s="471" t="s">
        <v>207</v>
      </c>
      <c r="AC4" s="380" t="s">
        <v>16</v>
      </c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</row>
    <row r="5" spans="1:61" s="148" customFormat="1" ht="66.75" customHeight="1">
      <c r="A5" s="339">
        <v>1</v>
      </c>
      <c r="B5" s="339">
        <v>1134</v>
      </c>
      <c r="C5" s="127" t="s">
        <v>49</v>
      </c>
      <c r="D5" s="112">
        <f>3200000-95000</f>
        <v>3105000</v>
      </c>
      <c r="E5" s="112">
        <v>3105000</v>
      </c>
      <c r="F5" s="112">
        <f t="shared" ref="F5:F11" si="0">D5-E5</f>
        <v>0</v>
      </c>
      <c r="G5" s="112">
        <v>2847000</v>
      </c>
      <c r="H5" s="112">
        <v>2646405.7200000002</v>
      </c>
      <c r="I5" s="112">
        <v>0</v>
      </c>
      <c r="J5" s="112">
        <v>200545.37</v>
      </c>
      <c r="K5" s="112">
        <f t="shared" ref="K5:K11" si="1">I5+J5</f>
        <v>200545.37</v>
      </c>
      <c r="L5" s="112">
        <f t="shared" ref="L5:L11" si="2">H5+K5</f>
        <v>2846951.0900000003</v>
      </c>
      <c r="M5" s="112">
        <f>P5+S5</f>
        <v>48.90999999968335</v>
      </c>
      <c r="N5" s="112"/>
      <c r="O5" s="112">
        <f t="shared" ref="O5:O11" si="3">D5-L5-M5-N5</f>
        <v>258000</v>
      </c>
      <c r="P5" s="112">
        <f t="shared" ref="P5:P11" si="4">G5-L5</f>
        <v>48.90999999968335</v>
      </c>
      <c r="Q5" s="112"/>
      <c r="R5" s="112"/>
      <c r="S5" s="112">
        <f t="shared" ref="S5:S11" si="5">SUM(Q5:R5)</f>
        <v>0</v>
      </c>
      <c r="T5" s="112">
        <f t="shared" ref="T5:T11" si="6">P5-M5+S5</f>
        <v>0</v>
      </c>
      <c r="U5" s="112">
        <f t="shared" ref="U5:U11" si="7">N5-T5</f>
        <v>0</v>
      </c>
      <c r="V5" s="112">
        <f t="shared" ref="V5:V11" si="8">U5-W5-Z5-AA5</f>
        <v>0</v>
      </c>
      <c r="W5" s="112"/>
      <c r="X5" s="112"/>
      <c r="Y5" s="112"/>
      <c r="Z5" s="112"/>
      <c r="AA5" s="112"/>
      <c r="AB5" s="339" t="s">
        <v>865</v>
      </c>
      <c r="AC5" s="339">
        <v>746000</v>
      </c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48"/>
      <c r="AO5" s="348"/>
      <c r="AP5" s="348"/>
      <c r="AQ5" s="348"/>
      <c r="AR5" s="348"/>
      <c r="AS5" s="348"/>
      <c r="AT5" s="348"/>
      <c r="AU5" s="348"/>
      <c r="AV5" s="348"/>
      <c r="AW5" s="348"/>
      <c r="AX5" s="348"/>
      <c r="AY5" s="348"/>
      <c r="AZ5" s="348"/>
      <c r="BA5" s="288"/>
      <c r="BB5" s="288"/>
      <c r="BC5" s="288"/>
    </row>
    <row r="6" spans="1:61" s="148" customFormat="1" ht="30">
      <c r="A6" s="339">
        <f t="shared" ref="A6:A13" si="9">1+A5</f>
        <v>2</v>
      </c>
      <c r="B6" s="339">
        <v>1598</v>
      </c>
      <c r="C6" s="127" t="s">
        <v>50</v>
      </c>
      <c r="D6" s="112">
        <v>688500</v>
      </c>
      <c r="E6" s="112">
        <v>688500</v>
      </c>
      <c r="F6" s="112">
        <f t="shared" si="0"/>
        <v>0</v>
      </c>
      <c r="G6" s="112">
        <v>688500</v>
      </c>
      <c r="H6" s="112">
        <v>629583.48</v>
      </c>
      <c r="I6" s="112">
        <v>0</v>
      </c>
      <c r="J6" s="112">
        <v>31536.79</v>
      </c>
      <c r="K6" s="112">
        <f t="shared" si="1"/>
        <v>31536.79</v>
      </c>
      <c r="L6" s="112">
        <f t="shared" si="2"/>
        <v>661120.27</v>
      </c>
      <c r="M6" s="112">
        <f t="shared" ref="M6:M11" si="10">P6+S6</f>
        <v>27379.729999999981</v>
      </c>
      <c r="N6" s="112"/>
      <c r="O6" s="112">
        <f t="shared" si="3"/>
        <v>0</v>
      </c>
      <c r="P6" s="112">
        <f t="shared" si="4"/>
        <v>27379.729999999981</v>
      </c>
      <c r="Q6" s="112"/>
      <c r="R6" s="112"/>
      <c r="S6" s="112">
        <f t="shared" si="5"/>
        <v>0</v>
      </c>
      <c r="T6" s="112">
        <f t="shared" si="6"/>
        <v>0</v>
      </c>
      <c r="U6" s="112">
        <f t="shared" si="7"/>
        <v>0</v>
      </c>
      <c r="V6" s="112">
        <f t="shared" si="8"/>
        <v>0</v>
      </c>
      <c r="W6" s="112"/>
      <c r="X6" s="112"/>
      <c r="Y6" s="112"/>
      <c r="Z6" s="112"/>
      <c r="AA6" s="112"/>
      <c r="AB6" s="339" t="s">
        <v>1285</v>
      </c>
      <c r="AC6" s="339">
        <v>870000</v>
      </c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288"/>
      <c r="BB6" s="288"/>
      <c r="BC6" s="288"/>
    </row>
    <row r="7" spans="1:61" s="148" customFormat="1" ht="30">
      <c r="A7" s="339">
        <f t="shared" si="9"/>
        <v>3</v>
      </c>
      <c r="B7" s="339">
        <v>1817</v>
      </c>
      <c r="C7" s="127" t="s">
        <v>81</v>
      </c>
      <c r="D7" s="112">
        <f>1040000-50000</f>
        <v>990000</v>
      </c>
      <c r="E7" s="112">
        <v>940000</v>
      </c>
      <c r="F7" s="112">
        <f t="shared" si="0"/>
        <v>50000</v>
      </c>
      <c r="G7" s="112">
        <v>940000</v>
      </c>
      <c r="H7" s="112">
        <v>801747.55</v>
      </c>
      <c r="I7" s="112">
        <v>0</v>
      </c>
      <c r="J7" s="112">
        <v>57194.5</v>
      </c>
      <c r="K7" s="112">
        <f t="shared" si="1"/>
        <v>57194.5</v>
      </c>
      <c r="L7" s="112">
        <f t="shared" si="2"/>
        <v>858942.05</v>
      </c>
      <c r="M7" s="112">
        <f t="shared" si="10"/>
        <v>81057.949999999953</v>
      </c>
      <c r="N7" s="112">
        <v>50000</v>
      </c>
      <c r="O7" s="112">
        <f t="shared" si="3"/>
        <v>0</v>
      </c>
      <c r="P7" s="112">
        <f t="shared" si="4"/>
        <v>81057.949999999953</v>
      </c>
      <c r="Q7" s="112"/>
      <c r="R7" s="112"/>
      <c r="S7" s="112">
        <f t="shared" si="5"/>
        <v>0</v>
      </c>
      <c r="T7" s="112">
        <f t="shared" si="6"/>
        <v>0</v>
      </c>
      <c r="U7" s="112">
        <f t="shared" si="7"/>
        <v>50000</v>
      </c>
      <c r="V7" s="112">
        <f t="shared" si="8"/>
        <v>0</v>
      </c>
      <c r="W7" s="112"/>
      <c r="X7" s="112"/>
      <c r="Y7" s="112"/>
      <c r="Z7" s="112"/>
      <c r="AA7" s="112">
        <v>50000</v>
      </c>
      <c r="AB7" s="339" t="s">
        <v>393</v>
      </c>
      <c r="AC7" s="339">
        <v>810000</v>
      </c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288"/>
      <c r="BB7" s="288"/>
      <c r="BC7" s="288"/>
    </row>
    <row r="8" spans="1:61" s="148" customFormat="1" ht="90">
      <c r="A8" s="339">
        <f t="shared" si="9"/>
        <v>4</v>
      </c>
      <c r="B8" s="339">
        <v>1922</v>
      </c>
      <c r="C8" s="127" t="s">
        <v>93</v>
      </c>
      <c r="D8" s="112">
        <v>330000</v>
      </c>
      <c r="E8" s="112">
        <v>330000</v>
      </c>
      <c r="F8" s="112">
        <f t="shared" si="0"/>
        <v>0</v>
      </c>
      <c r="G8" s="112">
        <v>200000</v>
      </c>
      <c r="H8" s="112">
        <v>147444.19</v>
      </c>
      <c r="I8" s="112">
        <v>0</v>
      </c>
      <c r="J8" s="112">
        <v>13840</v>
      </c>
      <c r="K8" s="112">
        <f t="shared" si="1"/>
        <v>13840</v>
      </c>
      <c r="L8" s="112">
        <f t="shared" si="2"/>
        <v>161284.19</v>
      </c>
      <c r="M8" s="112">
        <f t="shared" si="10"/>
        <v>38715.81</v>
      </c>
      <c r="N8" s="112">
        <v>50000</v>
      </c>
      <c r="O8" s="112">
        <f t="shared" si="3"/>
        <v>80000</v>
      </c>
      <c r="P8" s="112">
        <f t="shared" si="4"/>
        <v>38715.81</v>
      </c>
      <c r="Q8" s="112"/>
      <c r="R8" s="112"/>
      <c r="S8" s="112">
        <f t="shared" si="5"/>
        <v>0</v>
      </c>
      <c r="T8" s="112">
        <f t="shared" si="6"/>
        <v>0</v>
      </c>
      <c r="U8" s="112">
        <f t="shared" si="7"/>
        <v>50000</v>
      </c>
      <c r="V8" s="112">
        <f t="shared" si="8"/>
        <v>0</v>
      </c>
      <c r="W8" s="112">
        <v>50000</v>
      </c>
      <c r="X8" s="112"/>
      <c r="Y8" s="112"/>
      <c r="Z8" s="112"/>
      <c r="AA8" s="112"/>
      <c r="AB8" s="339" t="s">
        <v>561</v>
      </c>
      <c r="AC8" s="339">
        <v>870000</v>
      </c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48"/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288"/>
      <c r="BB8" s="288"/>
      <c r="BC8" s="288"/>
    </row>
    <row r="9" spans="1:61" s="385" customFormat="1" ht="55.5" customHeight="1">
      <c r="A9" s="339">
        <f t="shared" si="9"/>
        <v>5</v>
      </c>
      <c r="B9" s="345">
        <v>2168</v>
      </c>
      <c r="C9" s="127" t="s">
        <v>319</v>
      </c>
      <c r="D9" s="112">
        <v>100000</v>
      </c>
      <c r="E9" s="112">
        <v>100000</v>
      </c>
      <c r="F9" s="112">
        <f t="shared" si="0"/>
        <v>0</v>
      </c>
      <c r="G9" s="112">
        <v>100000</v>
      </c>
      <c r="H9" s="112">
        <v>11040</v>
      </c>
      <c r="I9" s="112">
        <v>0</v>
      </c>
      <c r="J9" s="112">
        <v>400</v>
      </c>
      <c r="K9" s="112">
        <f t="shared" si="1"/>
        <v>400</v>
      </c>
      <c r="L9" s="112">
        <f t="shared" si="2"/>
        <v>11440</v>
      </c>
      <c r="M9" s="112">
        <f t="shared" si="10"/>
        <v>88560</v>
      </c>
      <c r="N9" s="112"/>
      <c r="O9" s="112">
        <f t="shared" si="3"/>
        <v>0</v>
      </c>
      <c r="P9" s="112">
        <f t="shared" si="4"/>
        <v>88560</v>
      </c>
      <c r="Q9" s="112"/>
      <c r="R9" s="112"/>
      <c r="S9" s="112">
        <f t="shared" si="5"/>
        <v>0</v>
      </c>
      <c r="T9" s="112">
        <f t="shared" si="6"/>
        <v>0</v>
      </c>
      <c r="U9" s="112">
        <f t="shared" si="7"/>
        <v>0</v>
      </c>
      <c r="V9" s="112">
        <f t="shared" si="8"/>
        <v>0</v>
      </c>
      <c r="W9" s="112"/>
      <c r="X9" s="112"/>
      <c r="Y9" s="112"/>
      <c r="Z9" s="112"/>
      <c r="AA9" s="112"/>
      <c r="AB9" s="339" t="s">
        <v>502</v>
      </c>
      <c r="AC9" s="339">
        <v>746000</v>
      </c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84"/>
      <c r="BB9" s="384"/>
      <c r="BC9" s="384"/>
    </row>
    <row r="10" spans="1:61" s="385" customFormat="1" ht="37.5" customHeight="1">
      <c r="A10" s="339">
        <f t="shared" si="9"/>
        <v>6</v>
      </c>
      <c r="B10" s="345">
        <v>20019</v>
      </c>
      <c r="C10" s="352" t="s">
        <v>435</v>
      </c>
      <c r="D10" s="112">
        <v>350000</v>
      </c>
      <c r="E10" s="112">
        <v>350000</v>
      </c>
      <c r="F10" s="112">
        <f t="shared" si="0"/>
        <v>0</v>
      </c>
      <c r="G10" s="112">
        <v>150000</v>
      </c>
      <c r="H10" s="112">
        <v>17380</v>
      </c>
      <c r="I10" s="112">
        <v>0</v>
      </c>
      <c r="J10" s="112">
        <v>0</v>
      </c>
      <c r="K10" s="112">
        <f t="shared" si="1"/>
        <v>0</v>
      </c>
      <c r="L10" s="112">
        <f t="shared" si="2"/>
        <v>17380</v>
      </c>
      <c r="M10" s="112">
        <f t="shared" si="10"/>
        <v>293620</v>
      </c>
      <c r="N10" s="112"/>
      <c r="O10" s="112">
        <f t="shared" si="3"/>
        <v>39000</v>
      </c>
      <c r="P10" s="112">
        <f t="shared" si="4"/>
        <v>132620</v>
      </c>
      <c r="Q10" s="112">
        <v>161000</v>
      </c>
      <c r="R10" s="112"/>
      <c r="S10" s="112">
        <f t="shared" si="5"/>
        <v>161000</v>
      </c>
      <c r="T10" s="112">
        <f t="shared" si="6"/>
        <v>0</v>
      </c>
      <c r="U10" s="112">
        <f t="shared" si="7"/>
        <v>0</v>
      </c>
      <c r="V10" s="112">
        <f t="shared" si="8"/>
        <v>0</v>
      </c>
      <c r="W10" s="112"/>
      <c r="X10" s="112"/>
      <c r="Y10" s="112"/>
      <c r="Z10" s="112"/>
      <c r="AA10" s="112"/>
      <c r="AB10" s="339" t="s">
        <v>1286</v>
      </c>
      <c r="AC10" s="339">
        <v>870000</v>
      </c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8"/>
      <c r="BA10" s="384"/>
      <c r="BB10" s="384"/>
      <c r="BC10" s="384"/>
    </row>
    <row r="11" spans="1:61" s="343" customFormat="1" ht="63" customHeight="1">
      <c r="A11" s="339">
        <f t="shared" si="9"/>
        <v>7</v>
      </c>
      <c r="B11" s="345">
        <v>20079</v>
      </c>
      <c r="C11" s="127" t="s">
        <v>496</v>
      </c>
      <c r="D11" s="112">
        <f>200000-100000</f>
        <v>100000</v>
      </c>
      <c r="E11" s="112">
        <v>100000</v>
      </c>
      <c r="F11" s="112">
        <f t="shared" si="0"/>
        <v>0</v>
      </c>
      <c r="G11" s="112">
        <v>100000</v>
      </c>
      <c r="H11" s="112">
        <v>8921</v>
      </c>
      <c r="I11" s="112">
        <v>0</v>
      </c>
      <c r="J11" s="112">
        <v>0</v>
      </c>
      <c r="K11" s="112">
        <f t="shared" si="1"/>
        <v>0</v>
      </c>
      <c r="L11" s="112">
        <f t="shared" si="2"/>
        <v>8921</v>
      </c>
      <c r="M11" s="112">
        <f t="shared" si="10"/>
        <v>91079</v>
      </c>
      <c r="N11" s="112"/>
      <c r="O11" s="112">
        <f t="shared" si="3"/>
        <v>0</v>
      </c>
      <c r="P11" s="112">
        <f t="shared" si="4"/>
        <v>91079</v>
      </c>
      <c r="Q11" s="112"/>
      <c r="R11" s="112"/>
      <c r="S11" s="112">
        <f t="shared" si="5"/>
        <v>0</v>
      </c>
      <c r="T11" s="112">
        <f t="shared" si="6"/>
        <v>0</v>
      </c>
      <c r="U11" s="112">
        <f t="shared" si="7"/>
        <v>0</v>
      </c>
      <c r="V11" s="112">
        <f t="shared" si="8"/>
        <v>0</v>
      </c>
      <c r="W11" s="112"/>
      <c r="X11" s="112"/>
      <c r="Y11" s="112"/>
      <c r="Z11" s="112"/>
      <c r="AA11" s="112"/>
      <c r="AB11" s="339" t="s">
        <v>559</v>
      </c>
      <c r="AC11" s="339">
        <v>870000</v>
      </c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48"/>
      <c r="AO11" s="348"/>
      <c r="AP11" s="348"/>
      <c r="AQ11" s="348"/>
      <c r="AR11" s="348"/>
      <c r="AS11" s="348"/>
      <c r="AT11" s="348"/>
      <c r="AU11" s="348"/>
      <c r="AV11" s="348"/>
      <c r="AW11" s="348"/>
      <c r="AX11" s="348"/>
      <c r="AY11" s="348"/>
      <c r="AZ11" s="348"/>
      <c r="BA11" s="256"/>
      <c r="BB11" s="256"/>
      <c r="BC11" s="256"/>
      <c r="BD11" s="256"/>
      <c r="BE11" s="256"/>
      <c r="BF11" s="256"/>
      <c r="BG11" s="256"/>
      <c r="BH11" s="256"/>
      <c r="BI11" s="256"/>
    </row>
    <row r="12" spans="1:61" s="343" customFormat="1" ht="50.25" customHeight="1">
      <c r="A12" s="339">
        <f t="shared" si="9"/>
        <v>8</v>
      </c>
      <c r="B12" s="345">
        <v>20136</v>
      </c>
      <c r="C12" s="127" t="s">
        <v>636</v>
      </c>
      <c r="D12" s="112">
        <v>344000</v>
      </c>
      <c r="E12" s="112">
        <v>344000</v>
      </c>
      <c r="F12" s="112">
        <f>D12-E12</f>
        <v>0</v>
      </c>
      <c r="G12" s="112">
        <v>150000</v>
      </c>
      <c r="H12" s="112">
        <v>3746.4</v>
      </c>
      <c r="I12" s="112">
        <v>0</v>
      </c>
      <c r="J12" s="112">
        <v>97227.99</v>
      </c>
      <c r="K12" s="112">
        <f>I12+J12</f>
        <v>97227.99</v>
      </c>
      <c r="L12" s="112">
        <f>H12+K12</f>
        <v>100974.39</v>
      </c>
      <c r="M12" s="112">
        <f>P12+S12-200000</f>
        <v>43025.609999999986</v>
      </c>
      <c r="N12" s="112">
        <v>200000</v>
      </c>
      <c r="O12" s="112">
        <f>D12-L12-M12-N12</f>
        <v>0</v>
      </c>
      <c r="P12" s="112">
        <f>G12-L12</f>
        <v>49025.61</v>
      </c>
      <c r="Q12" s="112">
        <v>194000</v>
      </c>
      <c r="R12" s="112"/>
      <c r="S12" s="112">
        <f>SUM(Q12:R12)</f>
        <v>194000</v>
      </c>
      <c r="T12" s="112">
        <f>P12-M12+S12</f>
        <v>200000</v>
      </c>
      <c r="U12" s="112">
        <f>N12-T12</f>
        <v>0</v>
      </c>
      <c r="V12" s="112">
        <f>U12-W12-Z12-AA12</f>
        <v>0</v>
      </c>
      <c r="W12" s="112"/>
      <c r="X12" s="112"/>
      <c r="Y12" s="112"/>
      <c r="Z12" s="112"/>
      <c r="AA12" s="112"/>
      <c r="AB12" s="339" t="s">
        <v>770</v>
      </c>
      <c r="AC12" s="339">
        <v>870000</v>
      </c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256"/>
      <c r="BB12" s="256"/>
      <c r="BC12" s="256"/>
      <c r="BD12" s="256"/>
      <c r="BE12" s="256"/>
      <c r="BF12" s="256"/>
      <c r="BG12" s="256"/>
      <c r="BH12" s="256"/>
      <c r="BI12" s="256"/>
    </row>
    <row r="13" spans="1:61" s="343" customFormat="1" ht="39" customHeight="1">
      <c r="A13" s="339">
        <f t="shared" si="9"/>
        <v>9</v>
      </c>
      <c r="B13" s="345">
        <v>20177</v>
      </c>
      <c r="C13" s="127" t="s">
        <v>866</v>
      </c>
      <c r="D13" s="112">
        <v>15000000</v>
      </c>
      <c r="E13" s="112"/>
      <c r="F13" s="112">
        <f t="shared" ref="F13" si="11">D13-E13</f>
        <v>15000000</v>
      </c>
      <c r="G13" s="112">
        <v>0</v>
      </c>
      <c r="H13" s="112"/>
      <c r="I13" s="112"/>
      <c r="J13" s="112"/>
      <c r="K13" s="112">
        <f t="shared" ref="K13" si="12">I13+J13</f>
        <v>0</v>
      </c>
      <c r="L13" s="112">
        <f t="shared" ref="L13" si="13">H13+K13</f>
        <v>0</v>
      </c>
      <c r="M13" s="112">
        <f t="shared" ref="M13" si="14">P13+S13</f>
        <v>0</v>
      </c>
      <c r="N13" s="112">
        <f>5000000-4000000</f>
        <v>1000000</v>
      </c>
      <c r="O13" s="112">
        <f t="shared" ref="O13" si="15">D13-L13-M13-N13</f>
        <v>14000000</v>
      </c>
      <c r="P13" s="112">
        <f t="shared" ref="P13" si="16">G13-L13</f>
        <v>0</v>
      </c>
      <c r="Q13" s="112"/>
      <c r="R13" s="112"/>
      <c r="S13" s="112">
        <f t="shared" ref="S13" si="17">SUM(Q13:R13)</f>
        <v>0</v>
      </c>
      <c r="T13" s="112">
        <f t="shared" ref="T13" si="18">P13-M13+S13</f>
        <v>0</v>
      </c>
      <c r="U13" s="112">
        <f t="shared" ref="U13" si="19">N13-T13</f>
        <v>1000000</v>
      </c>
      <c r="V13" s="112">
        <f t="shared" ref="V13" si="20">U13-W13-Z13-AA13</f>
        <v>0</v>
      </c>
      <c r="W13" s="112">
        <v>1000000</v>
      </c>
      <c r="X13" s="112"/>
      <c r="Y13" s="112"/>
      <c r="Z13" s="112"/>
      <c r="AA13" s="112"/>
      <c r="AB13" s="339" t="s">
        <v>1287</v>
      </c>
      <c r="AC13" s="339">
        <v>870000</v>
      </c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48"/>
      <c r="AO13" s="348"/>
      <c r="AP13" s="348"/>
      <c r="AQ13" s="348"/>
      <c r="AR13" s="348"/>
      <c r="AS13" s="348"/>
      <c r="AT13" s="348"/>
      <c r="AU13" s="348"/>
      <c r="AV13" s="348"/>
      <c r="AW13" s="256"/>
      <c r="AX13" s="256"/>
      <c r="AY13" s="256"/>
      <c r="AZ13" s="256"/>
      <c r="BA13" s="256"/>
      <c r="BB13" s="256"/>
      <c r="BC13" s="256"/>
      <c r="BD13" s="256"/>
      <c r="BE13" s="256"/>
    </row>
    <row r="14" spans="1:61" s="354" customFormat="1" ht="31.9" customHeight="1">
      <c r="A14" s="236">
        <f>COUNT(A5:A13)</f>
        <v>9</v>
      </c>
      <c r="B14" s="344"/>
      <c r="C14" s="208" t="s">
        <v>75</v>
      </c>
      <c r="D14" s="236">
        <f>SUM(D5:D13)</f>
        <v>21007500</v>
      </c>
      <c r="E14" s="236">
        <f t="shared" ref="E14:AA14" si="21">SUM(E5:E13)</f>
        <v>5957500</v>
      </c>
      <c r="F14" s="236">
        <f t="shared" si="21"/>
        <v>15050000</v>
      </c>
      <c r="G14" s="236">
        <f t="shared" si="21"/>
        <v>5175500</v>
      </c>
      <c r="H14" s="236">
        <f t="shared" si="21"/>
        <v>4266268.3400000008</v>
      </c>
      <c r="I14" s="236">
        <f t="shared" si="21"/>
        <v>0</v>
      </c>
      <c r="J14" s="236">
        <f t="shared" si="21"/>
        <v>400744.65</v>
      </c>
      <c r="K14" s="236">
        <f t="shared" si="21"/>
        <v>400744.65</v>
      </c>
      <c r="L14" s="236">
        <f t="shared" si="21"/>
        <v>4667012.99</v>
      </c>
      <c r="M14" s="236">
        <f t="shared" si="21"/>
        <v>663487.00999999966</v>
      </c>
      <c r="N14" s="236">
        <f t="shared" si="21"/>
        <v>1300000</v>
      </c>
      <c r="O14" s="236">
        <f t="shared" si="21"/>
        <v>14377000</v>
      </c>
      <c r="P14" s="236">
        <f t="shared" si="21"/>
        <v>508487.0099999996</v>
      </c>
      <c r="Q14" s="236">
        <f t="shared" si="21"/>
        <v>355000</v>
      </c>
      <c r="R14" s="236">
        <f t="shared" si="21"/>
        <v>0</v>
      </c>
      <c r="S14" s="236">
        <f t="shared" si="21"/>
        <v>355000</v>
      </c>
      <c r="T14" s="236">
        <f t="shared" si="21"/>
        <v>200000</v>
      </c>
      <c r="U14" s="236">
        <f t="shared" si="21"/>
        <v>1100000</v>
      </c>
      <c r="V14" s="236">
        <f t="shared" si="21"/>
        <v>0</v>
      </c>
      <c r="W14" s="236">
        <f t="shared" si="21"/>
        <v>1050000</v>
      </c>
      <c r="X14" s="236">
        <f t="shared" si="21"/>
        <v>0</v>
      </c>
      <c r="Y14" s="236">
        <f t="shared" si="21"/>
        <v>0</v>
      </c>
      <c r="Z14" s="236">
        <f t="shared" si="21"/>
        <v>0</v>
      </c>
      <c r="AA14" s="236">
        <f t="shared" si="21"/>
        <v>50000</v>
      </c>
      <c r="AB14" s="344"/>
      <c r="AC14" s="344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48"/>
      <c r="AO14" s="348"/>
      <c r="AP14" s="353"/>
      <c r="AQ14" s="353"/>
      <c r="AR14" s="353"/>
      <c r="AS14" s="353"/>
      <c r="AT14" s="353"/>
      <c r="AU14" s="353"/>
      <c r="AV14" s="353"/>
      <c r="AW14" s="353"/>
      <c r="AX14" s="353"/>
      <c r="AY14" s="353"/>
      <c r="AZ14" s="353"/>
      <c r="BA14" s="312"/>
      <c r="BB14" s="312"/>
      <c r="BC14" s="312"/>
      <c r="BD14" s="312"/>
      <c r="BE14" s="312"/>
      <c r="BF14" s="312"/>
      <c r="BG14" s="312"/>
      <c r="BH14" s="312"/>
      <c r="BI14" s="312"/>
    </row>
    <row r="15" spans="1:61" ht="23.25" hidden="1" customHeight="1">
      <c r="D15" s="350">
        <f>SUM(L14:O14)</f>
        <v>21007500</v>
      </c>
      <c r="E15" s="514"/>
      <c r="F15" s="350">
        <f>SUM(E14:F14)</f>
        <v>21007500</v>
      </c>
      <c r="L15" s="350">
        <f>H14+I14+J14</f>
        <v>4667012.9900000012</v>
      </c>
      <c r="P15" s="350">
        <f>G14-L15</f>
        <v>508487.00999999885</v>
      </c>
      <c r="Q15" s="350">
        <f>'תקציב איכות הסביבה 2024  '!AX14</f>
        <v>355000</v>
      </c>
      <c r="T15" s="350">
        <f>P15+S14-M14</f>
        <v>199999.99999999919</v>
      </c>
      <c r="U15" s="350">
        <f>N14-T14</f>
        <v>1100000</v>
      </c>
      <c r="AB15" s="472"/>
    </row>
    <row r="16" spans="1:61" ht="33" customHeight="1"/>
    <row r="18" ht="33" customHeight="1"/>
    <row r="20" ht="45.75" customHeight="1"/>
    <row r="22" ht="47.25" customHeight="1"/>
    <row r="24" ht="36.75" customHeight="1"/>
    <row r="28" ht="45" customHeight="1"/>
    <row r="30" ht="58.5" customHeight="1"/>
    <row r="31" ht="50.25" customHeight="1"/>
    <row r="38" ht="51.75" customHeight="1"/>
    <row r="39" ht="35.25" customHeight="1"/>
    <row r="40" ht="31.5" customHeight="1"/>
    <row r="45" ht="37.5" customHeight="1"/>
    <row r="56" ht="48.75" customHeight="1"/>
    <row r="57" ht="31.5" customHeight="1"/>
    <row r="59" ht="45.75" customHeight="1"/>
    <row r="61" ht="33.75" customHeight="1"/>
    <row r="64" ht="27.75" customHeight="1"/>
    <row r="116" spans="1:1">
      <c r="A116" s="347">
        <f>COUNT(A5:A115)</f>
        <v>10</v>
      </c>
    </row>
    <row r="119" spans="1:1">
      <c r="A119" s="347">
        <f>A116+1</f>
        <v>11</v>
      </c>
    </row>
    <row r="122" spans="1:1" ht="37.9" customHeight="1"/>
    <row r="125" spans="1:1" ht="70.900000000000006" customHeight="1"/>
    <row r="128" spans="1:1" ht="72" customHeight="1"/>
    <row r="130" ht="43.9" customHeight="1"/>
    <row r="132" ht="30" customHeight="1"/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conditionalFormatting sqref="AB4">
    <cfRule type="cellIs" dxfId="230" priority="2" operator="equal">
      <formula>0</formula>
    </cfRule>
  </conditionalFormatting>
  <conditionalFormatting sqref="AG4:AM4">
    <cfRule type="cellIs" dxfId="229" priority="1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W145"/>
  <sheetViews>
    <sheetView showZeros="0" rightToLeft="1" zoomScaleNormal="100" workbookViewId="0">
      <pane xSplit="3" ySplit="4" topLeftCell="D5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8.75"/>
  <cols>
    <col min="1" max="1" width="3.7109375" style="347" customWidth="1"/>
    <col min="2" max="2" width="5.7109375" style="348" customWidth="1"/>
    <col min="3" max="3" width="19.5703125" style="348" customWidth="1"/>
    <col min="4" max="5" width="11.140625" style="350" customWidth="1"/>
    <col min="6" max="6" width="11.7109375" style="350" customWidth="1"/>
    <col min="7" max="8" width="11.140625" style="350" hidden="1" customWidth="1"/>
    <col min="9" max="11" width="9.85546875" style="350" hidden="1" customWidth="1"/>
    <col min="12" max="12" width="11.140625" style="350" customWidth="1"/>
    <col min="13" max="13" width="9" style="350" customWidth="1"/>
    <col min="14" max="14" width="9.85546875" style="350" customWidth="1"/>
    <col min="15" max="15" width="11.140625" style="350" customWidth="1"/>
    <col min="16" max="16" width="10.140625" style="350" hidden="1" customWidth="1"/>
    <col min="17" max="18" width="13.5703125" style="350" hidden="1" customWidth="1"/>
    <col min="19" max="19" width="9.140625" style="350" hidden="1" customWidth="1"/>
    <col min="20" max="20" width="7.42578125" style="350" customWidth="1"/>
    <col min="21" max="21" width="10.42578125" style="348" customWidth="1"/>
    <col min="22" max="22" width="11.140625" style="348" customWidth="1"/>
    <col min="23" max="23" width="9.140625" style="348" customWidth="1"/>
    <col min="24" max="24" width="6.42578125" style="348" hidden="1" customWidth="1"/>
    <col min="25" max="25" width="7.42578125" style="348" hidden="1" customWidth="1"/>
    <col min="26" max="26" width="7.85546875" style="348" hidden="1" customWidth="1"/>
    <col min="27" max="27" width="9.7109375" style="348" hidden="1" customWidth="1"/>
    <col min="28" max="28" width="31.28515625" style="351" customWidth="1"/>
    <col min="29" max="29" width="7" style="348" hidden="1" customWidth="1"/>
    <col min="30" max="31" width="11.140625" style="351" customWidth="1"/>
    <col min="32" max="32" width="17.5703125" style="351" customWidth="1"/>
    <col min="33" max="33" width="21.28515625" style="348" customWidth="1"/>
    <col min="34" max="34" width="25.7109375" style="604" customWidth="1"/>
    <col min="35" max="35" width="45" style="604" customWidth="1"/>
    <col min="36" max="36" width="11.140625" style="604" customWidth="1"/>
    <col min="37" max="37" width="19.28515625" style="604" customWidth="1"/>
    <col min="38" max="38" width="11.140625" style="604" customWidth="1"/>
    <col min="39" max="39" width="17.5703125" style="604" customWidth="1"/>
    <col min="40" max="41" width="9.7109375" style="348" customWidth="1"/>
    <col min="42" max="42" width="18.85546875" style="348" customWidth="1"/>
    <col min="43" max="49" width="10.7109375" style="348" customWidth="1"/>
    <col min="50" max="16384" width="9.140625" style="348"/>
  </cols>
  <sheetData>
    <row r="1" spans="1:49" s="377" customFormat="1">
      <c r="A1" s="802"/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376"/>
      <c r="Y1" s="376"/>
      <c r="Z1" s="376"/>
      <c r="AB1" s="378"/>
      <c r="AD1" s="351"/>
      <c r="AE1" s="351"/>
      <c r="AF1" s="351"/>
      <c r="AG1" s="348"/>
      <c r="AH1" s="604"/>
      <c r="AI1" s="604"/>
      <c r="AJ1" s="604"/>
      <c r="AK1" s="604"/>
      <c r="AL1" s="604"/>
      <c r="AM1" s="604"/>
      <c r="AN1" s="348"/>
      <c r="AO1" s="348"/>
      <c r="AP1" s="348"/>
      <c r="AQ1" s="348"/>
      <c r="AR1" s="348"/>
      <c r="AS1" s="348"/>
      <c r="AT1" s="348"/>
      <c r="AU1" s="348"/>
      <c r="AV1" s="348"/>
      <c r="AW1" s="348"/>
    </row>
    <row r="2" spans="1:49">
      <c r="A2" s="379" t="s">
        <v>175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V2" s="379"/>
      <c r="W2" s="379"/>
    </row>
    <row r="3" spans="1:49">
      <c r="V3" s="351"/>
      <c r="W3" s="351"/>
      <c r="X3" s="351"/>
      <c r="Y3" s="351"/>
      <c r="Z3" s="351"/>
      <c r="AA3" s="351"/>
    </row>
    <row r="4" spans="1:49" s="381" customFormat="1" ht="75">
      <c r="A4" s="380" t="s">
        <v>0</v>
      </c>
      <c r="B4" s="380" t="s">
        <v>1</v>
      </c>
      <c r="C4" s="380" t="s">
        <v>2</v>
      </c>
      <c r="D4" s="380" t="s">
        <v>3</v>
      </c>
      <c r="E4" s="380" t="s">
        <v>4</v>
      </c>
      <c r="F4" s="380" t="s">
        <v>5</v>
      </c>
      <c r="G4" s="380" t="s">
        <v>6</v>
      </c>
      <c r="H4" s="380" t="s">
        <v>7</v>
      </c>
      <c r="I4" s="380" t="s">
        <v>9</v>
      </c>
      <c r="J4" s="380" t="s">
        <v>101</v>
      </c>
      <c r="K4" s="380" t="s">
        <v>10</v>
      </c>
      <c r="L4" s="380" t="s">
        <v>11</v>
      </c>
      <c r="M4" s="380" t="s">
        <v>793</v>
      </c>
      <c r="N4" s="380" t="s">
        <v>794</v>
      </c>
      <c r="O4" s="328" t="s">
        <v>795</v>
      </c>
      <c r="P4" s="328" t="s">
        <v>12</v>
      </c>
      <c r="Q4" s="380" t="s">
        <v>796</v>
      </c>
      <c r="R4" s="380" t="s">
        <v>797</v>
      </c>
      <c r="S4" s="328" t="s">
        <v>798</v>
      </c>
      <c r="T4" s="328" t="s">
        <v>799</v>
      </c>
      <c r="U4" s="328" t="s">
        <v>800</v>
      </c>
      <c r="V4" s="380" t="s">
        <v>13</v>
      </c>
      <c r="W4" s="380" t="s">
        <v>14</v>
      </c>
      <c r="X4" s="380" t="s">
        <v>15</v>
      </c>
      <c r="Y4" s="380" t="s">
        <v>185</v>
      </c>
      <c r="Z4" s="380" t="s">
        <v>385</v>
      </c>
      <c r="AA4" s="380" t="s">
        <v>67</v>
      </c>
      <c r="AB4" s="473" t="s">
        <v>207</v>
      </c>
      <c r="AC4" s="380" t="s">
        <v>16</v>
      </c>
      <c r="AD4" s="351"/>
      <c r="AE4" s="351"/>
      <c r="AF4" s="351"/>
      <c r="AG4" s="348"/>
      <c r="AH4" s="604"/>
      <c r="AI4" s="604"/>
      <c r="AJ4" s="604"/>
      <c r="AK4" s="604"/>
      <c r="AL4" s="604"/>
      <c r="AM4" s="604"/>
      <c r="AN4" s="348"/>
      <c r="AO4" s="348"/>
      <c r="AP4" s="348"/>
      <c r="AQ4" s="348"/>
      <c r="AR4" s="348"/>
      <c r="AS4" s="348"/>
      <c r="AT4" s="348"/>
      <c r="AU4" s="348"/>
      <c r="AV4" s="348"/>
      <c r="AW4" s="348"/>
    </row>
    <row r="5" spans="1:49" s="343" customFormat="1" ht="60">
      <c r="A5" s="339">
        <v>1</v>
      </c>
      <c r="B5" s="339">
        <v>529</v>
      </c>
      <c r="C5" s="127" t="s">
        <v>52</v>
      </c>
      <c r="D5" s="112">
        <v>700000</v>
      </c>
      <c r="E5" s="112">
        <v>700000</v>
      </c>
      <c r="F5" s="112">
        <f t="shared" ref="F5:F15" si="0">D5-E5</f>
        <v>0</v>
      </c>
      <c r="G5" s="112">
        <v>700000</v>
      </c>
      <c r="H5" s="112">
        <v>617560</v>
      </c>
      <c r="I5" s="112">
        <v>0</v>
      </c>
      <c r="J5" s="112">
        <v>0</v>
      </c>
      <c r="K5" s="112">
        <f>I5+J5</f>
        <v>0</v>
      </c>
      <c r="L5" s="112">
        <f>H5+K5</f>
        <v>617560</v>
      </c>
      <c r="M5" s="112">
        <f t="shared" ref="M5:M6" si="1">P5+S5</f>
        <v>82440</v>
      </c>
      <c r="N5" s="112"/>
      <c r="O5" s="112">
        <f>D5-L5-M5-N5</f>
        <v>0</v>
      </c>
      <c r="P5" s="112">
        <f>G5-L5</f>
        <v>82440</v>
      </c>
      <c r="Q5" s="112"/>
      <c r="R5" s="112"/>
      <c r="S5" s="112">
        <f>SUM(Q5:R5)</f>
        <v>0</v>
      </c>
      <c r="T5" s="112">
        <f>P5-M5+S5</f>
        <v>0</v>
      </c>
      <c r="U5" s="112">
        <f>N5-T5</f>
        <v>0</v>
      </c>
      <c r="V5" s="112">
        <f>U5-W5-Z5-AA5</f>
        <v>0</v>
      </c>
      <c r="W5" s="112"/>
      <c r="X5" s="112"/>
      <c r="Y5" s="112"/>
      <c r="Z5" s="112"/>
      <c r="AA5" s="112"/>
      <c r="AB5" s="352" t="s">
        <v>560</v>
      </c>
      <c r="AC5" s="339">
        <v>840000</v>
      </c>
      <c r="AD5" s="351"/>
      <c r="AE5" s="351"/>
      <c r="AF5" s="351"/>
      <c r="AG5" s="348"/>
      <c r="AH5" s="604"/>
      <c r="AI5" s="604"/>
      <c r="AJ5" s="604"/>
      <c r="AK5" s="604"/>
      <c r="AL5" s="604"/>
      <c r="AM5" s="604"/>
      <c r="AN5" s="348"/>
      <c r="AO5" s="348"/>
      <c r="AP5" s="348"/>
      <c r="AQ5" s="348"/>
      <c r="AR5" s="348"/>
      <c r="AS5" s="348"/>
      <c r="AT5" s="348"/>
      <c r="AU5" s="348"/>
      <c r="AV5" s="348"/>
      <c r="AW5" s="348"/>
    </row>
    <row r="6" spans="1:49" s="343" customFormat="1" ht="60">
      <c r="A6" s="352">
        <f>A5+1</f>
        <v>2</v>
      </c>
      <c r="B6" s="339">
        <v>1032</v>
      </c>
      <c r="C6" s="127" t="s">
        <v>96</v>
      </c>
      <c r="D6" s="112">
        <v>48462968</v>
      </c>
      <c r="E6" s="112">
        <v>48462968</v>
      </c>
      <c r="F6" s="112">
        <f t="shared" si="0"/>
        <v>0</v>
      </c>
      <c r="G6" s="112">
        <v>41662968</v>
      </c>
      <c r="H6" s="112">
        <v>40255417</v>
      </c>
      <c r="I6" s="112">
        <v>140400</v>
      </c>
      <c r="J6" s="112">
        <v>921295</v>
      </c>
      <c r="K6" s="112">
        <f t="shared" ref="K6:K15" si="2">I6+J6</f>
        <v>1061695</v>
      </c>
      <c r="L6" s="112">
        <f t="shared" ref="L6:L15" si="3">H6+K6</f>
        <v>41317112</v>
      </c>
      <c r="M6" s="112">
        <f t="shared" si="1"/>
        <v>845856</v>
      </c>
      <c r="N6" s="112">
        <f>6200000-2200000-500000-400000</f>
        <v>3100000</v>
      </c>
      <c r="O6" s="112">
        <f t="shared" ref="O6:O15" si="4">D6-L6-M6-N6</f>
        <v>3200000</v>
      </c>
      <c r="P6" s="112">
        <f t="shared" ref="P6:P15" si="5">G6-L6</f>
        <v>345856</v>
      </c>
      <c r="Q6" s="112">
        <v>500000</v>
      </c>
      <c r="R6" s="112"/>
      <c r="S6" s="112">
        <f t="shared" ref="S6:S15" si="6">SUM(Q6:R6)</f>
        <v>500000</v>
      </c>
      <c r="T6" s="112">
        <f t="shared" ref="T6:T15" si="7">P6-M6+S6</f>
        <v>0</v>
      </c>
      <c r="U6" s="112">
        <f t="shared" ref="U6:U15" si="8">N6-T6</f>
        <v>3100000</v>
      </c>
      <c r="V6" s="112">
        <f t="shared" ref="V6:V15" si="9">U6-W6-Z6-AA6</f>
        <v>3100000</v>
      </c>
      <c r="W6" s="112"/>
      <c r="X6" s="112"/>
      <c r="Y6" s="112"/>
      <c r="Z6" s="112"/>
      <c r="AA6" s="112"/>
      <c r="AB6" s="352" t="s">
        <v>1503</v>
      </c>
      <c r="AC6" s="339">
        <v>742000</v>
      </c>
      <c r="AD6" s="351"/>
      <c r="AE6" s="351"/>
      <c r="AF6" s="351"/>
      <c r="AG6" s="348"/>
      <c r="AH6" s="604"/>
      <c r="AI6" s="604"/>
      <c r="AJ6" s="604"/>
      <c r="AK6" s="604"/>
      <c r="AL6" s="604"/>
      <c r="AM6" s="604"/>
      <c r="AN6" s="348"/>
      <c r="AO6" s="348"/>
      <c r="AP6" s="348"/>
      <c r="AQ6" s="348"/>
      <c r="AR6" s="348"/>
      <c r="AS6" s="348"/>
      <c r="AT6" s="348"/>
      <c r="AU6" s="348"/>
      <c r="AV6" s="348"/>
      <c r="AW6" s="348"/>
    </row>
    <row r="7" spans="1:49" s="382" customFormat="1" ht="90">
      <c r="A7" s="352">
        <f t="shared" ref="A7:A15" si="10">A6+1</f>
        <v>3</v>
      </c>
      <c r="B7" s="352">
        <v>1130</v>
      </c>
      <c r="C7" s="127" t="s">
        <v>30</v>
      </c>
      <c r="D7" s="112">
        <f>16681894-1000000</f>
        <v>15681894</v>
      </c>
      <c r="E7" s="112">
        <v>16681894</v>
      </c>
      <c r="F7" s="112">
        <f t="shared" si="0"/>
        <v>-1000000</v>
      </c>
      <c r="G7" s="112">
        <v>15681894</v>
      </c>
      <c r="H7" s="112">
        <v>15622640</v>
      </c>
      <c r="I7" s="112">
        <v>0</v>
      </c>
      <c r="J7" s="112">
        <v>47661</v>
      </c>
      <c r="K7" s="112">
        <f t="shared" si="2"/>
        <v>47661</v>
      </c>
      <c r="L7" s="112">
        <f t="shared" si="3"/>
        <v>15670301</v>
      </c>
      <c r="M7" s="112">
        <f>P7+S7</f>
        <v>11593</v>
      </c>
      <c r="N7" s="112"/>
      <c r="O7" s="112">
        <f t="shared" si="4"/>
        <v>0</v>
      </c>
      <c r="P7" s="112">
        <f t="shared" si="5"/>
        <v>11593</v>
      </c>
      <c r="Q7" s="112"/>
      <c r="R7" s="112"/>
      <c r="S7" s="112">
        <f t="shared" si="6"/>
        <v>0</v>
      </c>
      <c r="T7" s="112">
        <f t="shared" si="7"/>
        <v>0</v>
      </c>
      <c r="U7" s="112">
        <f t="shared" si="8"/>
        <v>0</v>
      </c>
      <c r="V7" s="112">
        <f t="shared" si="9"/>
        <v>0</v>
      </c>
      <c r="W7" s="112"/>
      <c r="X7" s="112"/>
      <c r="Y7" s="112"/>
      <c r="Z7" s="112"/>
      <c r="AA7" s="112"/>
      <c r="AB7" s="352" t="s">
        <v>782</v>
      </c>
      <c r="AC7" s="352">
        <v>742000</v>
      </c>
      <c r="AD7" s="351"/>
      <c r="AE7" s="351"/>
      <c r="AF7" s="351"/>
      <c r="AG7" s="348"/>
      <c r="AH7" s="604"/>
      <c r="AI7" s="604"/>
      <c r="AJ7" s="604"/>
      <c r="AK7" s="604"/>
      <c r="AL7" s="604"/>
      <c r="AM7" s="604"/>
      <c r="AN7" s="348"/>
      <c r="AO7" s="348"/>
      <c r="AP7" s="348"/>
      <c r="AQ7" s="348"/>
      <c r="AR7" s="348"/>
      <c r="AS7" s="348"/>
      <c r="AT7" s="348"/>
      <c r="AU7" s="348"/>
      <c r="AV7" s="348"/>
      <c r="AW7" s="348"/>
    </row>
    <row r="8" spans="1:49" s="382" customFormat="1" ht="45">
      <c r="A8" s="352">
        <f t="shared" si="10"/>
        <v>4</v>
      </c>
      <c r="B8" s="352">
        <v>1259</v>
      </c>
      <c r="C8" s="127" t="s">
        <v>45</v>
      </c>
      <c r="D8" s="112">
        <f>5810000+410000</f>
        <v>6220000</v>
      </c>
      <c r="E8" s="112">
        <v>5810000</v>
      </c>
      <c r="F8" s="112">
        <f t="shared" si="0"/>
        <v>410000</v>
      </c>
      <c r="G8" s="112">
        <v>5570000</v>
      </c>
      <c r="H8" s="112">
        <v>5480058</v>
      </c>
      <c r="I8" s="112">
        <v>0</v>
      </c>
      <c r="J8" s="112">
        <v>83568</v>
      </c>
      <c r="K8" s="112">
        <f t="shared" si="2"/>
        <v>83568</v>
      </c>
      <c r="L8" s="112">
        <f t="shared" si="3"/>
        <v>5563626</v>
      </c>
      <c r="M8" s="112">
        <f t="shared" ref="M8:M15" si="11">P8+S8</f>
        <v>156374</v>
      </c>
      <c r="N8" s="112">
        <v>500000</v>
      </c>
      <c r="O8" s="112">
        <f t="shared" si="4"/>
        <v>0</v>
      </c>
      <c r="P8" s="112">
        <f t="shared" si="5"/>
        <v>6374</v>
      </c>
      <c r="Q8" s="112">
        <v>150000</v>
      </c>
      <c r="R8" s="112"/>
      <c r="S8" s="112">
        <f t="shared" si="6"/>
        <v>150000</v>
      </c>
      <c r="T8" s="112">
        <f t="shared" si="7"/>
        <v>0</v>
      </c>
      <c r="U8" s="112">
        <f t="shared" si="8"/>
        <v>500000</v>
      </c>
      <c r="V8" s="112">
        <f t="shared" si="9"/>
        <v>500000</v>
      </c>
      <c r="W8" s="112"/>
      <c r="X8" s="112"/>
      <c r="Y8" s="112"/>
      <c r="Z8" s="112"/>
      <c r="AA8" s="112"/>
      <c r="AB8" s="352" t="s">
        <v>204</v>
      </c>
      <c r="AC8" s="352">
        <v>760000</v>
      </c>
      <c r="AD8" s="351"/>
      <c r="AE8" s="351"/>
      <c r="AF8" s="351"/>
      <c r="AG8" s="348"/>
      <c r="AH8" s="604"/>
      <c r="AI8" s="604"/>
      <c r="AJ8" s="604"/>
      <c r="AK8" s="604"/>
      <c r="AL8" s="604"/>
      <c r="AM8" s="604"/>
      <c r="AN8" s="348"/>
      <c r="AO8" s="348"/>
      <c r="AP8" s="348"/>
      <c r="AQ8" s="348"/>
      <c r="AR8" s="348"/>
      <c r="AS8" s="348"/>
      <c r="AT8" s="348"/>
      <c r="AU8" s="348"/>
      <c r="AV8" s="348"/>
      <c r="AW8" s="348"/>
    </row>
    <row r="9" spans="1:49" s="382" customFormat="1" ht="30" customHeight="1">
      <c r="A9" s="352">
        <f t="shared" si="10"/>
        <v>5</v>
      </c>
      <c r="B9" s="352">
        <v>1260</v>
      </c>
      <c r="C9" s="127" t="s">
        <v>46</v>
      </c>
      <c r="D9" s="112">
        <f>10008000+420000</f>
        <v>10428000</v>
      </c>
      <c r="E9" s="112">
        <v>10008000</v>
      </c>
      <c r="F9" s="112">
        <f t="shared" si="0"/>
        <v>420000</v>
      </c>
      <c r="G9" s="112">
        <v>9858000</v>
      </c>
      <c r="H9" s="112">
        <v>9669393</v>
      </c>
      <c r="I9" s="112">
        <v>0</v>
      </c>
      <c r="J9" s="112">
        <v>169485</v>
      </c>
      <c r="K9" s="112">
        <f t="shared" si="2"/>
        <v>169485</v>
      </c>
      <c r="L9" s="112">
        <f t="shared" si="3"/>
        <v>9838878</v>
      </c>
      <c r="M9" s="112">
        <f t="shared" si="11"/>
        <v>89122</v>
      </c>
      <c r="N9" s="112">
        <v>500000</v>
      </c>
      <c r="O9" s="112">
        <f t="shared" si="4"/>
        <v>0</v>
      </c>
      <c r="P9" s="112">
        <f t="shared" si="5"/>
        <v>19122</v>
      </c>
      <c r="Q9" s="112">
        <v>70000</v>
      </c>
      <c r="R9" s="112"/>
      <c r="S9" s="112">
        <f t="shared" si="6"/>
        <v>70000</v>
      </c>
      <c r="T9" s="112">
        <f t="shared" si="7"/>
        <v>0</v>
      </c>
      <c r="U9" s="112">
        <f t="shared" si="8"/>
        <v>500000</v>
      </c>
      <c r="V9" s="112">
        <f t="shared" si="9"/>
        <v>500000</v>
      </c>
      <c r="W9" s="112"/>
      <c r="X9" s="112"/>
      <c r="Y9" s="112"/>
      <c r="Z9" s="112"/>
      <c r="AA9" s="112"/>
      <c r="AB9" s="352" t="s">
        <v>205</v>
      </c>
      <c r="AC9" s="352">
        <v>760000</v>
      </c>
      <c r="AD9" s="351"/>
      <c r="AE9" s="351"/>
      <c r="AF9" s="351"/>
      <c r="AG9" s="348"/>
      <c r="AH9" s="604"/>
      <c r="AI9" s="604"/>
      <c r="AJ9" s="604"/>
      <c r="AK9" s="604"/>
      <c r="AL9" s="604"/>
      <c r="AM9" s="604"/>
      <c r="AN9" s="348"/>
      <c r="AO9" s="348"/>
      <c r="AP9" s="348"/>
      <c r="AQ9" s="348"/>
      <c r="AR9" s="348"/>
      <c r="AS9" s="348"/>
      <c r="AT9" s="348"/>
      <c r="AU9" s="348"/>
      <c r="AV9" s="348"/>
      <c r="AW9" s="348"/>
    </row>
    <row r="10" spans="1:49" s="382" customFormat="1" ht="45">
      <c r="A10" s="352">
        <f t="shared" si="10"/>
        <v>6</v>
      </c>
      <c r="B10" s="352">
        <v>1422</v>
      </c>
      <c r="C10" s="127" t="s">
        <v>47</v>
      </c>
      <c r="D10" s="112">
        <v>8922720</v>
      </c>
      <c r="E10" s="112">
        <v>8922720</v>
      </c>
      <c r="F10" s="112">
        <f t="shared" si="0"/>
        <v>0</v>
      </c>
      <c r="G10" s="112">
        <v>8922720</v>
      </c>
      <c r="H10" s="112">
        <v>7259720</v>
      </c>
      <c r="I10" s="112">
        <v>0</v>
      </c>
      <c r="J10" s="112">
        <v>0</v>
      </c>
      <c r="K10" s="112">
        <f t="shared" si="2"/>
        <v>0</v>
      </c>
      <c r="L10" s="112">
        <f t="shared" si="3"/>
        <v>7259720</v>
      </c>
      <c r="M10" s="112">
        <f t="shared" si="11"/>
        <v>1663000</v>
      </c>
      <c r="N10" s="112"/>
      <c r="O10" s="112">
        <f t="shared" si="4"/>
        <v>0</v>
      </c>
      <c r="P10" s="112">
        <f t="shared" si="5"/>
        <v>1663000</v>
      </c>
      <c r="Q10" s="112"/>
      <c r="R10" s="112"/>
      <c r="S10" s="112">
        <f t="shared" si="6"/>
        <v>0</v>
      </c>
      <c r="T10" s="112">
        <f t="shared" si="7"/>
        <v>0</v>
      </c>
      <c r="U10" s="112">
        <f t="shared" si="8"/>
        <v>0</v>
      </c>
      <c r="V10" s="112">
        <f t="shared" si="9"/>
        <v>0</v>
      </c>
      <c r="W10" s="112"/>
      <c r="X10" s="112"/>
      <c r="Y10" s="112"/>
      <c r="Z10" s="112"/>
      <c r="AA10" s="112"/>
      <c r="AB10" s="352" t="s">
        <v>251</v>
      </c>
      <c r="AC10" s="352">
        <v>730000</v>
      </c>
      <c r="AD10" s="351"/>
      <c r="AE10" s="351"/>
      <c r="AF10" s="351"/>
      <c r="AG10" s="348"/>
      <c r="AH10" s="604"/>
      <c r="AI10" s="604"/>
      <c r="AJ10" s="604"/>
      <c r="AK10" s="604"/>
      <c r="AL10" s="604"/>
      <c r="AM10" s="604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</row>
    <row r="11" spans="1:49" s="382" customFormat="1" ht="45">
      <c r="A11" s="352">
        <f t="shared" si="10"/>
        <v>7</v>
      </c>
      <c r="B11" s="352">
        <v>1688</v>
      </c>
      <c r="C11" s="127" t="s">
        <v>48</v>
      </c>
      <c r="D11" s="112">
        <v>15133000</v>
      </c>
      <c r="E11" s="112">
        <v>15133000</v>
      </c>
      <c r="F11" s="112">
        <f t="shared" si="0"/>
        <v>0</v>
      </c>
      <c r="G11" s="112">
        <v>15133000</v>
      </c>
      <c r="H11" s="112">
        <v>15133000</v>
      </c>
      <c r="I11" s="112">
        <v>0</v>
      </c>
      <c r="J11" s="112">
        <v>0</v>
      </c>
      <c r="K11" s="112">
        <f t="shared" si="2"/>
        <v>0</v>
      </c>
      <c r="L11" s="112">
        <f t="shared" si="3"/>
        <v>15133000</v>
      </c>
      <c r="M11" s="112">
        <f t="shared" si="11"/>
        <v>0</v>
      </c>
      <c r="N11" s="112"/>
      <c r="O11" s="112">
        <f t="shared" si="4"/>
        <v>0</v>
      </c>
      <c r="P11" s="112">
        <f t="shared" si="5"/>
        <v>0</v>
      </c>
      <c r="Q11" s="112"/>
      <c r="R11" s="112"/>
      <c r="S11" s="112">
        <f t="shared" si="6"/>
        <v>0</v>
      </c>
      <c r="T11" s="112">
        <f t="shared" si="7"/>
        <v>0</v>
      </c>
      <c r="U11" s="112">
        <f t="shared" si="8"/>
        <v>0</v>
      </c>
      <c r="V11" s="112">
        <f t="shared" si="9"/>
        <v>0</v>
      </c>
      <c r="W11" s="112"/>
      <c r="X11" s="112"/>
      <c r="Y11" s="112"/>
      <c r="Z11" s="112"/>
      <c r="AA11" s="112"/>
      <c r="AB11" s="352" t="s">
        <v>252</v>
      </c>
      <c r="AC11" s="352">
        <v>990000</v>
      </c>
      <c r="AD11" s="351"/>
      <c r="AE11" s="351"/>
      <c r="AF11" s="351"/>
      <c r="AG11" s="348"/>
      <c r="AH11" s="604"/>
      <c r="AI11" s="604"/>
      <c r="AJ11" s="604"/>
      <c r="AK11" s="604"/>
      <c r="AL11" s="604"/>
      <c r="AM11" s="604"/>
      <c r="AN11" s="348"/>
      <c r="AO11" s="348"/>
      <c r="AP11" s="348"/>
      <c r="AQ11" s="348"/>
      <c r="AR11" s="348"/>
      <c r="AS11" s="348"/>
      <c r="AT11" s="348"/>
      <c r="AU11" s="348"/>
      <c r="AV11" s="348"/>
      <c r="AW11" s="348"/>
    </row>
    <row r="12" spans="1:49" s="343" customFormat="1" ht="60">
      <c r="A12" s="352">
        <f t="shared" si="10"/>
        <v>8</v>
      </c>
      <c r="B12" s="345">
        <v>2222</v>
      </c>
      <c r="C12" s="127" t="s">
        <v>604</v>
      </c>
      <c r="D12" s="112">
        <f>8000000-1255000</f>
        <v>6745000</v>
      </c>
      <c r="E12" s="112">
        <v>8000000</v>
      </c>
      <c r="F12" s="112">
        <f t="shared" si="0"/>
        <v>-1255000</v>
      </c>
      <c r="G12" s="112">
        <v>6745000</v>
      </c>
      <c r="H12" s="112">
        <v>6561446</v>
      </c>
      <c r="I12" s="112">
        <v>0</v>
      </c>
      <c r="J12" s="112">
        <v>123017</v>
      </c>
      <c r="K12" s="112">
        <f t="shared" si="2"/>
        <v>123017</v>
      </c>
      <c r="L12" s="112">
        <f t="shared" si="3"/>
        <v>6684463</v>
      </c>
      <c r="M12" s="112">
        <f t="shared" si="11"/>
        <v>60537</v>
      </c>
      <c r="N12" s="112"/>
      <c r="O12" s="112">
        <f t="shared" si="4"/>
        <v>0</v>
      </c>
      <c r="P12" s="112">
        <f t="shared" si="5"/>
        <v>60537</v>
      </c>
      <c r="Q12" s="112"/>
      <c r="R12" s="112"/>
      <c r="S12" s="112">
        <f t="shared" si="6"/>
        <v>0</v>
      </c>
      <c r="T12" s="112">
        <f t="shared" si="7"/>
        <v>0</v>
      </c>
      <c r="U12" s="112">
        <f t="shared" si="8"/>
        <v>0</v>
      </c>
      <c r="V12" s="112">
        <f t="shared" si="9"/>
        <v>0</v>
      </c>
      <c r="W12" s="112"/>
      <c r="X12" s="112"/>
      <c r="Y12" s="112"/>
      <c r="Z12" s="112"/>
      <c r="AA12" s="112"/>
      <c r="AB12" s="352" t="s">
        <v>566</v>
      </c>
      <c r="AC12" s="339">
        <v>742000</v>
      </c>
      <c r="AD12" s="351"/>
      <c r="AE12" s="351"/>
      <c r="AF12" s="351"/>
      <c r="AG12" s="348"/>
      <c r="AH12" s="604"/>
      <c r="AI12" s="604"/>
      <c r="AJ12" s="604"/>
      <c r="AK12" s="604"/>
      <c r="AL12" s="604"/>
      <c r="AM12" s="604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</row>
    <row r="13" spans="1:49" s="289" customFormat="1" ht="60">
      <c r="A13" s="467">
        <f t="shared" ref="A13" si="12">1+A12</f>
        <v>9</v>
      </c>
      <c r="B13" s="373">
        <v>2170</v>
      </c>
      <c r="C13" s="339" t="s">
        <v>321</v>
      </c>
      <c r="D13" s="452">
        <f>1360000+1547000+495000</f>
        <v>3402000</v>
      </c>
      <c r="E13" s="452">
        <v>1360000</v>
      </c>
      <c r="F13" s="452">
        <f t="shared" si="0"/>
        <v>2042000</v>
      </c>
      <c r="G13" s="452">
        <v>510000</v>
      </c>
      <c r="H13" s="452">
        <v>373308</v>
      </c>
      <c r="I13" s="452">
        <v>0</v>
      </c>
      <c r="J13" s="452">
        <v>44083</v>
      </c>
      <c r="K13" s="452">
        <f t="shared" si="2"/>
        <v>44083</v>
      </c>
      <c r="L13" s="452">
        <f t="shared" si="3"/>
        <v>417391</v>
      </c>
      <c r="M13" s="468">
        <f t="shared" si="11"/>
        <v>364609</v>
      </c>
      <c r="N13" s="468">
        <f>2125000+495000-1100000</f>
        <v>1520000</v>
      </c>
      <c r="O13" s="468">
        <f t="shared" si="4"/>
        <v>1100000</v>
      </c>
      <c r="P13" s="468">
        <f t="shared" si="5"/>
        <v>92609</v>
      </c>
      <c r="Q13" s="468">
        <v>272000</v>
      </c>
      <c r="R13" s="468"/>
      <c r="S13" s="468">
        <f t="shared" si="6"/>
        <v>272000</v>
      </c>
      <c r="T13" s="468">
        <f t="shared" si="7"/>
        <v>0</v>
      </c>
      <c r="U13" s="468">
        <f t="shared" si="8"/>
        <v>1520000</v>
      </c>
      <c r="V13" s="468"/>
      <c r="W13" s="468">
        <f t="shared" ref="W13" si="13">U13-V13-X13-Z13-AA13</f>
        <v>1520000</v>
      </c>
      <c r="X13" s="452"/>
      <c r="Y13" s="452"/>
      <c r="Z13" s="452"/>
      <c r="AA13" s="467"/>
      <c r="AB13" s="649" t="s">
        <v>1305</v>
      </c>
      <c r="AC13" s="467">
        <v>760000</v>
      </c>
      <c r="AD13" s="351"/>
      <c r="AE13" s="351"/>
      <c r="AF13" s="351"/>
      <c r="AG13" s="348"/>
      <c r="AH13" s="604"/>
      <c r="AI13" s="604"/>
      <c r="AJ13" s="604"/>
      <c r="AK13" s="604"/>
      <c r="AL13" s="604"/>
      <c r="AM13" s="604"/>
      <c r="AN13" s="348"/>
      <c r="AO13" s="348"/>
      <c r="AP13" s="288"/>
      <c r="AQ13" s="288"/>
    </row>
    <row r="14" spans="1:49" s="343" customFormat="1" ht="60">
      <c r="A14" s="352">
        <f>A12+1</f>
        <v>9</v>
      </c>
      <c r="B14" s="345">
        <v>20137</v>
      </c>
      <c r="C14" s="127" t="s">
        <v>634</v>
      </c>
      <c r="D14" s="112">
        <v>8000000</v>
      </c>
      <c r="E14" s="112">
        <v>8000000</v>
      </c>
      <c r="F14" s="112">
        <f>D14-E14</f>
        <v>0</v>
      </c>
      <c r="G14" s="112">
        <v>2000000</v>
      </c>
      <c r="H14" s="112">
        <v>78317</v>
      </c>
      <c r="I14" s="112">
        <v>0</v>
      </c>
      <c r="J14" s="112">
        <f>861097+1046606</f>
        <v>1907703</v>
      </c>
      <c r="K14" s="112">
        <f>I14+J14</f>
        <v>1907703</v>
      </c>
      <c r="L14" s="112">
        <f>H14+K14</f>
        <v>1986020</v>
      </c>
      <c r="M14" s="112">
        <f t="shared" si="11"/>
        <v>513980</v>
      </c>
      <c r="N14" s="112">
        <f>3000000-500000</f>
        <v>2500000</v>
      </c>
      <c r="O14" s="112">
        <f>D14-L14-M14-N14</f>
        <v>3000000</v>
      </c>
      <c r="P14" s="112">
        <f>G14-L14</f>
        <v>13980</v>
      </c>
      <c r="Q14" s="112"/>
      <c r="R14" s="112">
        <v>500000</v>
      </c>
      <c r="S14" s="112">
        <f>SUM(Q14:R14)</f>
        <v>500000</v>
      </c>
      <c r="T14" s="112">
        <f>P14-M14+S14</f>
        <v>0</v>
      </c>
      <c r="U14" s="112">
        <f>N14-T14</f>
        <v>2500000</v>
      </c>
      <c r="V14" s="112">
        <f>U14-W14-Z14-AA14</f>
        <v>0</v>
      </c>
      <c r="W14" s="112">
        <v>2500000</v>
      </c>
      <c r="X14" s="112"/>
      <c r="Y14" s="112"/>
      <c r="Z14" s="112"/>
      <c r="AA14" s="112"/>
      <c r="AB14" s="352" t="s">
        <v>635</v>
      </c>
      <c r="AC14" s="339">
        <v>742000</v>
      </c>
      <c r="AD14" s="351"/>
      <c r="AE14" s="351"/>
      <c r="AF14" s="351"/>
      <c r="AG14" s="348"/>
      <c r="AH14" s="604"/>
      <c r="AI14" s="604"/>
      <c r="AJ14" s="604"/>
      <c r="AK14" s="604"/>
      <c r="AL14" s="604"/>
      <c r="AM14" s="604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</row>
    <row r="15" spans="1:49" s="343" customFormat="1" ht="45">
      <c r="A15" s="352">
        <f t="shared" si="10"/>
        <v>10</v>
      </c>
      <c r="B15" s="345">
        <v>20138</v>
      </c>
      <c r="C15" s="127" t="s">
        <v>650</v>
      </c>
      <c r="D15" s="112">
        <f>327000000+1250000</f>
        <v>328250000</v>
      </c>
      <c r="E15" s="112">
        <v>32700000</v>
      </c>
      <c r="F15" s="112">
        <f t="shared" si="0"/>
        <v>295550000</v>
      </c>
      <c r="G15" s="112">
        <v>5450000</v>
      </c>
      <c r="H15" s="112">
        <v>5450000</v>
      </c>
      <c r="I15" s="112">
        <v>0</v>
      </c>
      <c r="J15" s="112">
        <v>0</v>
      </c>
      <c r="K15" s="112">
        <f t="shared" si="2"/>
        <v>0</v>
      </c>
      <c r="L15" s="112">
        <f t="shared" si="3"/>
        <v>5450000</v>
      </c>
      <c r="M15" s="112">
        <f t="shared" si="11"/>
        <v>0</v>
      </c>
      <c r="N15" s="112">
        <f>27250000+1250000</f>
        <v>28500000</v>
      </c>
      <c r="O15" s="112">
        <f t="shared" si="4"/>
        <v>294300000</v>
      </c>
      <c r="P15" s="112">
        <f t="shared" si="5"/>
        <v>0</v>
      </c>
      <c r="Q15" s="112"/>
      <c r="R15" s="112"/>
      <c r="S15" s="112">
        <f t="shared" si="6"/>
        <v>0</v>
      </c>
      <c r="T15" s="112">
        <f t="shared" si="7"/>
        <v>0</v>
      </c>
      <c r="U15" s="112">
        <f t="shared" si="8"/>
        <v>28500000</v>
      </c>
      <c r="V15" s="112">
        <f t="shared" si="9"/>
        <v>28500000</v>
      </c>
      <c r="W15" s="112"/>
      <c r="X15" s="112"/>
      <c r="Y15" s="112"/>
      <c r="Z15" s="112"/>
      <c r="AA15" s="112"/>
      <c r="AB15" s="352" t="s">
        <v>779</v>
      </c>
      <c r="AC15" s="339">
        <v>999000</v>
      </c>
      <c r="AD15" s="351"/>
      <c r="AE15" s="351"/>
      <c r="AF15" s="351"/>
      <c r="AG15" s="348"/>
      <c r="AH15" s="604"/>
      <c r="AI15" s="604"/>
      <c r="AJ15" s="604"/>
      <c r="AK15" s="604"/>
      <c r="AL15" s="604"/>
      <c r="AM15" s="604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</row>
    <row r="16" spans="1:49" s="383" customFormat="1" ht="30" customHeight="1">
      <c r="A16" s="772">
        <f>COUNT(A5:A15)</f>
        <v>11</v>
      </c>
      <c r="B16" s="772"/>
      <c r="C16" s="344" t="s">
        <v>141</v>
      </c>
      <c r="D16" s="773">
        <f t="shared" ref="D16:AB16" si="14">SUM(D5:D15)</f>
        <v>451945582</v>
      </c>
      <c r="E16" s="773">
        <f t="shared" si="14"/>
        <v>155778582</v>
      </c>
      <c r="F16" s="773">
        <f t="shared" si="14"/>
        <v>296167000</v>
      </c>
      <c r="G16" s="773">
        <f t="shared" si="14"/>
        <v>112233582</v>
      </c>
      <c r="H16" s="773">
        <f t="shared" si="14"/>
        <v>106500859</v>
      </c>
      <c r="I16" s="773">
        <f t="shared" si="14"/>
        <v>140400</v>
      </c>
      <c r="J16" s="773">
        <f t="shared" si="14"/>
        <v>3296812</v>
      </c>
      <c r="K16" s="773">
        <f t="shared" si="14"/>
        <v>3437212</v>
      </c>
      <c r="L16" s="773">
        <f t="shared" si="14"/>
        <v>109938071</v>
      </c>
      <c r="M16" s="773">
        <f t="shared" si="14"/>
        <v>3787511</v>
      </c>
      <c r="N16" s="773">
        <f t="shared" si="14"/>
        <v>36620000</v>
      </c>
      <c r="O16" s="773">
        <f t="shared" si="14"/>
        <v>301600000</v>
      </c>
      <c r="P16" s="773">
        <f t="shared" si="14"/>
        <v>2295511</v>
      </c>
      <c r="Q16" s="773">
        <f t="shared" si="14"/>
        <v>992000</v>
      </c>
      <c r="R16" s="773">
        <f t="shared" si="14"/>
        <v>500000</v>
      </c>
      <c r="S16" s="773">
        <f t="shared" si="14"/>
        <v>1492000</v>
      </c>
      <c r="T16" s="773">
        <f t="shared" si="14"/>
        <v>0</v>
      </c>
      <c r="U16" s="773">
        <f t="shared" si="14"/>
        <v>36620000</v>
      </c>
      <c r="V16" s="773">
        <f t="shared" si="14"/>
        <v>32600000</v>
      </c>
      <c r="W16" s="773">
        <f t="shared" si="14"/>
        <v>4020000</v>
      </c>
      <c r="X16" s="773">
        <f t="shared" si="14"/>
        <v>0</v>
      </c>
      <c r="Y16" s="773">
        <f t="shared" si="14"/>
        <v>0</v>
      </c>
      <c r="Z16" s="773">
        <f t="shared" si="14"/>
        <v>0</v>
      </c>
      <c r="AA16" s="773">
        <f t="shared" si="14"/>
        <v>0</v>
      </c>
      <c r="AB16" s="773">
        <f t="shared" si="14"/>
        <v>0</v>
      </c>
      <c r="AC16" s="641"/>
      <c r="AD16" s="351"/>
      <c r="AE16" s="351"/>
      <c r="AF16" s="351"/>
      <c r="AG16" s="348"/>
      <c r="AH16" s="604"/>
      <c r="AI16" s="604"/>
      <c r="AJ16" s="604"/>
      <c r="AK16" s="604"/>
      <c r="AL16" s="604"/>
      <c r="AM16" s="604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</row>
    <row r="17" spans="3:49" s="642" customFormat="1" ht="18.75" hidden="1" customHeight="1">
      <c r="C17" s="643"/>
      <c r="D17" s="644">
        <f>SUM(L16:O16)</f>
        <v>451945582</v>
      </c>
      <c r="E17" s="644"/>
      <c r="F17" s="644">
        <f>D16-E16</f>
        <v>296167000</v>
      </c>
      <c r="G17" s="644"/>
      <c r="H17" s="644"/>
      <c r="I17" s="644"/>
      <c r="J17" s="644"/>
      <c r="K17" s="644"/>
      <c r="L17" s="644">
        <f>H16+I16+J16</f>
        <v>109938071</v>
      </c>
      <c r="M17" s="644"/>
      <c r="N17" s="644"/>
      <c r="O17" s="644"/>
      <c r="P17" s="644">
        <f>G16-L17</f>
        <v>2295511</v>
      </c>
      <c r="Q17" s="644">
        <f>'תקציב מינהל כללי 2024  '!AX17</f>
        <v>720000</v>
      </c>
      <c r="R17" s="644">
        <f>'עדכוני תקציב 2024'!AE153</f>
        <v>500000</v>
      </c>
      <c r="S17" s="644"/>
      <c r="T17" s="644">
        <f>P17+S16-M16</f>
        <v>0</v>
      </c>
      <c r="U17" s="644">
        <f>N16-T17</f>
        <v>36620000</v>
      </c>
      <c r="V17" s="644"/>
      <c r="W17" s="644"/>
      <c r="X17" s="644"/>
      <c r="Y17" s="644"/>
      <c r="Z17" s="644"/>
      <c r="AA17" s="644"/>
      <c r="AB17" s="644"/>
      <c r="AC17" s="644"/>
      <c r="AD17" s="627"/>
      <c r="AE17" s="627"/>
      <c r="AF17" s="627"/>
      <c r="AG17" s="629"/>
      <c r="AH17" s="645"/>
      <c r="AI17" s="645"/>
      <c r="AJ17" s="645"/>
      <c r="AK17" s="645"/>
      <c r="AL17" s="645"/>
      <c r="AM17" s="645"/>
      <c r="AN17" s="629"/>
      <c r="AO17" s="629"/>
      <c r="AP17" s="629"/>
      <c r="AQ17" s="629"/>
      <c r="AR17" s="646"/>
      <c r="AS17" s="646"/>
      <c r="AT17" s="646"/>
      <c r="AU17" s="646"/>
      <c r="AV17" s="646"/>
      <c r="AW17" s="646"/>
    </row>
    <row r="18" spans="3:49">
      <c r="E18" s="474"/>
      <c r="Q18" s="350">
        <f>Q16-Q17</f>
        <v>272000</v>
      </c>
    </row>
    <row r="19" spans="3:49">
      <c r="C19" s="349"/>
      <c r="P19" s="637" t="s">
        <v>1302</v>
      </c>
    </row>
    <row r="20" spans="3:49" ht="37.5" customHeight="1"/>
    <row r="21" spans="3:49" ht="37.5" customHeight="1"/>
    <row r="22" spans="3:49" ht="37.5" customHeight="1"/>
    <row r="23" spans="3:49" ht="37.5" customHeight="1"/>
    <row r="24" spans="3:49" ht="37.5" customHeight="1"/>
    <row r="25" spans="3:49" ht="37.5" customHeight="1"/>
    <row r="26" spans="3:49" ht="37.5" customHeight="1"/>
    <row r="27" spans="3:49" ht="33" customHeight="1"/>
    <row r="29" spans="3:49" ht="45.75" customHeight="1"/>
    <row r="31" spans="3:49" ht="47.25" customHeight="1"/>
    <row r="33" ht="36.75" customHeight="1"/>
    <row r="37" ht="45" customHeight="1"/>
    <row r="39" ht="58.5" customHeight="1"/>
    <row r="40" ht="50.25" customHeight="1"/>
    <row r="47" ht="51.75" customHeight="1"/>
    <row r="48" ht="35.25" customHeight="1"/>
    <row r="49" ht="31.5" customHeight="1"/>
    <row r="54" ht="37.5" customHeight="1"/>
    <row r="65" ht="48.75" customHeight="1"/>
    <row r="66" ht="31.5" customHeight="1"/>
    <row r="68" ht="45.75" customHeight="1"/>
    <row r="70" ht="33.75" customHeight="1"/>
    <row r="73" ht="27.75" customHeight="1"/>
    <row r="129" spans="1:1">
      <c r="A129" s="347">
        <f>COUNT(A5:A128)</f>
        <v>12</v>
      </c>
    </row>
    <row r="132" spans="1:1">
      <c r="A132" s="347">
        <f>A129+1</f>
        <v>13</v>
      </c>
    </row>
    <row r="135" spans="1:1" ht="37.9" customHeight="1"/>
    <row r="138" spans="1:1" ht="70.900000000000006" customHeight="1"/>
    <row r="141" spans="1:1" ht="72" customHeight="1"/>
    <row r="143" spans="1:1" ht="43.9" customHeight="1"/>
    <row r="145" ht="30" customHeight="1"/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conditionalFormatting sqref="AB4">
    <cfRule type="cellIs" dxfId="228" priority="44" operator="equal">
      <formula>0</formula>
    </cfRule>
  </conditionalFormatting>
  <conditionalFormatting sqref="AP4">
    <cfRule type="cellIs" dxfId="227" priority="39" operator="equal">
      <formula>0</formula>
    </cfRule>
  </conditionalFormatting>
  <conditionalFormatting sqref="AH4">
    <cfRule type="cellIs" dxfId="226" priority="38" operator="equal">
      <formula>0</formula>
    </cfRule>
  </conditionalFormatting>
  <conditionalFormatting sqref="AM4">
    <cfRule type="cellIs" dxfId="225" priority="34" operator="equal">
      <formula>0</formula>
    </cfRule>
  </conditionalFormatting>
  <conditionalFormatting sqref="F13">
    <cfRule type="cellIs" dxfId="224" priority="33" operator="equal">
      <formula>0</formula>
    </cfRule>
  </conditionalFormatting>
  <conditionalFormatting sqref="AP13 A13 D13:AA13 AC13">
    <cfRule type="cellIs" dxfId="223" priority="32" operator="equal">
      <formula>0</formula>
    </cfRule>
  </conditionalFormatting>
  <conditionalFormatting sqref="B13:C13">
    <cfRule type="cellIs" dxfId="222" priority="31" operator="equal">
      <formula>0</formula>
    </cfRule>
  </conditionalFormatting>
  <conditionalFormatting sqref="AR13">
    <cfRule type="cellIs" dxfId="221" priority="30" operator="equal">
      <formula>0</formula>
    </cfRule>
  </conditionalFormatting>
  <conditionalFormatting sqref="AQ13">
    <cfRule type="cellIs" dxfId="220" priority="29" operator="equal">
      <formula>0</formula>
    </cfRule>
  </conditionalFormatting>
  <conditionalFormatting sqref="AH13">
    <cfRule type="cellIs" dxfId="219" priority="28" operator="equal">
      <formula>0</formula>
    </cfRule>
  </conditionalFormatting>
  <conditionalFormatting sqref="AI13">
    <cfRule type="cellIs" dxfId="218" priority="14" operator="equal">
      <formula>0</formula>
    </cfRule>
  </conditionalFormatting>
  <conditionalFormatting sqref="AK13">
    <cfRule type="cellIs" dxfId="217" priority="12" operator="equal">
      <formula>0</formula>
    </cfRule>
  </conditionalFormatting>
  <conditionalFormatting sqref="AL13">
    <cfRule type="cellIs" dxfId="216" priority="10" operator="equal">
      <formula>0</formula>
    </cfRule>
  </conditionalFormatting>
  <conditionalFormatting sqref="AL13">
    <cfRule type="cellIs" dxfId="215" priority="9" operator="equal">
      <formula>0</formula>
    </cfRule>
  </conditionalFormatting>
  <conditionalFormatting sqref="AM13">
    <cfRule type="cellIs" dxfId="214" priority="1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FD9C-C5D4-4FB7-A8F1-DD3C170C934A}">
  <dimension ref="A1:AW155"/>
  <sheetViews>
    <sheetView showZeros="0" rightToLeft="1" zoomScaleNormal="100" workbookViewId="0">
      <pane xSplit="3" ySplit="4" topLeftCell="D23" activePane="bottomRight" state="frozen"/>
      <selection activeCell="AJ53" sqref="AJ53"/>
      <selection pane="topRight" activeCell="AJ53" sqref="AJ53"/>
      <selection pane="bottomLeft" activeCell="AJ53" sqref="AJ53"/>
      <selection pane="bottomRight" activeCell="W35" sqref="W35"/>
    </sheetView>
  </sheetViews>
  <sheetFormatPr defaultColWidth="9.140625" defaultRowHeight="18.75"/>
  <cols>
    <col min="1" max="1" width="3.7109375" style="347" customWidth="1"/>
    <col min="2" max="2" width="5.7109375" style="348" customWidth="1"/>
    <col min="3" max="3" width="24.85546875" style="348" customWidth="1"/>
    <col min="4" max="4" width="11.140625" style="350" customWidth="1"/>
    <col min="5" max="5" width="11.140625" style="350" hidden="1" customWidth="1"/>
    <col min="6" max="6" width="11.7109375" style="350" hidden="1" customWidth="1"/>
    <col min="7" max="8" width="11.140625" style="350" hidden="1" customWidth="1"/>
    <col min="9" max="11" width="9.85546875" style="350" hidden="1" customWidth="1"/>
    <col min="12" max="12" width="11.140625" style="350" customWidth="1"/>
    <col min="13" max="13" width="9" style="350" customWidth="1"/>
    <col min="14" max="14" width="9.85546875" style="350" customWidth="1"/>
    <col min="15" max="15" width="11.140625" style="350" customWidth="1"/>
    <col min="16" max="16" width="10.140625" style="350" hidden="1" customWidth="1"/>
    <col min="17" max="18" width="13.5703125" style="350" hidden="1" customWidth="1"/>
    <col min="19" max="19" width="9.140625" style="350" hidden="1" customWidth="1"/>
    <col min="20" max="20" width="11.28515625" style="350" hidden="1" customWidth="1"/>
    <col min="21" max="21" width="10.42578125" style="348" customWidth="1"/>
    <col min="22" max="22" width="11.140625" style="348" customWidth="1"/>
    <col min="23" max="23" width="9.140625" style="348" customWidth="1"/>
    <col min="24" max="24" width="6.42578125" style="348" hidden="1" customWidth="1"/>
    <col min="25" max="25" width="7.42578125" style="348" hidden="1" customWidth="1"/>
    <col min="26" max="26" width="7.85546875" style="348" hidden="1" customWidth="1"/>
    <col min="27" max="27" width="9.7109375" style="348" hidden="1" customWidth="1"/>
    <col min="28" max="28" width="40.42578125" style="351" customWidth="1"/>
    <col min="29" max="29" width="7" style="348" customWidth="1"/>
    <col min="30" max="31" width="11.140625" style="351" customWidth="1"/>
    <col min="32" max="32" width="17.5703125" style="351" customWidth="1"/>
    <col min="33" max="33" width="21.28515625" style="348" customWidth="1"/>
    <col min="34" max="34" width="25.7109375" style="604" customWidth="1"/>
    <col min="35" max="35" width="45" style="604" customWidth="1"/>
    <col min="36" max="36" width="11.140625" style="604" customWidth="1"/>
    <col min="37" max="37" width="19.28515625" style="604" customWidth="1"/>
    <col min="38" max="38" width="11.140625" style="604" customWidth="1"/>
    <col min="39" max="39" width="17.5703125" style="604" customWidth="1"/>
    <col min="40" max="41" width="9.7109375" style="348" customWidth="1"/>
    <col min="42" max="42" width="18.85546875" style="348" customWidth="1"/>
    <col min="43" max="49" width="10.7109375" style="348" customWidth="1"/>
    <col min="50" max="16384" width="9.140625" style="348"/>
  </cols>
  <sheetData>
    <row r="1" spans="1:49" s="377" customFormat="1">
      <c r="A1" s="802"/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376"/>
      <c r="Y1" s="376"/>
      <c r="Z1" s="376"/>
      <c r="AB1" s="378"/>
      <c r="AD1" s="351"/>
      <c r="AE1" s="351"/>
      <c r="AF1" s="351"/>
      <c r="AG1" s="348"/>
      <c r="AH1" s="604"/>
      <c r="AI1" s="604"/>
      <c r="AJ1" s="604"/>
      <c r="AK1" s="604"/>
      <c r="AL1" s="604"/>
      <c r="AM1" s="604"/>
      <c r="AN1" s="348"/>
      <c r="AO1" s="348"/>
      <c r="AP1" s="348"/>
      <c r="AQ1" s="348"/>
      <c r="AR1" s="348"/>
      <c r="AS1" s="348"/>
      <c r="AT1" s="348"/>
      <c r="AU1" s="348"/>
      <c r="AV1" s="348"/>
      <c r="AW1" s="348"/>
    </row>
    <row r="2" spans="1:49">
      <c r="A2" s="379" t="s">
        <v>175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V2" s="379"/>
      <c r="W2" s="379"/>
    </row>
    <row r="3" spans="1:49">
      <c r="V3" s="351"/>
      <c r="W3" s="351"/>
      <c r="X3" s="351"/>
      <c r="Y3" s="351"/>
      <c r="Z3" s="351"/>
      <c r="AA3" s="351"/>
    </row>
    <row r="4" spans="1:49" s="381" customFormat="1" ht="75">
      <c r="A4" s="380" t="s">
        <v>0</v>
      </c>
      <c r="B4" s="380" t="s">
        <v>1</v>
      </c>
      <c r="C4" s="380" t="s">
        <v>2</v>
      </c>
      <c r="D4" s="380" t="s">
        <v>3</v>
      </c>
      <c r="E4" s="380" t="s">
        <v>4</v>
      </c>
      <c r="F4" s="380" t="s">
        <v>5</v>
      </c>
      <c r="G4" s="380" t="s">
        <v>6</v>
      </c>
      <c r="H4" s="380" t="s">
        <v>7</v>
      </c>
      <c r="I4" s="380" t="s">
        <v>9</v>
      </c>
      <c r="J4" s="380" t="s">
        <v>101</v>
      </c>
      <c r="K4" s="380" t="s">
        <v>10</v>
      </c>
      <c r="L4" s="380" t="s">
        <v>11</v>
      </c>
      <c r="M4" s="380" t="s">
        <v>793</v>
      </c>
      <c r="N4" s="380" t="s">
        <v>794</v>
      </c>
      <c r="O4" s="328" t="s">
        <v>795</v>
      </c>
      <c r="P4" s="328" t="s">
        <v>12</v>
      </c>
      <c r="Q4" s="380" t="s">
        <v>796</v>
      </c>
      <c r="R4" s="380" t="s">
        <v>797</v>
      </c>
      <c r="S4" s="328" t="s">
        <v>798</v>
      </c>
      <c r="T4" s="328" t="s">
        <v>799</v>
      </c>
      <c r="U4" s="328" t="s">
        <v>800</v>
      </c>
      <c r="V4" s="380" t="s">
        <v>13</v>
      </c>
      <c r="W4" s="380" t="s">
        <v>14</v>
      </c>
      <c r="X4" s="380" t="s">
        <v>15</v>
      </c>
      <c r="Y4" s="380" t="s">
        <v>185</v>
      </c>
      <c r="Z4" s="380" t="s">
        <v>385</v>
      </c>
      <c r="AA4" s="380" t="s">
        <v>67</v>
      </c>
      <c r="AB4" s="473" t="s">
        <v>207</v>
      </c>
      <c r="AC4" s="380" t="s">
        <v>16</v>
      </c>
      <c r="AD4" s="351"/>
      <c r="AE4" s="351"/>
      <c r="AF4" s="351"/>
      <c r="AG4" s="348"/>
      <c r="AH4" s="604"/>
      <c r="AI4" s="604"/>
      <c r="AJ4" s="604"/>
      <c r="AK4" s="604"/>
      <c r="AL4" s="604"/>
      <c r="AM4" s="604"/>
      <c r="AN4" s="348"/>
      <c r="AO4" s="348"/>
      <c r="AP4" s="348"/>
      <c r="AQ4" s="348"/>
      <c r="AR4" s="348"/>
      <c r="AS4" s="348"/>
      <c r="AT4" s="348"/>
      <c r="AU4" s="348"/>
      <c r="AV4" s="348"/>
      <c r="AW4" s="348"/>
    </row>
    <row r="5" spans="1:49" s="381" customFormat="1">
      <c r="A5" s="380"/>
      <c r="B5" s="380"/>
      <c r="C5" s="368">
        <v>73</v>
      </c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28"/>
      <c r="P5" s="328"/>
      <c r="Q5" s="380"/>
      <c r="R5" s="380"/>
      <c r="S5" s="328"/>
      <c r="T5" s="328"/>
      <c r="U5" s="328"/>
      <c r="V5" s="380"/>
      <c r="W5" s="380"/>
      <c r="X5" s="380"/>
      <c r="Y5" s="380"/>
      <c r="Z5" s="380"/>
      <c r="AA5" s="380"/>
      <c r="AB5" s="473"/>
      <c r="AC5" s="380"/>
      <c r="AD5" s="351"/>
      <c r="AE5" s="351"/>
      <c r="AF5" s="351"/>
      <c r="AG5" s="348"/>
      <c r="AH5" s="604"/>
      <c r="AI5" s="604"/>
      <c r="AJ5" s="604"/>
      <c r="AK5" s="604"/>
      <c r="AL5" s="604"/>
      <c r="AM5" s="604"/>
      <c r="AN5" s="348"/>
      <c r="AO5" s="348"/>
      <c r="AP5" s="348"/>
      <c r="AQ5" s="348"/>
      <c r="AR5" s="348"/>
      <c r="AS5" s="348"/>
      <c r="AT5" s="348"/>
      <c r="AU5" s="348"/>
      <c r="AV5" s="348"/>
      <c r="AW5" s="348"/>
    </row>
    <row r="6" spans="1:49" s="343" customFormat="1" ht="45" customHeight="1">
      <c r="A6" s="352">
        <v>1</v>
      </c>
      <c r="B6" s="352">
        <v>1422</v>
      </c>
      <c r="C6" s="127" t="s">
        <v>47</v>
      </c>
      <c r="D6" s="112">
        <v>8922720</v>
      </c>
      <c r="E6" s="112">
        <v>8922720</v>
      </c>
      <c r="F6" s="112">
        <f>D6-E6</f>
        <v>0</v>
      </c>
      <c r="G6" s="112">
        <v>8922720</v>
      </c>
      <c r="H6" s="112">
        <v>7259720</v>
      </c>
      <c r="I6" s="112">
        <v>0</v>
      </c>
      <c r="J6" s="112">
        <v>0</v>
      </c>
      <c r="K6" s="112">
        <f>I6+J6</f>
        <v>0</v>
      </c>
      <c r="L6" s="112">
        <f>H6+K6</f>
        <v>7259720</v>
      </c>
      <c r="M6" s="112">
        <f>P6+S6</f>
        <v>1663000</v>
      </c>
      <c r="N6" s="112"/>
      <c r="O6" s="112">
        <f>D6-L6-M6-N6</f>
        <v>0</v>
      </c>
      <c r="P6" s="112">
        <f>G6-L6</f>
        <v>1663000</v>
      </c>
      <c r="Q6" s="112"/>
      <c r="R6" s="112"/>
      <c r="S6" s="112">
        <f>SUM(Q6:R6)</f>
        <v>0</v>
      </c>
      <c r="T6" s="112">
        <f>P6-M6+S6</f>
        <v>0</v>
      </c>
      <c r="U6" s="112">
        <f>N6-T6</f>
        <v>0</v>
      </c>
      <c r="V6" s="112">
        <f>U6-W6-Z6-AA6</f>
        <v>0</v>
      </c>
      <c r="W6" s="112"/>
      <c r="X6" s="112"/>
      <c r="Y6" s="112"/>
      <c r="Z6" s="112"/>
      <c r="AA6" s="112"/>
      <c r="AB6" s="352" t="s">
        <v>251</v>
      </c>
      <c r="AC6" s="352">
        <v>730000</v>
      </c>
      <c r="AD6" s="351"/>
      <c r="AE6" s="351"/>
      <c r="AF6" s="351"/>
      <c r="AG6" s="348"/>
      <c r="AH6" s="604"/>
      <c r="AI6" s="604"/>
      <c r="AJ6" s="604"/>
      <c r="AK6" s="604"/>
      <c r="AL6" s="604"/>
      <c r="AM6" s="604"/>
      <c r="AN6" s="348"/>
      <c r="AO6" s="348"/>
      <c r="AP6" s="348"/>
      <c r="AQ6" s="348"/>
      <c r="AR6" s="348"/>
      <c r="AS6" s="348"/>
      <c r="AT6" s="348"/>
      <c r="AU6" s="348"/>
      <c r="AV6" s="348"/>
      <c r="AW6" s="348"/>
    </row>
    <row r="7" spans="1:49" s="354" customFormat="1" ht="20.100000000000001" customHeight="1">
      <c r="A7" s="425"/>
      <c r="B7" s="425"/>
      <c r="C7" s="208" t="s">
        <v>1330</v>
      </c>
      <c r="D7" s="236">
        <f>SUM(D6)</f>
        <v>8922720</v>
      </c>
      <c r="E7" s="236">
        <f t="shared" ref="E7:AA7" si="0">SUM(E6)</f>
        <v>8922720</v>
      </c>
      <c r="F7" s="236">
        <f t="shared" si="0"/>
        <v>0</v>
      </c>
      <c r="G7" s="236">
        <f t="shared" si="0"/>
        <v>8922720</v>
      </c>
      <c r="H7" s="236">
        <f t="shared" si="0"/>
        <v>7259720</v>
      </c>
      <c r="I7" s="236">
        <f t="shared" si="0"/>
        <v>0</v>
      </c>
      <c r="J7" s="236">
        <f t="shared" si="0"/>
        <v>0</v>
      </c>
      <c r="K7" s="236">
        <f t="shared" si="0"/>
        <v>0</v>
      </c>
      <c r="L7" s="236">
        <f t="shared" si="0"/>
        <v>7259720</v>
      </c>
      <c r="M7" s="236">
        <f t="shared" si="0"/>
        <v>1663000</v>
      </c>
      <c r="N7" s="236">
        <f t="shared" si="0"/>
        <v>0</v>
      </c>
      <c r="O7" s="236">
        <f t="shared" si="0"/>
        <v>0</v>
      </c>
      <c r="P7" s="236">
        <f t="shared" si="0"/>
        <v>1663000</v>
      </c>
      <c r="Q7" s="236">
        <f t="shared" si="0"/>
        <v>0</v>
      </c>
      <c r="R7" s="236">
        <f t="shared" si="0"/>
        <v>0</v>
      </c>
      <c r="S7" s="236">
        <f t="shared" si="0"/>
        <v>0</v>
      </c>
      <c r="T7" s="236">
        <f t="shared" si="0"/>
        <v>0</v>
      </c>
      <c r="U7" s="236">
        <f t="shared" si="0"/>
        <v>0</v>
      </c>
      <c r="V7" s="236">
        <f t="shared" si="0"/>
        <v>0</v>
      </c>
      <c r="W7" s="236">
        <f t="shared" si="0"/>
        <v>0</v>
      </c>
      <c r="X7" s="236">
        <f t="shared" si="0"/>
        <v>0</v>
      </c>
      <c r="Y7" s="236">
        <f t="shared" si="0"/>
        <v>0</v>
      </c>
      <c r="Z7" s="236">
        <f t="shared" si="0"/>
        <v>0</v>
      </c>
      <c r="AA7" s="236">
        <f t="shared" si="0"/>
        <v>0</v>
      </c>
      <c r="AB7" s="425"/>
      <c r="AC7" s="425"/>
      <c r="AD7" s="432"/>
      <c r="AE7" s="432"/>
      <c r="AF7" s="432"/>
      <c r="AG7" s="353"/>
      <c r="AH7" s="690"/>
      <c r="AI7" s="690"/>
      <c r="AJ7" s="690"/>
      <c r="AK7" s="690"/>
      <c r="AL7" s="690"/>
      <c r="AM7" s="690"/>
      <c r="AN7" s="353"/>
      <c r="AO7" s="353"/>
      <c r="AP7" s="353"/>
      <c r="AQ7" s="353"/>
      <c r="AR7" s="353"/>
      <c r="AS7" s="353"/>
      <c r="AT7" s="353"/>
      <c r="AU7" s="353"/>
      <c r="AV7" s="353"/>
      <c r="AW7" s="353"/>
    </row>
    <row r="8" spans="1:49" s="354" customFormat="1" ht="20.100000000000001" customHeight="1">
      <c r="A8" s="425"/>
      <c r="B8" s="425"/>
      <c r="C8" s="208">
        <v>74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425"/>
      <c r="AC8" s="425"/>
      <c r="AD8" s="432"/>
      <c r="AE8" s="432"/>
      <c r="AF8" s="432"/>
      <c r="AG8" s="353"/>
      <c r="AH8" s="690"/>
      <c r="AI8" s="690"/>
      <c r="AJ8" s="690"/>
      <c r="AK8" s="690"/>
      <c r="AL8" s="690"/>
      <c r="AM8" s="690"/>
      <c r="AN8" s="353"/>
      <c r="AO8" s="353"/>
      <c r="AP8" s="353"/>
      <c r="AQ8" s="353"/>
      <c r="AR8" s="353"/>
      <c r="AS8" s="353"/>
      <c r="AT8" s="353"/>
      <c r="AU8" s="353"/>
      <c r="AV8" s="353"/>
      <c r="AW8" s="353"/>
    </row>
    <row r="9" spans="1:49" s="343" customFormat="1" ht="30.75" customHeight="1">
      <c r="A9" s="352">
        <f>A6+1</f>
        <v>2</v>
      </c>
      <c r="B9" s="339">
        <v>1032</v>
      </c>
      <c r="C9" s="127" t="s">
        <v>96</v>
      </c>
      <c r="D9" s="112">
        <v>48462968</v>
      </c>
      <c r="E9" s="112">
        <v>48462968</v>
      </c>
      <c r="F9" s="112">
        <f>D9-E9</f>
        <v>0</v>
      </c>
      <c r="G9" s="112">
        <v>41662968</v>
      </c>
      <c r="H9" s="112">
        <v>40255417</v>
      </c>
      <c r="I9" s="112">
        <v>140400</v>
      </c>
      <c r="J9" s="112">
        <v>921295</v>
      </c>
      <c r="K9" s="112">
        <f>I9+J9</f>
        <v>1061695</v>
      </c>
      <c r="L9" s="112">
        <f>H9+K9</f>
        <v>41317112</v>
      </c>
      <c r="M9" s="112">
        <f>P9+S9</f>
        <v>845856</v>
      </c>
      <c r="N9" s="112">
        <f>6200000-2200000-500000-400000</f>
        <v>3100000</v>
      </c>
      <c r="O9" s="112">
        <f>D9-L9-M9-N9</f>
        <v>3200000</v>
      </c>
      <c r="P9" s="112">
        <f>G9-L9</f>
        <v>345856</v>
      </c>
      <c r="Q9" s="112">
        <v>500000</v>
      </c>
      <c r="R9" s="112"/>
      <c r="S9" s="112">
        <f>SUM(Q9:R9)</f>
        <v>500000</v>
      </c>
      <c r="T9" s="112">
        <f>P9-M9+S9</f>
        <v>0</v>
      </c>
      <c r="U9" s="112">
        <f>N9-T9</f>
        <v>3100000</v>
      </c>
      <c r="V9" s="112">
        <f>U9-W9-Z9-AA9</f>
        <v>3100000</v>
      </c>
      <c r="W9" s="112"/>
      <c r="X9" s="112"/>
      <c r="Y9" s="112"/>
      <c r="Z9" s="112"/>
      <c r="AA9" s="112"/>
      <c r="AB9" s="352" t="s">
        <v>449</v>
      </c>
      <c r="AC9" s="339">
        <v>742000</v>
      </c>
      <c r="AD9" s="351"/>
      <c r="AE9" s="351"/>
      <c r="AF9" s="351"/>
      <c r="AG9" s="348"/>
      <c r="AH9" s="604"/>
      <c r="AI9" s="604"/>
      <c r="AJ9" s="604"/>
      <c r="AK9" s="604"/>
      <c r="AL9" s="604"/>
      <c r="AM9" s="604"/>
      <c r="AN9" s="348"/>
      <c r="AO9" s="348"/>
      <c r="AP9" s="348"/>
      <c r="AQ9" s="348"/>
      <c r="AR9" s="348"/>
      <c r="AS9" s="348"/>
      <c r="AT9" s="348"/>
      <c r="AU9" s="348"/>
      <c r="AV9" s="348"/>
      <c r="AW9" s="348"/>
    </row>
    <row r="10" spans="1:49" s="382" customFormat="1" ht="66.75" customHeight="1">
      <c r="A10" s="352">
        <f>A9+1</f>
        <v>3</v>
      </c>
      <c r="B10" s="352">
        <v>1130</v>
      </c>
      <c r="C10" s="127" t="s">
        <v>30</v>
      </c>
      <c r="D10" s="112">
        <f>16681894-1000000</f>
        <v>15681894</v>
      </c>
      <c r="E10" s="112">
        <v>16681894</v>
      </c>
      <c r="F10" s="112">
        <f>D10-E10</f>
        <v>-1000000</v>
      </c>
      <c r="G10" s="112">
        <v>15681894</v>
      </c>
      <c r="H10" s="112">
        <v>15622640</v>
      </c>
      <c r="I10" s="112">
        <v>0</v>
      </c>
      <c r="J10" s="112">
        <v>47661</v>
      </c>
      <c r="K10" s="112">
        <f>I10+J10</f>
        <v>47661</v>
      </c>
      <c r="L10" s="112">
        <f>H10+K10</f>
        <v>15670301</v>
      </c>
      <c r="M10" s="112">
        <f>P10+S10</f>
        <v>11593</v>
      </c>
      <c r="N10" s="112"/>
      <c r="O10" s="112">
        <f>D10-L10-M10-N10</f>
        <v>0</v>
      </c>
      <c r="P10" s="112">
        <f>G10-L10</f>
        <v>11593</v>
      </c>
      <c r="Q10" s="112"/>
      <c r="R10" s="112"/>
      <c r="S10" s="112">
        <f>SUM(Q10:R10)</f>
        <v>0</v>
      </c>
      <c r="T10" s="112">
        <f>P10-M10+S10</f>
        <v>0</v>
      </c>
      <c r="U10" s="112">
        <f>N10-T10</f>
        <v>0</v>
      </c>
      <c r="V10" s="112">
        <f>U10-W10-Z10-AA10</f>
        <v>0</v>
      </c>
      <c r="W10" s="112"/>
      <c r="X10" s="112"/>
      <c r="Y10" s="112"/>
      <c r="Z10" s="112"/>
      <c r="AA10" s="112"/>
      <c r="AB10" s="352" t="s">
        <v>782</v>
      </c>
      <c r="AC10" s="352">
        <v>742000</v>
      </c>
      <c r="AD10" s="351"/>
      <c r="AE10" s="351"/>
      <c r="AF10" s="351"/>
      <c r="AG10" s="348"/>
      <c r="AH10" s="604"/>
      <c r="AI10" s="604"/>
      <c r="AJ10" s="604"/>
      <c r="AK10" s="604"/>
      <c r="AL10" s="604"/>
      <c r="AM10" s="604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</row>
    <row r="11" spans="1:49" s="382" customFormat="1" ht="42" customHeight="1">
      <c r="A11" s="352">
        <f t="shared" ref="A11:A24" si="1">A10+1</f>
        <v>4</v>
      </c>
      <c r="B11" s="345">
        <v>2222</v>
      </c>
      <c r="C11" s="127" t="s">
        <v>604</v>
      </c>
      <c r="D11" s="112">
        <f>8000000-1255000</f>
        <v>6745000</v>
      </c>
      <c r="E11" s="112">
        <v>8000000</v>
      </c>
      <c r="F11" s="112">
        <f>D11-E11</f>
        <v>-1255000</v>
      </c>
      <c r="G11" s="112">
        <v>6745000</v>
      </c>
      <c r="H11" s="112">
        <v>6561446</v>
      </c>
      <c r="I11" s="112">
        <v>0</v>
      </c>
      <c r="J11" s="112">
        <v>123017</v>
      </c>
      <c r="K11" s="112">
        <f>I11+J11</f>
        <v>123017</v>
      </c>
      <c r="L11" s="112">
        <f>H11+K11</f>
        <v>6684463</v>
      </c>
      <c r="M11" s="112">
        <f>P11+S11</f>
        <v>60537</v>
      </c>
      <c r="N11" s="112"/>
      <c r="O11" s="112">
        <f>D11-L11-M11-N11</f>
        <v>0</v>
      </c>
      <c r="P11" s="112">
        <f>G11-L11</f>
        <v>60537</v>
      </c>
      <c r="Q11" s="112"/>
      <c r="R11" s="112"/>
      <c r="S11" s="112">
        <f>SUM(Q11:R11)</f>
        <v>0</v>
      </c>
      <c r="T11" s="112">
        <f>P11-M11+S11</f>
        <v>0</v>
      </c>
      <c r="U11" s="112">
        <f>N11-T11</f>
        <v>0</v>
      </c>
      <c r="V11" s="112">
        <f>U11-W11-Z11-AA11</f>
        <v>0</v>
      </c>
      <c r="W11" s="112"/>
      <c r="X11" s="112"/>
      <c r="Y11" s="112"/>
      <c r="Z11" s="112"/>
      <c r="AA11" s="112"/>
      <c r="AB11" s="352" t="s">
        <v>566</v>
      </c>
      <c r="AC11" s="339">
        <v>742000</v>
      </c>
      <c r="AD11" s="351"/>
      <c r="AE11" s="351"/>
      <c r="AF11" s="351"/>
      <c r="AG11" s="348"/>
      <c r="AH11" s="604"/>
      <c r="AI11" s="604"/>
      <c r="AJ11" s="604"/>
      <c r="AK11" s="604"/>
      <c r="AL11" s="604"/>
      <c r="AM11" s="604"/>
      <c r="AN11" s="348"/>
      <c r="AO11" s="348"/>
      <c r="AP11" s="348"/>
      <c r="AQ11" s="348"/>
      <c r="AR11" s="348"/>
      <c r="AS11" s="348"/>
      <c r="AT11" s="348"/>
      <c r="AU11" s="348"/>
      <c r="AV11" s="348"/>
      <c r="AW11" s="348"/>
    </row>
    <row r="12" spans="1:49" s="382" customFormat="1" ht="35.25" customHeight="1">
      <c r="A12" s="352">
        <f t="shared" si="1"/>
        <v>5</v>
      </c>
      <c r="B12" s="345">
        <v>20137</v>
      </c>
      <c r="C12" s="127" t="s">
        <v>634</v>
      </c>
      <c r="D12" s="112">
        <v>8000000</v>
      </c>
      <c r="E12" s="112">
        <v>8000000</v>
      </c>
      <c r="F12" s="112">
        <f>D12-E12</f>
        <v>0</v>
      </c>
      <c r="G12" s="112">
        <v>2000000</v>
      </c>
      <c r="H12" s="112">
        <v>78317</v>
      </c>
      <c r="I12" s="112">
        <v>0</v>
      </c>
      <c r="J12" s="112">
        <f>861097+1046606</f>
        <v>1907703</v>
      </c>
      <c r="K12" s="112">
        <f>I12+J12</f>
        <v>1907703</v>
      </c>
      <c r="L12" s="112">
        <f>H12+K12</f>
        <v>1986020</v>
      </c>
      <c r="M12" s="112">
        <f>P12+S12</f>
        <v>513980</v>
      </c>
      <c r="N12" s="112">
        <f>3000000-500000</f>
        <v>2500000</v>
      </c>
      <c r="O12" s="112">
        <f>D12-L12-M12-N12</f>
        <v>3000000</v>
      </c>
      <c r="P12" s="112">
        <f>G12-L12</f>
        <v>13980</v>
      </c>
      <c r="Q12" s="112"/>
      <c r="R12" s="112">
        <v>500000</v>
      </c>
      <c r="S12" s="112">
        <f>SUM(Q12:R12)</f>
        <v>500000</v>
      </c>
      <c r="T12" s="112">
        <f>P12-M12+S12</f>
        <v>0</v>
      </c>
      <c r="U12" s="112">
        <f>N12-T12</f>
        <v>2500000</v>
      </c>
      <c r="V12" s="112">
        <f>U12-W12-Z12-AA12</f>
        <v>0</v>
      </c>
      <c r="W12" s="112">
        <v>2500000</v>
      </c>
      <c r="X12" s="112"/>
      <c r="Y12" s="112"/>
      <c r="Z12" s="112"/>
      <c r="AA12" s="112"/>
      <c r="AB12" s="352" t="s">
        <v>635</v>
      </c>
      <c r="AC12" s="339">
        <v>742000</v>
      </c>
      <c r="AD12" s="351"/>
      <c r="AE12" s="351"/>
      <c r="AF12" s="351"/>
      <c r="AG12" s="348"/>
      <c r="AH12" s="604"/>
      <c r="AI12" s="604"/>
      <c r="AJ12" s="604"/>
      <c r="AK12" s="604"/>
      <c r="AL12" s="604"/>
      <c r="AM12" s="604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</row>
    <row r="13" spans="1:49" s="431" customFormat="1" ht="20.100000000000001" customHeight="1">
      <c r="A13" s="425"/>
      <c r="B13" s="344"/>
      <c r="C13" s="208" t="s">
        <v>1331</v>
      </c>
      <c r="D13" s="236">
        <f>SUM(D9:D12)</f>
        <v>78889862</v>
      </c>
      <c r="E13" s="236">
        <f t="shared" ref="E13:AA13" si="2">SUM(E9:E12)</f>
        <v>81144862</v>
      </c>
      <c r="F13" s="236">
        <f t="shared" si="2"/>
        <v>-2255000</v>
      </c>
      <c r="G13" s="236">
        <f t="shared" si="2"/>
        <v>66089862</v>
      </c>
      <c r="H13" s="236">
        <f t="shared" si="2"/>
        <v>62517820</v>
      </c>
      <c r="I13" s="236">
        <f t="shared" si="2"/>
        <v>140400</v>
      </c>
      <c r="J13" s="236">
        <f t="shared" si="2"/>
        <v>2999676</v>
      </c>
      <c r="K13" s="236">
        <f t="shared" si="2"/>
        <v>3140076</v>
      </c>
      <c r="L13" s="236">
        <f t="shared" si="2"/>
        <v>65657896</v>
      </c>
      <c r="M13" s="236">
        <f t="shared" si="2"/>
        <v>1431966</v>
      </c>
      <c r="N13" s="236">
        <f t="shared" si="2"/>
        <v>5600000</v>
      </c>
      <c r="O13" s="236">
        <f t="shared" si="2"/>
        <v>6200000</v>
      </c>
      <c r="P13" s="236">
        <f t="shared" si="2"/>
        <v>431966</v>
      </c>
      <c r="Q13" s="236">
        <f t="shared" si="2"/>
        <v>500000</v>
      </c>
      <c r="R13" s="236">
        <f t="shared" si="2"/>
        <v>500000</v>
      </c>
      <c r="S13" s="236">
        <f t="shared" si="2"/>
        <v>1000000</v>
      </c>
      <c r="T13" s="236">
        <f t="shared" si="2"/>
        <v>0</v>
      </c>
      <c r="U13" s="236">
        <f t="shared" si="2"/>
        <v>5600000</v>
      </c>
      <c r="V13" s="236">
        <f t="shared" si="2"/>
        <v>3100000</v>
      </c>
      <c r="W13" s="236">
        <f t="shared" si="2"/>
        <v>2500000</v>
      </c>
      <c r="X13" s="236">
        <f t="shared" si="2"/>
        <v>0</v>
      </c>
      <c r="Y13" s="236">
        <f t="shared" si="2"/>
        <v>0</v>
      </c>
      <c r="Z13" s="236">
        <f t="shared" si="2"/>
        <v>0</v>
      </c>
      <c r="AA13" s="236">
        <f t="shared" si="2"/>
        <v>0</v>
      </c>
      <c r="AB13" s="425"/>
      <c r="AC13" s="344"/>
      <c r="AD13" s="432"/>
      <c r="AE13" s="432"/>
      <c r="AF13" s="432"/>
      <c r="AG13" s="353"/>
      <c r="AH13" s="690"/>
      <c r="AI13" s="690"/>
      <c r="AJ13" s="690"/>
      <c r="AK13" s="690"/>
      <c r="AL13" s="690"/>
      <c r="AM13" s="690"/>
      <c r="AN13" s="353"/>
      <c r="AO13" s="353"/>
      <c r="AP13" s="353"/>
      <c r="AQ13" s="353"/>
      <c r="AR13" s="353"/>
      <c r="AS13" s="353"/>
      <c r="AT13" s="353"/>
      <c r="AU13" s="353"/>
      <c r="AV13" s="353"/>
      <c r="AW13" s="353"/>
    </row>
    <row r="14" spans="1:49" s="431" customFormat="1" ht="20.100000000000001" customHeight="1">
      <c r="A14" s="425"/>
      <c r="B14" s="344"/>
      <c r="C14" s="208">
        <v>76</v>
      </c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425"/>
      <c r="AC14" s="344"/>
      <c r="AD14" s="432"/>
      <c r="AE14" s="432"/>
      <c r="AF14" s="432"/>
      <c r="AG14" s="353"/>
      <c r="AH14" s="690"/>
      <c r="AI14" s="690"/>
      <c r="AJ14" s="690"/>
      <c r="AK14" s="690"/>
      <c r="AL14" s="690"/>
      <c r="AM14" s="690"/>
      <c r="AN14" s="353"/>
      <c r="AO14" s="353"/>
      <c r="AP14" s="353"/>
      <c r="AQ14" s="353"/>
      <c r="AR14" s="353"/>
      <c r="AS14" s="353"/>
      <c r="AT14" s="353"/>
      <c r="AU14" s="353"/>
      <c r="AV14" s="353"/>
      <c r="AW14" s="353"/>
    </row>
    <row r="15" spans="1:49" s="382" customFormat="1" ht="30">
      <c r="A15" s="352">
        <f>A12+1</f>
        <v>6</v>
      </c>
      <c r="B15" s="352">
        <v>1259</v>
      </c>
      <c r="C15" s="127" t="s">
        <v>45</v>
      </c>
      <c r="D15" s="112">
        <f>5810000+410000</f>
        <v>6220000</v>
      </c>
      <c r="E15" s="112">
        <v>5810000</v>
      </c>
      <c r="F15" s="112">
        <f>D15-E15</f>
        <v>410000</v>
      </c>
      <c r="G15" s="112">
        <v>5570000</v>
      </c>
      <c r="H15" s="112">
        <v>5480058</v>
      </c>
      <c r="I15" s="112">
        <v>0</v>
      </c>
      <c r="J15" s="112">
        <v>83568</v>
      </c>
      <c r="K15" s="112">
        <f>I15+J15</f>
        <v>83568</v>
      </c>
      <c r="L15" s="112">
        <f>H15+K15</f>
        <v>5563626</v>
      </c>
      <c r="M15" s="112">
        <f>P15+S15</f>
        <v>156374</v>
      </c>
      <c r="N15" s="112">
        <v>500000</v>
      </c>
      <c r="O15" s="112">
        <f>D15-L15-M15-N15</f>
        <v>0</v>
      </c>
      <c r="P15" s="112">
        <f>G15-L15</f>
        <v>6374</v>
      </c>
      <c r="Q15" s="112">
        <v>150000</v>
      </c>
      <c r="R15" s="112"/>
      <c r="S15" s="112">
        <f>SUM(Q15:R15)</f>
        <v>150000</v>
      </c>
      <c r="T15" s="112">
        <f>P15-M15+S15</f>
        <v>0</v>
      </c>
      <c r="U15" s="112">
        <f>N15-T15</f>
        <v>500000</v>
      </c>
      <c r="V15" s="112">
        <f>U15-W15-Z15-AA15</f>
        <v>500000</v>
      </c>
      <c r="W15" s="112"/>
      <c r="X15" s="112"/>
      <c r="Y15" s="112"/>
      <c r="Z15" s="112"/>
      <c r="AA15" s="112"/>
      <c r="AB15" s="352" t="s">
        <v>204</v>
      </c>
      <c r="AC15" s="352">
        <v>760000</v>
      </c>
      <c r="AD15" s="351"/>
      <c r="AE15" s="351"/>
      <c r="AF15" s="351"/>
      <c r="AG15" s="348"/>
      <c r="AH15" s="604"/>
      <c r="AI15" s="604"/>
      <c r="AJ15" s="604"/>
      <c r="AK15" s="604"/>
      <c r="AL15" s="604"/>
      <c r="AM15" s="604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</row>
    <row r="16" spans="1:49" s="382" customFormat="1" ht="29.25" customHeight="1">
      <c r="A16" s="352">
        <f t="shared" si="1"/>
        <v>7</v>
      </c>
      <c r="B16" s="352">
        <v>1260</v>
      </c>
      <c r="C16" s="127" t="s">
        <v>46</v>
      </c>
      <c r="D16" s="112">
        <f>10008000+420000</f>
        <v>10428000</v>
      </c>
      <c r="E16" s="112">
        <v>10008000</v>
      </c>
      <c r="F16" s="112">
        <f>D16-E16</f>
        <v>420000</v>
      </c>
      <c r="G16" s="112">
        <v>9858000</v>
      </c>
      <c r="H16" s="112">
        <v>9669393</v>
      </c>
      <c r="I16" s="112">
        <v>0</v>
      </c>
      <c r="J16" s="112">
        <v>169485</v>
      </c>
      <c r="K16" s="112">
        <f>I16+J16</f>
        <v>169485</v>
      </c>
      <c r="L16" s="112">
        <f>H16+K16</f>
        <v>9838878</v>
      </c>
      <c r="M16" s="112">
        <f>P16+S16</f>
        <v>89122</v>
      </c>
      <c r="N16" s="112">
        <v>500000</v>
      </c>
      <c r="O16" s="112">
        <f>D16-L16-M16-N16</f>
        <v>0</v>
      </c>
      <c r="P16" s="112">
        <f>G16-L16</f>
        <v>19122</v>
      </c>
      <c r="Q16" s="112">
        <v>70000</v>
      </c>
      <c r="R16" s="112"/>
      <c r="S16" s="112">
        <f>SUM(Q16:R16)</f>
        <v>70000</v>
      </c>
      <c r="T16" s="112">
        <f>P16-M16+S16</f>
        <v>0</v>
      </c>
      <c r="U16" s="112">
        <f>N16-T16</f>
        <v>500000</v>
      </c>
      <c r="V16" s="112">
        <f>U16-W16-Z16-AA16</f>
        <v>500000</v>
      </c>
      <c r="W16" s="112"/>
      <c r="X16" s="112"/>
      <c r="Y16" s="112"/>
      <c r="Z16" s="112"/>
      <c r="AA16" s="112"/>
      <c r="AB16" s="352" t="s">
        <v>205</v>
      </c>
      <c r="AC16" s="352">
        <v>760000</v>
      </c>
      <c r="AD16" s="351"/>
      <c r="AE16" s="351"/>
      <c r="AF16" s="351"/>
      <c r="AG16" s="348"/>
      <c r="AH16" s="604"/>
      <c r="AI16" s="604"/>
      <c r="AJ16" s="604"/>
      <c r="AK16" s="604"/>
      <c r="AL16" s="604"/>
      <c r="AM16" s="604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</row>
    <row r="17" spans="1:49" s="343" customFormat="1" ht="48.75" customHeight="1">
      <c r="A17" s="352">
        <f t="shared" si="1"/>
        <v>8</v>
      </c>
      <c r="B17" s="373">
        <v>2170</v>
      </c>
      <c r="C17" s="339" t="s">
        <v>321</v>
      </c>
      <c r="D17" s="452">
        <f>1360000+1547000+495000</f>
        <v>3402000</v>
      </c>
      <c r="E17" s="452">
        <v>1360000</v>
      </c>
      <c r="F17" s="452">
        <f>D17-E17</f>
        <v>2042000</v>
      </c>
      <c r="G17" s="452">
        <v>510000</v>
      </c>
      <c r="H17" s="452">
        <v>373308</v>
      </c>
      <c r="I17" s="452">
        <v>0</v>
      </c>
      <c r="J17" s="452">
        <v>44083</v>
      </c>
      <c r="K17" s="452">
        <f>I17+J17</f>
        <v>44083</v>
      </c>
      <c r="L17" s="452">
        <f>H17+K17</f>
        <v>417391</v>
      </c>
      <c r="M17" s="468">
        <f>P17+S17</f>
        <v>364609</v>
      </c>
      <c r="N17" s="468">
        <f>2125000+495000-1100000</f>
        <v>1520000</v>
      </c>
      <c r="O17" s="468">
        <f>D17-L17-M17-N17</f>
        <v>1100000</v>
      </c>
      <c r="P17" s="468">
        <f>G17-L17</f>
        <v>92609</v>
      </c>
      <c r="Q17" s="468">
        <v>272000</v>
      </c>
      <c r="R17" s="468"/>
      <c r="S17" s="468">
        <f>SUM(Q17:R17)</f>
        <v>272000</v>
      </c>
      <c r="T17" s="468">
        <f>P17-M17+S17</f>
        <v>0</v>
      </c>
      <c r="U17" s="468">
        <f>N17-T17</f>
        <v>1520000</v>
      </c>
      <c r="V17" s="468"/>
      <c r="W17" s="468">
        <f>U17-V17-X17-Z17-AA17</f>
        <v>1520000</v>
      </c>
      <c r="X17" s="452"/>
      <c r="Y17" s="452"/>
      <c r="Z17" s="452"/>
      <c r="AA17" s="467"/>
      <c r="AB17" s="649" t="s">
        <v>1305</v>
      </c>
      <c r="AC17" s="467">
        <v>760000</v>
      </c>
      <c r="AD17" s="351"/>
      <c r="AE17" s="351"/>
      <c r="AF17" s="351"/>
      <c r="AG17" s="348"/>
      <c r="AH17" s="604"/>
      <c r="AI17" s="604"/>
      <c r="AJ17" s="604"/>
      <c r="AK17" s="604"/>
      <c r="AL17" s="604"/>
      <c r="AM17" s="604"/>
      <c r="AN17" s="348"/>
      <c r="AO17" s="348"/>
      <c r="AP17" s="288"/>
      <c r="AQ17" s="288"/>
      <c r="AR17" s="289"/>
      <c r="AS17" s="289"/>
      <c r="AT17" s="289"/>
      <c r="AU17" s="289"/>
      <c r="AV17" s="289"/>
      <c r="AW17" s="289"/>
    </row>
    <row r="18" spans="1:49" s="346" customFormat="1" ht="20.100000000000001" customHeight="1">
      <c r="A18" s="368"/>
      <c r="B18" s="691"/>
      <c r="C18" s="367" t="s">
        <v>1332</v>
      </c>
      <c r="D18" s="683">
        <f>SUM(D15:D17)</f>
        <v>20050000</v>
      </c>
      <c r="E18" s="683">
        <f t="shared" ref="E18:AA18" si="3">SUM(E15:E17)</f>
        <v>17178000</v>
      </c>
      <c r="F18" s="683">
        <f t="shared" si="3"/>
        <v>2872000</v>
      </c>
      <c r="G18" s="683">
        <f t="shared" si="3"/>
        <v>15938000</v>
      </c>
      <c r="H18" s="683">
        <f t="shared" si="3"/>
        <v>15522759</v>
      </c>
      <c r="I18" s="683">
        <f t="shared" si="3"/>
        <v>0</v>
      </c>
      <c r="J18" s="683">
        <f t="shared" si="3"/>
        <v>297136</v>
      </c>
      <c r="K18" s="683">
        <f t="shared" si="3"/>
        <v>297136</v>
      </c>
      <c r="L18" s="683">
        <f t="shared" si="3"/>
        <v>15819895</v>
      </c>
      <c r="M18" s="683">
        <f t="shared" si="3"/>
        <v>610105</v>
      </c>
      <c r="N18" s="683">
        <f t="shared" si="3"/>
        <v>2520000</v>
      </c>
      <c r="O18" s="683">
        <f t="shared" si="3"/>
        <v>1100000</v>
      </c>
      <c r="P18" s="683">
        <f t="shared" si="3"/>
        <v>118105</v>
      </c>
      <c r="Q18" s="683">
        <f t="shared" si="3"/>
        <v>492000</v>
      </c>
      <c r="R18" s="683">
        <f t="shared" si="3"/>
        <v>0</v>
      </c>
      <c r="S18" s="683">
        <f t="shared" si="3"/>
        <v>492000</v>
      </c>
      <c r="T18" s="683">
        <f t="shared" si="3"/>
        <v>0</v>
      </c>
      <c r="U18" s="683">
        <f t="shared" si="3"/>
        <v>2520000</v>
      </c>
      <c r="V18" s="683">
        <f t="shared" si="3"/>
        <v>1000000</v>
      </c>
      <c r="W18" s="683">
        <f t="shared" si="3"/>
        <v>1520000</v>
      </c>
      <c r="X18" s="683">
        <f t="shared" si="3"/>
        <v>0</v>
      </c>
      <c r="Y18" s="683">
        <f t="shared" si="3"/>
        <v>0</v>
      </c>
      <c r="Z18" s="683">
        <f t="shared" si="3"/>
        <v>0</v>
      </c>
      <c r="AA18" s="683">
        <f t="shared" si="3"/>
        <v>0</v>
      </c>
      <c r="AB18" s="368"/>
      <c r="AC18" s="684"/>
      <c r="AD18" s="692"/>
      <c r="AE18" s="692"/>
      <c r="AF18" s="692"/>
      <c r="AG18" s="369"/>
      <c r="AH18" s="604"/>
      <c r="AI18" s="604"/>
      <c r="AJ18" s="604"/>
      <c r="AK18" s="604"/>
      <c r="AL18" s="604"/>
      <c r="AM18" s="604"/>
      <c r="AN18" s="369"/>
      <c r="AO18" s="369"/>
      <c r="AP18" s="687"/>
      <c r="AQ18" s="687"/>
      <c r="AR18" s="689"/>
      <c r="AS18" s="689"/>
      <c r="AT18" s="689"/>
      <c r="AU18" s="689"/>
      <c r="AV18" s="689"/>
      <c r="AW18" s="689"/>
    </row>
    <row r="19" spans="1:49" s="346" customFormat="1" ht="20.100000000000001" customHeight="1">
      <c r="A19" s="368"/>
      <c r="B19" s="691"/>
      <c r="C19" s="367">
        <v>84</v>
      </c>
      <c r="D19" s="683"/>
      <c r="E19" s="683"/>
      <c r="F19" s="683"/>
      <c r="G19" s="683"/>
      <c r="H19" s="683"/>
      <c r="I19" s="683"/>
      <c r="J19" s="683"/>
      <c r="K19" s="683"/>
      <c r="L19" s="683"/>
      <c r="M19" s="685"/>
      <c r="N19" s="685"/>
      <c r="O19" s="685"/>
      <c r="P19" s="685"/>
      <c r="Q19" s="685"/>
      <c r="R19" s="685"/>
      <c r="S19" s="685"/>
      <c r="T19" s="685"/>
      <c r="U19" s="685"/>
      <c r="V19" s="685"/>
      <c r="W19" s="685"/>
      <c r="X19" s="683"/>
      <c r="Y19" s="683"/>
      <c r="Z19" s="683"/>
      <c r="AA19" s="684"/>
      <c r="AB19" s="368"/>
      <c r="AC19" s="684"/>
      <c r="AD19" s="692"/>
      <c r="AE19" s="692"/>
      <c r="AF19" s="692"/>
      <c r="AG19" s="369"/>
      <c r="AH19" s="604"/>
      <c r="AI19" s="604"/>
      <c r="AJ19" s="604"/>
      <c r="AK19" s="604"/>
      <c r="AL19" s="604"/>
      <c r="AM19" s="604"/>
      <c r="AN19" s="369"/>
      <c r="AO19" s="369"/>
      <c r="AP19" s="687"/>
      <c r="AQ19" s="687"/>
      <c r="AR19" s="689"/>
      <c r="AS19" s="689"/>
      <c r="AT19" s="689"/>
      <c r="AU19" s="689"/>
      <c r="AV19" s="689"/>
      <c r="AW19" s="689"/>
    </row>
    <row r="20" spans="1:49" s="289" customFormat="1" ht="60.75" customHeight="1">
      <c r="A20" s="352">
        <f>A17+1</f>
        <v>9</v>
      </c>
      <c r="B20" s="339">
        <v>529</v>
      </c>
      <c r="C20" s="127" t="s">
        <v>52</v>
      </c>
      <c r="D20" s="112">
        <v>700000</v>
      </c>
      <c r="E20" s="112">
        <v>700000</v>
      </c>
      <c r="F20" s="112">
        <f>D20-E20</f>
        <v>0</v>
      </c>
      <c r="G20" s="112">
        <v>700000</v>
      </c>
      <c r="H20" s="112">
        <v>617560</v>
      </c>
      <c r="I20" s="112">
        <v>0</v>
      </c>
      <c r="J20" s="112">
        <v>0</v>
      </c>
      <c r="K20" s="112">
        <f>I20+J20</f>
        <v>0</v>
      </c>
      <c r="L20" s="112">
        <f>H20+K20</f>
        <v>617560</v>
      </c>
      <c r="M20" s="112">
        <f>P20+S20</f>
        <v>82440</v>
      </c>
      <c r="N20" s="112"/>
      <c r="O20" s="112">
        <f>D20-L20-M20-N20</f>
        <v>0</v>
      </c>
      <c r="P20" s="112">
        <f>G20-L20</f>
        <v>82440</v>
      </c>
      <c r="Q20" s="112"/>
      <c r="R20" s="112"/>
      <c r="S20" s="112">
        <f>SUM(Q20:R20)</f>
        <v>0</v>
      </c>
      <c r="T20" s="112">
        <f>P20-M20+S20</f>
        <v>0</v>
      </c>
      <c r="U20" s="112">
        <f>N20-T20</f>
        <v>0</v>
      </c>
      <c r="V20" s="112">
        <f>U20-W20-Z20-AA20</f>
        <v>0</v>
      </c>
      <c r="W20" s="112"/>
      <c r="X20" s="112"/>
      <c r="Y20" s="112"/>
      <c r="Z20" s="112"/>
      <c r="AA20" s="112"/>
      <c r="AB20" s="352" t="s">
        <v>560</v>
      </c>
      <c r="AC20" s="339">
        <v>840000</v>
      </c>
      <c r="AD20" s="351"/>
      <c r="AE20" s="351"/>
      <c r="AF20" s="351"/>
      <c r="AG20" s="348"/>
      <c r="AH20" s="604"/>
      <c r="AI20" s="604"/>
      <c r="AJ20" s="604"/>
      <c r="AK20" s="604"/>
      <c r="AL20" s="604"/>
      <c r="AM20" s="604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</row>
    <row r="21" spans="1:49" s="689" customFormat="1" ht="20.100000000000001" customHeight="1">
      <c r="A21" s="368"/>
      <c r="B21" s="367"/>
      <c r="C21" s="129" t="s">
        <v>1337</v>
      </c>
      <c r="D21" s="130">
        <f>SUM(D20)</f>
        <v>700000</v>
      </c>
      <c r="E21" s="130">
        <f t="shared" ref="E21:AA21" si="4">SUM(E20)</f>
        <v>700000</v>
      </c>
      <c r="F21" s="130">
        <f t="shared" si="4"/>
        <v>0</v>
      </c>
      <c r="G21" s="130">
        <f t="shared" si="4"/>
        <v>700000</v>
      </c>
      <c r="H21" s="130">
        <f t="shared" si="4"/>
        <v>617560</v>
      </c>
      <c r="I21" s="130">
        <f t="shared" si="4"/>
        <v>0</v>
      </c>
      <c r="J21" s="130">
        <f t="shared" si="4"/>
        <v>0</v>
      </c>
      <c r="K21" s="130">
        <f t="shared" si="4"/>
        <v>0</v>
      </c>
      <c r="L21" s="130">
        <f t="shared" si="4"/>
        <v>617560</v>
      </c>
      <c r="M21" s="130">
        <f t="shared" si="4"/>
        <v>82440</v>
      </c>
      <c r="N21" s="130">
        <f t="shared" si="4"/>
        <v>0</v>
      </c>
      <c r="O21" s="130">
        <f t="shared" si="4"/>
        <v>0</v>
      </c>
      <c r="P21" s="130">
        <f t="shared" si="4"/>
        <v>82440</v>
      </c>
      <c r="Q21" s="130">
        <f t="shared" si="4"/>
        <v>0</v>
      </c>
      <c r="R21" s="130">
        <f t="shared" si="4"/>
        <v>0</v>
      </c>
      <c r="S21" s="130">
        <f t="shared" si="4"/>
        <v>0</v>
      </c>
      <c r="T21" s="130">
        <f t="shared" si="4"/>
        <v>0</v>
      </c>
      <c r="U21" s="130">
        <f t="shared" si="4"/>
        <v>0</v>
      </c>
      <c r="V21" s="130">
        <f t="shared" si="4"/>
        <v>0</v>
      </c>
      <c r="W21" s="130">
        <f t="shared" si="4"/>
        <v>0</v>
      </c>
      <c r="X21" s="130">
        <f t="shared" si="4"/>
        <v>0</v>
      </c>
      <c r="Y21" s="130">
        <f t="shared" si="4"/>
        <v>0</v>
      </c>
      <c r="Z21" s="130">
        <f t="shared" si="4"/>
        <v>0</v>
      </c>
      <c r="AA21" s="130">
        <f t="shared" si="4"/>
        <v>0</v>
      </c>
      <c r="AB21" s="368"/>
      <c r="AC21" s="367"/>
      <c r="AD21" s="692"/>
      <c r="AE21" s="692"/>
      <c r="AF21" s="692"/>
      <c r="AG21" s="369"/>
      <c r="AH21" s="604"/>
      <c r="AI21" s="604"/>
      <c r="AJ21" s="604"/>
      <c r="AK21" s="604"/>
      <c r="AL21" s="604"/>
      <c r="AM21" s="604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</row>
    <row r="22" spans="1:49" s="689" customFormat="1" ht="20.100000000000001" customHeight="1">
      <c r="A22" s="368"/>
      <c r="B22" s="367"/>
      <c r="C22" s="129">
        <v>99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368"/>
      <c r="AC22" s="367"/>
      <c r="AD22" s="692"/>
      <c r="AE22" s="692"/>
      <c r="AF22" s="692"/>
      <c r="AG22" s="369"/>
      <c r="AH22" s="604"/>
      <c r="AI22" s="604"/>
      <c r="AJ22" s="604"/>
      <c r="AK22" s="604"/>
      <c r="AL22" s="604"/>
      <c r="AM22" s="604"/>
      <c r="AN22" s="369"/>
      <c r="AO22" s="369"/>
      <c r="AP22" s="369"/>
      <c r="AQ22" s="369"/>
      <c r="AR22" s="369"/>
      <c r="AS22" s="369"/>
      <c r="AT22" s="369"/>
      <c r="AU22" s="369"/>
      <c r="AV22" s="369"/>
      <c r="AW22" s="369"/>
    </row>
    <row r="23" spans="1:49" s="343" customFormat="1" ht="52.5" customHeight="1">
      <c r="A23" s="352">
        <f>A20+1</f>
        <v>10</v>
      </c>
      <c r="B23" s="352">
        <v>1688</v>
      </c>
      <c r="C23" s="127" t="s">
        <v>48</v>
      </c>
      <c r="D23" s="112">
        <v>15133000</v>
      </c>
      <c r="E23" s="112">
        <v>15133000</v>
      </c>
      <c r="F23" s="112">
        <f>D23-E23</f>
        <v>0</v>
      </c>
      <c r="G23" s="112">
        <v>15133000</v>
      </c>
      <c r="H23" s="112">
        <v>15133000</v>
      </c>
      <c r="I23" s="112">
        <v>0</v>
      </c>
      <c r="J23" s="112">
        <v>0</v>
      </c>
      <c r="K23" s="112">
        <f>I23+J23</f>
        <v>0</v>
      </c>
      <c r="L23" s="112">
        <f>H23+K23</f>
        <v>15133000</v>
      </c>
      <c r="M23" s="112">
        <f>P23+S23</f>
        <v>0</v>
      </c>
      <c r="N23" s="112"/>
      <c r="O23" s="112">
        <f>D23-L23-M23-N23</f>
        <v>0</v>
      </c>
      <c r="P23" s="112">
        <f>G23-L23</f>
        <v>0</v>
      </c>
      <c r="Q23" s="112"/>
      <c r="R23" s="112"/>
      <c r="S23" s="112">
        <f>SUM(Q23:R23)</f>
        <v>0</v>
      </c>
      <c r="T23" s="112">
        <f>P23-M23+S23</f>
        <v>0</v>
      </c>
      <c r="U23" s="112">
        <f>N23-T23</f>
        <v>0</v>
      </c>
      <c r="V23" s="112">
        <f>U23-W23-Z23-AA23</f>
        <v>0</v>
      </c>
      <c r="W23" s="112"/>
      <c r="X23" s="112"/>
      <c r="Y23" s="112"/>
      <c r="Z23" s="112"/>
      <c r="AA23" s="112"/>
      <c r="AB23" s="352" t="s">
        <v>252</v>
      </c>
      <c r="AC23" s="352">
        <v>990000</v>
      </c>
      <c r="AD23" s="351"/>
      <c r="AE23" s="351"/>
      <c r="AF23" s="351"/>
      <c r="AG23" s="348"/>
      <c r="AH23" s="604"/>
      <c r="AI23" s="604"/>
      <c r="AJ23" s="604"/>
      <c r="AK23" s="604"/>
      <c r="AL23" s="604"/>
      <c r="AM23" s="604"/>
      <c r="AN23" s="348"/>
      <c r="AO23" s="348"/>
      <c r="AP23" s="348"/>
      <c r="AQ23" s="348"/>
      <c r="AR23" s="348"/>
      <c r="AS23" s="348"/>
      <c r="AT23" s="348"/>
      <c r="AU23" s="348"/>
      <c r="AV23" s="348"/>
      <c r="AW23" s="348"/>
    </row>
    <row r="24" spans="1:49" s="343" customFormat="1" ht="35.25" customHeight="1">
      <c r="A24" s="352">
        <f t="shared" si="1"/>
        <v>11</v>
      </c>
      <c r="B24" s="345">
        <v>20138</v>
      </c>
      <c r="C24" s="127" t="s">
        <v>650</v>
      </c>
      <c r="D24" s="112">
        <f>327000000+1250000</f>
        <v>328250000</v>
      </c>
      <c r="E24" s="112">
        <v>32700000</v>
      </c>
      <c r="F24" s="112">
        <f>D24-E24</f>
        <v>295550000</v>
      </c>
      <c r="G24" s="112">
        <v>5450000</v>
      </c>
      <c r="H24" s="112">
        <v>5450000</v>
      </c>
      <c r="I24" s="112">
        <v>0</v>
      </c>
      <c r="J24" s="112">
        <v>0</v>
      </c>
      <c r="K24" s="112">
        <f>I24+J24</f>
        <v>0</v>
      </c>
      <c r="L24" s="112">
        <f>H24+K24</f>
        <v>5450000</v>
      </c>
      <c r="M24" s="112">
        <f>P24+S24</f>
        <v>0</v>
      </c>
      <c r="N24" s="112">
        <f>27250000+1250000</f>
        <v>28500000</v>
      </c>
      <c r="O24" s="112">
        <f>D24-L24-M24-N24</f>
        <v>294300000</v>
      </c>
      <c r="P24" s="112">
        <f>G24-L24</f>
        <v>0</v>
      </c>
      <c r="Q24" s="112"/>
      <c r="R24" s="112"/>
      <c r="S24" s="112">
        <f>SUM(Q24:R24)</f>
        <v>0</v>
      </c>
      <c r="T24" s="112">
        <f>P24-M24+S24</f>
        <v>0</v>
      </c>
      <c r="U24" s="112">
        <f>N24-T24</f>
        <v>28500000</v>
      </c>
      <c r="V24" s="112">
        <f>U24-W24-Z24-AA24</f>
        <v>28500000</v>
      </c>
      <c r="W24" s="112"/>
      <c r="X24" s="112"/>
      <c r="Y24" s="112"/>
      <c r="Z24" s="112"/>
      <c r="AA24" s="112"/>
      <c r="AB24" s="352" t="s">
        <v>779</v>
      </c>
      <c r="AC24" s="339">
        <v>999000</v>
      </c>
      <c r="AD24" s="351"/>
      <c r="AE24" s="351"/>
      <c r="AF24" s="351"/>
      <c r="AG24" s="348"/>
      <c r="AH24" s="604"/>
      <c r="AI24" s="604"/>
      <c r="AJ24" s="604"/>
      <c r="AK24" s="604"/>
      <c r="AL24" s="604"/>
      <c r="AM24" s="604"/>
      <c r="AN24" s="348"/>
      <c r="AO24" s="348"/>
      <c r="AP24" s="348"/>
      <c r="AQ24" s="348"/>
      <c r="AR24" s="348"/>
      <c r="AS24" s="348"/>
      <c r="AT24" s="348"/>
      <c r="AU24" s="348"/>
      <c r="AV24" s="348"/>
      <c r="AW24" s="348"/>
    </row>
    <row r="25" spans="1:49" s="354" customFormat="1" ht="20.100000000000001" customHeight="1">
      <c r="A25" s="425"/>
      <c r="B25" s="344"/>
      <c r="C25" s="208" t="s">
        <v>1345</v>
      </c>
      <c r="D25" s="236">
        <f>SUM(D23:D24)</f>
        <v>343383000</v>
      </c>
      <c r="E25" s="236">
        <f t="shared" ref="E25:AA25" si="5">SUM(E23:E24)</f>
        <v>47833000</v>
      </c>
      <c r="F25" s="236">
        <f t="shared" si="5"/>
        <v>295550000</v>
      </c>
      <c r="G25" s="236">
        <f t="shared" si="5"/>
        <v>20583000</v>
      </c>
      <c r="H25" s="236">
        <f t="shared" si="5"/>
        <v>20583000</v>
      </c>
      <c r="I25" s="236">
        <f t="shared" si="5"/>
        <v>0</v>
      </c>
      <c r="J25" s="236">
        <f t="shared" si="5"/>
        <v>0</v>
      </c>
      <c r="K25" s="236">
        <f t="shared" si="5"/>
        <v>0</v>
      </c>
      <c r="L25" s="236">
        <f t="shared" si="5"/>
        <v>20583000</v>
      </c>
      <c r="M25" s="236">
        <f t="shared" si="5"/>
        <v>0</v>
      </c>
      <c r="N25" s="236">
        <f t="shared" si="5"/>
        <v>28500000</v>
      </c>
      <c r="O25" s="236">
        <f t="shared" si="5"/>
        <v>294300000</v>
      </c>
      <c r="P25" s="236">
        <f t="shared" si="5"/>
        <v>0</v>
      </c>
      <c r="Q25" s="236">
        <f t="shared" si="5"/>
        <v>0</v>
      </c>
      <c r="R25" s="236">
        <f t="shared" si="5"/>
        <v>0</v>
      </c>
      <c r="S25" s="236">
        <f t="shared" si="5"/>
        <v>0</v>
      </c>
      <c r="T25" s="236">
        <f t="shared" si="5"/>
        <v>0</v>
      </c>
      <c r="U25" s="236">
        <f t="shared" si="5"/>
        <v>28500000</v>
      </c>
      <c r="V25" s="236">
        <f t="shared" si="5"/>
        <v>28500000</v>
      </c>
      <c r="W25" s="236">
        <f t="shared" si="5"/>
        <v>0</v>
      </c>
      <c r="X25" s="236">
        <f t="shared" si="5"/>
        <v>0</v>
      </c>
      <c r="Y25" s="236">
        <f t="shared" si="5"/>
        <v>0</v>
      </c>
      <c r="Z25" s="236">
        <f t="shared" si="5"/>
        <v>0</v>
      </c>
      <c r="AA25" s="236">
        <f t="shared" si="5"/>
        <v>0</v>
      </c>
      <c r="AB25" s="425"/>
      <c r="AC25" s="344"/>
      <c r="AD25" s="432"/>
      <c r="AE25" s="432"/>
      <c r="AF25" s="432"/>
      <c r="AG25" s="353"/>
      <c r="AH25" s="690"/>
      <c r="AI25" s="690"/>
      <c r="AJ25" s="690"/>
      <c r="AK25" s="690"/>
      <c r="AL25" s="690"/>
      <c r="AM25" s="690"/>
      <c r="AN25" s="353"/>
      <c r="AO25" s="353"/>
      <c r="AP25" s="353"/>
      <c r="AQ25" s="353"/>
      <c r="AR25" s="353"/>
      <c r="AS25" s="353"/>
      <c r="AT25" s="353"/>
      <c r="AU25" s="353"/>
      <c r="AV25" s="353"/>
      <c r="AW25" s="353"/>
    </row>
    <row r="26" spans="1:49" s="383" customFormat="1" ht="39" customHeight="1">
      <c r="A26" s="772">
        <f>COUNT(A6:A24)</f>
        <v>11</v>
      </c>
      <c r="B26" s="772"/>
      <c r="C26" s="344" t="s">
        <v>141</v>
      </c>
      <c r="D26" s="773">
        <f>D25+D21+D18+D13+D7</f>
        <v>451945582</v>
      </c>
      <c r="E26" s="773">
        <f t="shared" ref="E26:AA26" si="6">E25+E21+E18+E13+E7</f>
        <v>155778582</v>
      </c>
      <c r="F26" s="773">
        <f t="shared" si="6"/>
        <v>296167000</v>
      </c>
      <c r="G26" s="773">
        <f t="shared" si="6"/>
        <v>112233582</v>
      </c>
      <c r="H26" s="773">
        <f t="shared" si="6"/>
        <v>106500859</v>
      </c>
      <c r="I26" s="773">
        <f t="shared" si="6"/>
        <v>140400</v>
      </c>
      <c r="J26" s="773">
        <f t="shared" si="6"/>
        <v>3296812</v>
      </c>
      <c r="K26" s="773">
        <f t="shared" si="6"/>
        <v>3437212</v>
      </c>
      <c r="L26" s="773">
        <f t="shared" si="6"/>
        <v>109938071</v>
      </c>
      <c r="M26" s="773">
        <f t="shared" si="6"/>
        <v>3787511</v>
      </c>
      <c r="N26" s="773">
        <f t="shared" si="6"/>
        <v>36620000</v>
      </c>
      <c r="O26" s="773">
        <f t="shared" si="6"/>
        <v>301600000</v>
      </c>
      <c r="P26" s="773">
        <f t="shared" si="6"/>
        <v>2295511</v>
      </c>
      <c r="Q26" s="773">
        <f t="shared" si="6"/>
        <v>992000</v>
      </c>
      <c r="R26" s="773">
        <f t="shared" si="6"/>
        <v>500000</v>
      </c>
      <c r="S26" s="773">
        <f t="shared" si="6"/>
        <v>1492000</v>
      </c>
      <c r="T26" s="773">
        <f t="shared" si="6"/>
        <v>0</v>
      </c>
      <c r="U26" s="773">
        <f t="shared" si="6"/>
        <v>36620000</v>
      </c>
      <c r="V26" s="773">
        <f t="shared" si="6"/>
        <v>32600000</v>
      </c>
      <c r="W26" s="773">
        <f t="shared" si="6"/>
        <v>4020000</v>
      </c>
      <c r="X26" s="773">
        <f t="shared" si="6"/>
        <v>0</v>
      </c>
      <c r="Y26" s="773">
        <f t="shared" si="6"/>
        <v>0</v>
      </c>
      <c r="Z26" s="773">
        <f t="shared" si="6"/>
        <v>0</v>
      </c>
      <c r="AA26" s="773">
        <f t="shared" si="6"/>
        <v>0</v>
      </c>
      <c r="AB26" s="773">
        <f t="shared" ref="AB26" si="7">SUM(AB6:AB24)</f>
        <v>0</v>
      </c>
      <c r="AC26" s="773"/>
      <c r="AD26" s="351"/>
      <c r="AE26" s="351"/>
      <c r="AF26" s="351"/>
      <c r="AG26" s="348"/>
      <c r="AH26" s="604"/>
      <c r="AI26" s="604"/>
      <c r="AJ26" s="604"/>
      <c r="AK26" s="604"/>
      <c r="AL26" s="604"/>
      <c r="AM26" s="604"/>
      <c r="AN26" s="348"/>
      <c r="AO26" s="348"/>
      <c r="AP26" s="348"/>
      <c r="AQ26" s="348"/>
      <c r="AR26" s="348"/>
      <c r="AS26" s="348"/>
      <c r="AT26" s="348"/>
      <c r="AU26" s="348"/>
      <c r="AV26" s="348"/>
      <c r="AW26" s="348"/>
    </row>
    <row r="27" spans="1:49" s="642" customFormat="1" ht="18.75" hidden="1" customHeight="1">
      <c r="C27" s="643"/>
      <c r="D27" s="644">
        <f>SUM(L26:O26)</f>
        <v>451945582</v>
      </c>
      <c r="E27" s="644"/>
      <c r="F27" s="644">
        <f>D26-E26</f>
        <v>296167000</v>
      </c>
      <c r="G27" s="644"/>
      <c r="H27" s="644"/>
      <c r="I27" s="644"/>
      <c r="J27" s="644"/>
      <c r="K27" s="644"/>
      <c r="L27" s="644">
        <f>H26+I26+J26</f>
        <v>109938071</v>
      </c>
      <c r="M27" s="644"/>
      <c r="N27" s="644"/>
      <c r="O27" s="644"/>
      <c r="P27" s="644">
        <f>G26-L27</f>
        <v>2295511</v>
      </c>
      <c r="Q27" s="644">
        <f>'תקציב מינהל כללי 2024  '!AX17</f>
        <v>720000</v>
      </c>
      <c r="R27" s="644">
        <f>'עדכוני תקציב 2024'!AE153</f>
        <v>500000</v>
      </c>
      <c r="S27" s="644"/>
      <c r="T27" s="644">
        <f>P27+S26-M26</f>
        <v>0</v>
      </c>
      <c r="U27" s="644">
        <f>N26-T27</f>
        <v>36620000</v>
      </c>
      <c r="V27" s="644"/>
      <c r="W27" s="644"/>
      <c r="X27" s="644"/>
      <c r="Y27" s="644"/>
      <c r="Z27" s="644"/>
      <c r="AA27" s="644"/>
      <c r="AB27" s="644"/>
      <c r="AC27" s="644"/>
      <c r="AD27" s="627"/>
      <c r="AE27" s="627"/>
      <c r="AF27" s="627"/>
      <c r="AG27" s="629"/>
      <c r="AH27" s="645"/>
      <c r="AI27" s="645"/>
      <c r="AJ27" s="645"/>
      <c r="AK27" s="645"/>
      <c r="AL27" s="645"/>
      <c r="AM27" s="645"/>
      <c r="AN27" s="629"/>
      <c r="AO27" s="629"/>
      <c r="AP27" s="629"/>
      <c r="AQ27" s="629"/>
      <c r="AR27" s="646"/>
      <c r="AS27" s="646"/>
      <c r="AT27" s="646"/>
      <c r="AU27" s="646"/>
      <c r="AV27" s="646"/>
      <c r="AW27" s="646"/>
    </row>
    <row r="28" spans="1:49">
      <c r="E28" s="474"/>
      <c r="Q28" s="350">
        <f>Q26-Q27</f>
        <v>272000</v>
      </c>
    </row>
    <row r="29" spans="1:49">
      <c r="C29" s="349"/>
      <c r="P29" s="637" t="s">
        <v>1302</v>
      </c>
    </row>
    <row r="30" spans="1:49" ht="37.5" customHeight="1"/>
    <row r="31" spans="1:49" ht="37.5" customHeight="1"/>
    <row r="32" spans="1:49" ht="37.5" customHeight="1"/>
    <row r="33" spans="2:49" ht="37.5" customHeight="1"/>
    <row r="34" spans="2:49" ht="37.5" customHeight="1"/>
    <row r="35" spans="2:49" ht="37.5" customHeight="1"/>
    <row r="36" spans="2:49" ht="37.5" customHeight="1"/>
    <row r="37" spans="2:49" ht="33" customHeight="1"/>
    <row r="39" spans="2:49" ht="45.75" customHeight="1"/>
    <row r="41" spans="2:49" ht="47.25" customHeight="1"/>
    <row r="43" spans="2:49" s="347" customFormat="1" ht="36.75" customHeight="1">
      <c r="B43" s="348"/>
      <c r="C43" s="348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48"/>
      <c r="V43" s="348"/>
      <c r="W43" s="348"/>
      <c r="X43" s="348"/>
      <c r="Y43" s="348"/>
      <c r="Z43" s="348"/>
      <c r="AA43" s="348"/>
      <c r="AB43" s="351"/>
      <c r="AC43" s="348"/>
      <c r="AD43" s="351"/>
      <c r="AE43" s="351"/>
      <c r="AF43" s="351"/>
      <c r="AG43" s="348"/>
      <c r="AH43" s="604"/>
      <c r="AI43" s="604"/>
      <c r="AJ43" s="604"/>
      <c r="AK43" s="604"/>
      <c r="AL43" s="604"/>
      <c r="AM43" s="604"/>
      <c r="AN43" s="348"/>
      <c r="AO43" s="348"/>
      <c r="AP43" s="348"/>
      <c r="AQ43" s="348"/>
      <c r="AR43" s="348"/>
      <c r="AS43" s="348"/>
      <c r="AT43" s="348"/>
      <c r="AU43" s="348"/>
      <c r="AV43" s="348"/>
      <c r="AW43" s="348"/>
    </row>
    <row r="47" spans="2:49" s="347" customFormat="1" ht="45" customHeight="1">
      <c r="B47" s="348"/>
      <c r="C47" s="348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48"/>
      <c r="V47" s="348"/>
      <c r="W47" s="348"/>
      <c r="X47" s="348"/>
      <c r="Y47" s="348"/>
      <c r="Z47" s="348"/>
      <c r="AA47" s="348"/>
      <c r="AB47" s="351"/>
      <c r="AC47" s="348"/>
      <c r="AD47" s="351"/>
      <c r="AE47" s="351"/>
      <c r="AF47" s="351"/>
      <c r="AG47" s="348"/>
      <c r="AH47" s="604"/>
      <c r="AI47" s="604"/>
      <c r="AJ47" s="604"/>
      <c r="AK47" s="604"/>
      <c r="AL47" s="604"/>
      <c r="AM47" s="604"/>
      <c r="AN47" s="348"/>
      <c r="AO47" s="348"/>
      <c r="AP47" s="348"/>
      <c r="AQ47" s="348"/>
      <c r="AR47" s="348"/>
      <c r="AS47" s="348"/>
      <c r="AT47" s="348"/>
      <c r="AU47" s="348"/>
      <c r="AV47" s="348"/>
      <c r="AW47" s="348"/>
    </row>
    <row r="49" spans="2:49" s="347" customFormat="1" ht="58.5" customHeight="1">
      <c r="B49" s="348"/>
      <c r="C49" s="348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48"/>
      <c r="V49" s="348"/>
      <c r="W49" s="348"/>
      <c r="X49" s="348"/>
      <c r="Y49" s="348"/>
      <c r="Z49" s="348"/>
      <c r="AA49" s="348"/>
      <c r="AB49" s="351"/>
      <c r="AC49" s="348"/>
      <c r="AD49" s="351"/>
      <c r="AE49" s="351"/>
      <c r="AF49" s="351"/>
      <c r="AG49" s="348"/>
      <c r="AH49" s="604"/>
      <c r="AI49" s="604"/>
      <c r="AJ49" s="604"/>
      <c r="AK49" s="604"/>
      <c r="AL49" s="604"/>
      <c r="AM49" s="604"/>
      <c r="AN49" s="348"/>
      <c r="AO49" s="348"/>
      <c r="AP49" s="348"/>
      <c r="AQ49" s="348"/>
      <c r="AR49" s="348"/>
      <c r="AS49" s="348"/>
      <c r="AT49" s="348"/>
      <c r="AU49" s="348"/>
      <c r="AV49" s="348"/>
      <c r="AW49" s="348"/>
    </row>
    <row r="50" spans="2:49" s="347" customFormat="1" ht="50.25" customHeight="1">
      <c r="B50" s="348"/>
      <c r="C50" s="348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48"/>
      <c r="V50" s="348"/>
      <c r="W50" s="348"/>
      <c r="X50" s="348"/>
      <c r="Y50" s="348"/>
      <c r="Z50" s="348"/>
      <c r="AA50" s="348"/>
      <c r="AB50" s="351"/>
      <c r="AC50" s="348"/>
      <c r="AD50" s="351"/>
      <c r="AE50" s="351"/>
      <c r="AF50" s="351"/>
      <c r="AG50" s="348"/>
      <c r="AH50" s="604"/>
      <c r="AI50" s="604"/>
      <c r="AJ50" s="604"/>
      <c r="AK50" s="604"/>
      <c r="AL50" s="604"/>
      <c r="AM50" s="604"/>
      <c r="AN50" s="348"/>
      <c r="AO50" s="348"/>
      <c r="AP50" s="348"/>
      <c r="AQ50" s="348"/>
      <c r="AR50" s="348"/>
      <c r="AS50" s="348"/>
      <c r="AT50" s="348"/>
      <c r="AU50" s="348"/>
      <c r="AV50" s="348"/>
      <c r="AW50" s="348"/>
    </row>
    <row r="57" spans="2:49" s="347" customFormat="1" ht="51.75" customHeight="1">
      <c r="B57" s="348"/>
      <c r="C57" s="348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48"/>
      <c r="V57" s="348"/>
      <c r="W57" s="348"/>
      <c r="X57" s="348"/>
      <c r="Y57" s="348"/>
      <c r="Z57" s="348"/>
      <c r="AA57" s="348"/>
      <c r="AB57" s="351"/>
      <c r="AC57" s="348"/>
      <c r="AD57" s="351"/>
      <c r="AE57" s="351"/>
      <c r="AF57" s="351"/>
      <c r="AG57" s="348"/>
      <c r="AH57" s="604"/>
      <c r="AI57" s="604"/>
      <c r="AJ57" s="604"/>
      <c r="AK57" s="604"/>
      <c r="AL57" s="604"/>
      <c r="AM57" s="604"/>
      <c r="AN57" s="348"/>
      <c r="AO57" s="348"/>
      <c r="AP57" s="348"/>
      <c r="AQ57" s="348"/>
      <c r="AR57" s="348"/>
      <c r="AS57" s="348"/>
      <c r="AT57" s="348"/>
      <c r="AU57" s="348"/>
      <c r="AV57" s="348"/>
      <c r="AW57" s="348"/>
    </row>
    <row r="58" spans="2:49" s="347" customFormat="1" ht="35.25" customHeight="1">
      <c r="B58" s="348"/>
      <c r="C58" s="348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48"/>
      <c r="V58" s="348"/>
      <c r="W58" s="348"/>
      <c r="X58" s="348"/>
      <c r="Y58" s="348"/>
      <c r="Z58" s="348"/>
      <c r="AA58" s="348"/>
      <c r="AB58" s="351"/>
      <c r="AC58" s="348"/>
      <c r="AD58" s="351"/>
      <c r="AE58" s="351"/>
      <c r="AF58" s="351"/>
      <c r="AG58" s="348"/>
      <c r="AH58" s="604"/>
      <c r="AI58" s="604"/>
      <c r="AJ58" s="604"/>
      <c r="AK58" s="604"/>
      <c r="AL58" s="604"/>
      <c r="AM58" s="604"/>
      <c r="AN58" s="348"/>
      <c r="AO58" s="348"/>
      <c r="AP58" s="348"/>
      <c r="AQ58" s="348"/>
      <c r="AR58" s="348"/>
      <c r="AS58" s="348"/>
      <c r="AT58" s="348"/>
      <c r="AU58" s="348"/>
      <c r="AV58" s="348"/>
      <c r="AW58" s="348"/>
    </row>
    <row r="59" spans="2:49" s="347" customFormat="1" ht="31.5" customHeight="1">
      <c r="B59" s="348"/>
      <c r="C59" s="348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48"/>
      <c r="V59" s="348"/>
      <c r="W59" s="348"/>
      <c r="X59" s="348"/>
      <c r="Y59" s="348"/>
      <c r="Z59" s="348"/>
      <c r="AA59" s="348"/>
      <c r="AB59" s="351"/>
      <c r="AC59" s="348"/>
      <c r="AD59" s="351"/>
      <c r="AE59" s="351"/>
      <c r="AF59" s="351"/>
      <c r="AG59" s="348"/>
      <c r="AH59" s="604"/>
      <c r="AI59" s="604"/>
      <c r="AJ59" s="604"/>
      <c r="AK59" s="604"/>
      <c r="AL59" s="604"/>
      <c r="AM59" s="604"/>
      <c r="AN59" s="348"/>
      <c r="AO59" s="348"/>
      <c r="AP59" s="348"/>
      <c r="AQ59" s="348"/>
      <c r="AR59" s="348"/>
      <c r="AS59" s="348"/>
      <c r="AT59" s="348"/>
      <c r="AU59" s="348"/>
      <c r="AV59" s="348"/>
      <c r="AW59" s="348"/>
    </row>
    <row r="64" spans="2:49" s="347" customFormat="1" ht="37.5" customHeight="1">
      <c r="B64" s="348"/>
      <c r="C64" s="348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48"/>
      <c r="V64" s="348"/>
      <c r="W64" s="348"/>
      <c r="X64" s="348"/>
      <c r="Y64" s="348"/>
      <c r="Z64" s="348"/>
      <c r="AA64" s="348"/>
      <c r="AB64" s="351"/>
      <c r="AC64" s="348"/>
      <c r="AD64" s="351"/>
      <c r="AE64" s="351"/>
      <c r="AF64" s="351"/>
      <c r="AG64" s="348"/>
      <c r="AH64" s="604"/>
      <c r="AI64" s="604"/>
      <c r="AJ64" s="604"/>
      <c r="AK64" s="604"/>
      <c r="AL64" s="604"/>
      <c r="AM64" s="604"/>
      <c r="AN64" s="348"/>
      <c r="AO64" s="348"/>
      <c r="AP64" s="348"/>
      <c r="AQ64" s="348"/>
      <c r="AR64" s="348"/>
      <c r="AS64" s="348"/>
      <c r="AT64" s="348"/>
      <c r="AU64" s="348"/>
      <c r="AV64" s="348"/>
      <c r="AW64" s="348"/>
    </row>
    <row r="75" spans="2:49" s="347" customFormat="1" ht="48.75" customHeight="1">
      <c r="B75" s="348"/>
      <c r="C75" s="348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48"/>
      <c r="V75" s="348"/>
      <c r="W75" s="348"/>
      <c r="X75" s="348"/>
      <c r="Y75" s="348"/>
      <c r="Z75" s="348"/>
      <c r="AA75" s="348"/>
      <c r="AB75" s="351"/>
      <c r="AC75" s="348"/>
      <c r="AD75" s="351"/>
      <c r="AE75" s="351"/>
      <c r="AF75" s="351"/>
      <c r="AG75" s="348"/>
      <c r="AH75" s="604"/>
      <c r="AI75" s="604"/>
      <c r="AJ75" s="604"/>
      <c r="AK75" s="604"/>
      <c r="AL75" s="604"/>
      <c r="AM75" s="604"/>
      <c r="AN75" s="348"/>
      <c r="AO75" s="348"/>
      <c r="AP75" s="348"/>
      <c r="AQ75" s="348"/>
      <c r="AR75" s="348"/>
      <c r="AS75" s="348"/>
      <c r="AT75" s="348"/>
      <c r="AU75" s="348"/>
      <c r="AV75" s="348"/>
      <c r="AW75" s="348"/>
    </row>
    <row r="76" spans="2:49" s="347" customFormat="1" ht="31.5" customHeight="1">
      <c r="B76" s="348"/>
      <c r="C76" s="348"/>
      <c r="D76" s="350"/>
      <c r="E76" s="350"/>
      <c r="F76" s="350"/>
      <c r="G76" s="350"/>
      <c r="H76" s="350"/>
      <c r="I76" s="350"/>
      <c r="J76" s="350"/>
      <c r="K76" s="350"/>
      <c r="L76" s="350"/>
      <c r="M76" s="350"/>
      <c r="N76" s="350"/>
      <c r="O76" s="350"/>
      <c r="P76" s="350"/>
      <c r="Q76" s="350"/>
      <c r="R76" s="350"/>
      <c r="S76" s="350"/>
      <c r="T76" s="350"/>
      <c r="U76" s="348"/>
      <c r="V76" s="348"/>
      <c r="W76" s="348"/>
      <c r="X76" s="348"/>
      <c r="Y76" s="348"/>
      <c r="Z76" s="348"/>
      <c r="AA76" s="348"/>
      <c r="AB76" s="351"/>
      <c r="AC76" s="348"/>
      <c r="AD76" s="351"/>
      <c r="AE76" s="351"/>
      <c r="AF76" s="351"/>
      <c r="AG76" s="348"/>
      <c r="AH76" s="604"/>
      <c r="AI76" s="604"/>
      <c r="AJ76" s="604"/>
      <c r="AK76" s="604"/>
      <c r="AL76" s="604"/>
      <c r="AM76" s="604"/>
      <c r="AN76" s="348"/>
      <c r="AO76" s="348"/>
      <c r="AP76" s="348"/>
      <c r="AQ76" s="348"/>
      <c r="AR76" s="348"/>
      <c r="AS76" s="348"/>
      <c r="AT76" s="348"/>
      <c r="AU76" s="348"/>
      <c r="AV76" s="348"/>
      <c r="AW76" s="348"/>
    </row>
    <row r="78" spans="2:49" s="347" customFormat="1" ht="45.75" customHeight="1">
      <c r="B78" s="348"/>
      <c r="C78" s="348"/>
      <c r="D78" s="350"/>
      <c r="E78" s="350"/>
      <c r="F78" s="350"/>
      <c r="G78" s="350"/>
      <c r="H78" s="350"/>
      <c r="I78" s="350"/>
      <c r="J78" s="350"/>
      <c r="K78" s="350"/>
      <c r="L78" s="350"/>
      <c r="M78" s="350"/>
      <c r="N78" s="350"/>
      <c r="O78" s="350"/>
      <c r="P78" s="350"/>
      <c r="Q78" s="350"/>
      <c r="R78" s="350"/>
      <c r="S78" s="350"/>
      <c r="T78" s="350"/>
      <c r="U78" s="348"/>
      <c r="V78" s="348"/>
      <c r="W78" s="348"/>
      <c r="X78" s="348"/>
      <c r="Y78" s="348"/>
      <c r="Z78" s="348"/>
      <c r="AA78" s="348"/>
      <c r="AB78" s="351"/>
      <c r="AC78" s="348"/>
      <c r="AD78" s="351"/>
      <c r="AE78" s="351"/>
      <c r="AF78" s="351"/>
      <c r="AG78" s="348"/>
      <c r="AH78" s="604"/>
      <c r="AI78" s="604"/>
      <c r="AJ78" s="604"/>
      <c r="AK78" s="604"/>
      <c r="AL78" s="604"/>
      <c r="AM78" s="604"/>
      <c r="AN78" s="348"/>
      <c r="AO78" s="348"/>
      <c r="AP78" s="348"/>
      <c r="AQ78" s="348"/>
      <c r="AR78" s="348"/>
      <c r="AS78" s="348"/>
      <c r="AT78" s="348"/>
      <c r="AU78" s="348"/>
      <c r="AV78" s="348"/>
      <c r="AW78" s="348"/>
    </row>
    <row r="80" spans="2:49" s="347" customFormat="1" ht="33.75" customHeight="1">
      <c r="B80" s="348"/>
      <c r="C80" s="348"/>
      <c r="D80" s="350"/>
      <c r="E80" s="350"/>
      <c r="F80" s="350"/>
      <c r="G80" s="350"/>
      <c r="H80" s="350"/>
      <c r="I80" s="350"/>
      <c r="J80" s="350"/>
      <c r="K80" s="350"/>
      <c r="L80" s="350"/>
      <c r="M80" s="350"/>
      <c r="N80" s="350"/>
      <c r="O80" s="350"/>
      <c r="P80" s="350"/>
      <c r="Q80" s="350"/>
      <c r="R80" s="350"/>
      <c r="S80" s="350"/>
      <c r="T80" s="350"/>
      <c r="U80" s="348"/>
      <c r="V80" s="348"/>
      <c r="W80" s="348"/>
      <c r="X80" s="348"/>
      <c r="Y80" s="348"/>
      <c r="Z80" s="348"/>
      <c r="AA80" s="348"/>
      <c r="AB80" s="351"/>
      <c r="AC80" s="348"/>
      <c r="AD80" s="351"/>
      <c r="AE80" s="351"/>
      <c r="AF80" s="351"/>
      <c r="AG80" s="348"/>
      <c r="AH80" s="604"/>
      <c r="AI80" s="604"/>
      <c r="AJ80" s="604"/>
      <c r="AK80" s="604"/>
      <c r="AL80" s="604"/>
      <c r="AM80" s="604"/>
      <c r="AN80" s="348"/>
      <c r="AO80" s="348"/>
      <c r="AP80" s="348"/>
      <c r="AQ80" s="348"/>
      <c r="AR80" s="348"/>
      <c r="AS80" s="348"/>
      <c r="AT80" s="348"/>
      <c r="AU80" s="348"/>
      <c r="AV80" s="348"/>
      <c r="AW80" s="348"/>
    </row>
    <row r="83" spans="2:49" s="347" customFormat="1" ht="27.75" customHeight="1">
      <c r="B83" s="348"/>
      <c r="C83" s="348"/>
      <c r="D83" s="350"/>
      <c r="E83" s="350"/>
      <c r="F83" s="350"/>
      <c r="G83" s="350"/>
      <c r="H83" s="350"/>
      <c r="I83" s="350"/>
      <c r="J83" s="350"/>
      <c r="K83" s="350"/>
      <c r="L83" s="350"/>
      <c r="M83" s="350"/>
      <c r="N83" s="350"/>
      <c r="O83" s="350"/>
      <c r="P83" s="350"/>
      <c r="Q83" s="350"/>
      <c r="R83" s="350"/>
      <c r="S83" s="350"/>
      <c r="T83" s="350"/>
      <c r="U83" s="348"/>
      <c r="V83" s="348"/>
      <c r="W83" s="348"/>
      <c r="X83" s="348"/>
      <c r="Y83" s="348"/>
      <c r="Z83" s="348"/>
      <c r="AA83" s="348"/>
      <c r="AB83" s="351"/>
      <c r="AC83" s="348"/>
      <c r="AD83" s="351"/>
      <c r="AE83" s="351"/>
      <c r="AF83" s="351"/>
      <c r="AG83" s="348"/>
      <c r="AH83" s="604"/>
      <c r="AI83" s="604"/>
      <c r="AJ83" s="604"/>
      <c r="AK83" s="604"/>
      <c r="AL83" s="604"/>
      <c r="AM83" s="604"/>
      <c r="AN83" s="348"/>
      <c r="AO83" s="348"/>
      <c r="AP83" s="348"/>
      <c r="AQ83" s="348"/>
      <c r="AR83" s="348"/>
      <c r="AS83" s="348"/>
      <c r="AT83" s="348"/>
      <c r="AU83" s="348"/>
      <c r="AV83" s="348"/>
      <c r="AW83" s="348"/>
    </row>
    <row r="139" spans="1:1">
      <c r="A139" s="347">
        <f>COUNT(A6:A138)</f>
        <v>12</v>
      </c>
    </row>
    <row r="142" spans="1:1">
      <c r="A142" s="347">
        <f>A139+1</f>
        <v>13</v>
      </c>
    </row>
    <row r="145" spans="2:49" ht="37.9" customHeight="1"/>
    <row r="148" spans="2:49" ht="70.900000000000006" customHeight="1"/>
    <row r="151" spans="2:49" ht="72" customHeight="1"/>
    <row r="153" spans="2:49" ht="43.9" customHeight="1"/>
    <row r="155" spans="2:49" s="347" customFormat="1" ht="30" customHeight="1">
      <c r="B155" s="348"/>
      <c r="C155" s="348"/>
      <c r="D155" s="350"/>
      <c r="E155" s="350"/>
      <c r="F155" s="350"/>
      <c r="G155" s="350"/>
      <c r="H155" s="350"/>
      <c r="I155" s="350"/>
      <c r="J155" s="350"/>
      <c r="K155" s="350"/>
      <c r="L155" s="350"/>
      <c r="M155" s="350"/>
      <c r="N155" s="350"/>
      <c r="O155" s="350"/>
      <c r="P155" s="350"/>
      <c r="Q155" s="350"/>
      <c r="R155" s="350"/>
      <c r="S155" s="350"/>
      <c r="T155" s="350"/>
      <c r="U155" s="348"/>
      <c r="V155" s="348"/>
      <c r="W155" s="348"/>
      <c r="X155" s="348"/>
      <c r="Y155" s="348"/>
      <c r="Z155" s="348"/>
      <c r="AA155" s="348"/>
      <c r="AB155" s="351"/>
      <c r="AC155" s="348"/>
      <c r="AD155" s="351"/>
      <c r="AE155" s="351"/>
      <c r="AF155" s="351"/>
      <c r="AG155" s="348"/>
      <c r="AH155" s="604"/>
      <c r="AI155" s="604"/>
      <c r="AJ155" s="604"/>
      <c r="AK155" s="604"/>
      <c r="AL155" s="604"/>
      <c r="AM155" s="604"/>
      <c r="AN155" s="348"/>
      <c r="AO155" s="348"/>
      <c r="AP155" s="348"/>
      <c r="AQ155" s="348"/>
      <c r="AR155" s="348"/>
      <c r="AS155" s="348"/>
      <c r="AT155" s="348"/>
      <c r="AU155" s="348"/>
      <c r="AV155" s="348"/>
      <c r="AW155" s="34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6:AW24">
    <sortCondition ref="AC6:AC24"/>
  </sortState>
  <mergeCells count="1">
    <mergeCell ref="A1:W1"/>
  </mergeCells>
  <conditionalFormatting sqref="AB4:AB5">
    <cfRule type="cellIs" dxfId="213" priority="15" operator="equal">
      <formula>0</formula>
    </cfRule>
  </conditionalFormatting>
  <conditionalFormatting sqref="AP4:AP5">
    <cfRule type="cellIs" dxfId="212" priority="14" operator="equal">
      <formula>0</formula>
    </cfRule>
  </conditionalFormatting>
  <conditionalFormatting sqref="AH4:AH5">
    <cfRule type="cellIs" dxfId="211" priority="13" operator="equal">
      <formula>0</formula>
    </cfRule>
  </conditionalFormatting>
  <conditionalFormatting sqref="AM4:AM5">
    <cfRule type="cellIs" dxfId="210" priority="12" operator="equal">
      <formula>0</formula>
    </cfRule>
  </conditionalFormatting>
  <conditionalFormatting sqref="F20:F22">
    <cfRule type="cellIs" dxfId="209" priority="11" operator="equal">
      <formula>0</formula>
    </cfRule>
  </conditionalFormatting>
  <conditionalFormatting sqref="AP20:AP22 AC20:AC22 D20:AA22">
    <cfRule type="cellIs" dxfId="208" priority="10" operator="equal">
      <formula>0</formula>
    </cfRule>
  </conditionalFormatting>
  <conditionalFormatting sqref="B20:C22">
    <cfRule type="cellIs" dxfId="207" priority="9" operator="equal">
      <formula>0</formula>
    </cfRule>
  </conditionalFormatting>
  <conditionalFormatting sqref="AR20:AR22">
    <cfRule type="cellIs" dxfId="206" priority="8" operator="equal">
      <formula>0</formula>
    </cfRule>
  </conditionalFormatting>
  <conditionalFormatting sqref="AQ20:AQ22">
    <cfRule type="cellIs" dxfId="205" priority="7" operator="equal">
      <formula>0</formula>
    </cfRule>
  </conditionalFormatting>
  <conditionalFormatting sqref="AH20:AH22">
    <cfRule type="cellIs" dxfId="204" priority="6" operator="equal">
      <formula>0</formula>
    </cfRule>
  </conditionalFormatting>
  <conditionalFormatting sqref="AI20:AI22">
    <cfRule type="cellIs" dxfId="203" priority="5" operator="equal">
      <formula>0</formula>
    </cfRule>
  </conditionalFormatting>
  <conditionalFormatting sqref="AK20:AK22">
    <cfRule type="cellIs" dxfId="202" priority="4" operator="equal">
      <formula>0</formula>
    </cfRule>
  </conditionalFormatting>
  <conditionalFormatting sqref="AL20:AL22">
    <cfRule type="cellIs" dxfId="201" priority="2" operator="equal">
      <formula>0</formula>
    </cfRule>
  </conditionalFormatting>
  <conditionalFormatting sqref="AL20:AL22">
    <cfRule type="cellIs" dxfId="200" priority="1" operator="equal">
      <formula>0</formula>
    </cfRule>
  </conditionalFormatting>
  <conditionalFormatting sqref="AM20:AM22">
    <cfRule type="cellIs" dxfId="199" priority="3" operator="equal">
      <formula>0</formula>
    </cfRule>
  </conditionalFormatting>
  <printOptions horizontalCentered="1"/>
  <pageMargins left="0" right="0" top="1.1811023622047245" bottom="0.35433070866141736" header="0.9055118110236221" footer="0.31496062992125984"/>
  <pageSetup paperSize="9" scale="8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  <legacy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4:I23"/>
  <sheetViews>
    <sheetView showZeros="0" rightToLeft="1" zoomScaleNormal="100" workbookViewId="0">
      <selection activeCell="U4" sqref="U4"/>
    </sheetView>
  </sheetViews>
  <sheetFormatPr defaultColWidth="9.140625" defaultRowHeight="12.75"/>
  <cols>
    <col min="1" max="7" width="9.140625" style="148"/>
    <col min="9" max="16384" width="9.140625" style="148"/>
  </cols>
  <sheetData>
    <row r="4" spans="1:9" ht="18.75">
      <c r="A4" s="41" t="s">
        <v>899</v>
      </c>
    </row>
    <row r="7" spans="1:9" ht="24.95" customHeight="1">
      <c r="A7" s="149" t="s">
        <v>169</v>
      </c>
      <c r="B7" s="150"/>
      <c r="C7" s="150"/>
      <c r="D7" s="150"/>
      <c r="E7" s="150"/>
      <c r="F7" s="150"/>
      <c r="G7" s="150"/>
      <c r="I7" s="149" t="s">
        <v>170</v>
      </c>
    </row>
    <row r="8" spans="1:9" ht="15" customHeight="1"/>
    <row r="9" spans="1:9" ht="24.95" customHeight="1">
      <c r="A9" s="150" t="s">
        <v>900</v>
      </c>
      <c r="I9" s="261"/>
    </row>
    <row r="10" spans="1:9" ht="24.95" customHeight="1">
      <c r="A10" s="150" t="s">
        <v>187</v>
      </c>
      <c r="I10" s="150">
        <v>86</v>
      </c>
    </row>
    <row r="11" spans="1:9" ht="24.95" customHeight="1">
      <c r="A11" s="150" t="s">
        <v>260</v>
      </c>
      <c r="I11" s="151" t="s">
        <v>1467</v>
      </c>
    </row>
    <row r="12" spans="1:9" ht="24.95" customHeight="1">
      <c r="A12" s="150" t="s">
        <v>145</v>
      </c>
      <c r="I12" s="151" t="s">
        <v>1444</v>
      </c>
    </row>
    <row r="13" spans="1:9" ht="24.95" customHeight="1">
      <c r="A13" s="150" t="s">
        <v>426</v>
      </c>
      <c r="I13" s="151" t="s">
        <v>1445</v>
      </c>
    </row>
    <row r="14" spans="1:9" ht="24.95" customHeight="1">
      <c r="A14" s="150" t="s">
        <v>489</v>
      </c>
      <c r="I14" s="151">
        <v>111</v>
      </c>
    </row>
    <row r="15" spans="1:9" ht="24.95" customHeight="1">
      <c r="A15" s="150" t="s">
        <v>625</v>
      </c>
      <c r="I15" s="151">
        <v>112</v>
      </c>
    </row>
    <row r="16" spans="1:9" ht="24.95" customHeight="1">
      <c r="A16" s="150" t="s">
        <v>637</v>
      </c>
      <c r="I16" s="151">
        <v>113</v>
      </c>
    </row>
    <row r="17" spans="1:9" ht="24.95" customHeight="1">
      <c r="A17" s="150" t="s">
        <v>74</v>
      </c>
      <c r="I17" s="151">
        <v>114</v>
      </c>
    </row>
    <row r="18" spans="1:9" ht="24.95" customHeight="1">
      <c r="A18" s="150" t="s">
        <v>249</v>
      </c>
      <c r="I18" s="151" t="s">
        <v>1446</v>
      </c>
    </row>
    <row r="19" spans="1:9" ht="24.95" customHeight="1">
      <c r="A19" s="150" t="s">
        <v>248</v>
      </c>
      <c r="I19" s="151" t="s">
        <v>1447</v>
      </c>
    </row>
    <row r="20" spans="1:9" ht="24.95" customHeight="1">
      <c r="A20" s="150" t="s">
        <v>175</v>
      </c>
      <c r="I20" s="151" t="s">
        <v>1448</v>
      </c>
    </row>
    <row r="21" spans="1:9" ht="24.95" customHeight="1">
      <c r="A21" s="150" t="s">
        <v>901</v>
      </c>
      <c r="I21" s="151" t="s">
        <v>1476</v>
      </c>
    </row>
    <row r="22" spans="1:9" ht="24.95" customHeight="1">
      <c r="A22" s="150"/>
      <c r="I22" s="150"/>
    </row>
    <row r="23" spans="1:9" ht="15.75">
      <c r="A23" s="15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D96F-0660-4993-B6D0-137522AC1B41}">
  <dimension ref="A2:BU125"/>
  <sheetViews>
    <sheetView showZeros="0" rightToLeft="1" zoomScaleNormal="100" workbookViewId="0">
      <pane xSplit="1" ySplit="5" topLeftCell="B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.75"/>
  <cols>
    <col min="1" max="1" width="12" style="34" customWidth="1"/>
    <col min="2" max="2" width="13.140625" style="35" hidden="1" customWidth="1"/>
    <col min="3" max="3" width="13" style="35" hidden="1" customWidth="1"/>
    <col min="4" max="4" width="11.42578125" style="35" hidden="1" customWidth="1"/>
    <col min="5" max="5" width="13.7109375" style="35" hidden="1" customWidth="1"/>
    <col min="6" max="6" width="14.28515625" style="35" hidden="1" customWidth="1"/>
    <col min="7" max="9" width="11.140625" style="35" hidden="1" customWidth="1"/>
    <col min="10" max="10" width="12.7109375" style="31" hidden="1" customWidth="1"/>
    <col min="11" max="11" width="9.42578125" style="35" hidden="1" customWidth="1"/>
    <col min="12" max="12" width="11.5703125" style="35" hidden="1" customWidth="1"/>
    <col min="13" max="13" width="13.28515625" style="35" hidden="1" customWidth="1"/>
    <col min="14" max="14" width="12.7109375" style="31" hidden="1" customWidth="1"/>
    <col min="15" max="17" width="11.140625" style="35" hidden="1" customWidth="1"/>
    <col min="18" max="18" width="11.7109375" style="35" customWidth="1"/>
    <col min="19" max="19" width="11.42578125" style="35" customWidth="1"/>
    <col min="20" max="20" width="11.28515625" style="35" customWidth="1"/>
    <col min="21" max="21" width="10.7109375" style="35" customWidth="1"/>
    <col min="22" max="22" width="9" style="35" customWidth="1"/>
    <col min="23" max="23" width="10.28515625" style="35" customWidth="1"/>
    <col min="24" max="24" width="9.7109375" style="35" hidden="1" customWidth="1"/>
    <col min="25" max="25" width="11.42578125" style="35" customWidth="1"/>
    <col min="26" max="26" width="7.5703125" style="32" hidden="1" customWidth="1"/>
    <col min="27" max="28" width="12.5703125" style="22" hidden="1" customWidth="1"/>
    <col min="29" max="29" width="11.85546875" style="22" hidden="1" customWidth="1"/>
    <col min="30" max="33" width="10.7109375" style="22" hidden="1" customWidth="1"/>
    <col min="34" max="34" width="11.5703125" style="22" hidden="1" customWidth="1"/>
    <col min="35" max="35" width="15" style="22" hidden="1" customWidth="1"/>
    <col min="36" max="36" width="10.140625" style="32" hidden="1" customWidth="1"/>
    <col min="37" max="37" width="11.140625" style="22" hidden="1" customWidth="1"/>
    <col min="38" max="38" width="11.85546875" style="32" hidden="1" customWidth="1"/>
    <col min="39" max="39" width="11.140625" style="22" hidden="1" customWidth="1"/>
    <col min="40" max="40" width="10.140625" style="22" hidden="1" customWidth="1"/>
    <col min="41" max="42" width="10.7109375" style="22" hidden="1" customWidth="1"/>
    <col min="43" max="43" width="9.140625" style="32" hidden="1" customWidth="1"/>
    <col min="44" max="45" width="10.140625" style="32" hidden="1" customWidth="1"/>
    <col min="46" max="48" width="11.140625" style="32" hidden="1" customWidth="1"/>
    <col min="49" max="53" width="10.140625" style="32" hidden="1" customWidth="1"/>
    <col min="54" max="54" width="11.140625" style="32" hidden="1" customWidth="1"/>
    <col min="55" max="55" width="12.85546875" style="32" customWidth="1"/>
    <col min="56" max="57" width="11.140625" style="32" bestFit="1" customWidth="1"/>
    <col min="58" max="60" width="10.140625" style="32" customWidth="1"/>
    <col min="61" max="61" width="10.140625" style="32" hidden="1" customWidth="1"/>
    <col min="62" max="62" width="11.140625" style="32" bestFit="1" customWidth="1"/>
    <col min="63" max="63" width="12.5703125" style="22" customWidth="1"/>
    <col min="64" max="64" width="12.85546875" style="22" customWidth="1"/>
    <col min="65" max="65" width="10.7109375" style="22" customWidth="1"/>
    <col min="66" max="66" width="11.7109375" style="22" customWidth="1"/>
    <col min="67" max="67" width="11.140625" style="22" customWidth="1"/>
    <col min="68" max="68" width="10.7109375" style="22" customWidth="1"/>
    <col min="69" max="16384" width="9.140625" style="32"/>
  </cols>
  <sheetData>
    <row r="2" spans="1:68" s="23" customFormat="1" ht="23.25">
      <c r="A2" s="197" t="s">
        <v>1353</v>
      </c>
      <c r="B2" s="26"/>
      <c r="C2" s="26"/>
      <c r="D2" s="26"/>
      <c r="E2" s="26"/>
      <c r="F2" s="30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AA2" s="22"/>
      <c r="AB2" s="22"/>
      <c r="AC2" s="22"/>
      <c r="AD2" s="22"/>
      <c r="AE2" s="22"/>
      <c r="AF2" s="22"/>
      <c r="AG2" s="22"/>
      <c r="AH2" s="22"/>
      <c r="AI2" s="22"/>
      <c r="AK2" s="22"/>
      <c r="AM2" s="22"/>
      <c r="AN2" s="22"/>
      <c r="AO2" s="22"/>
      <c r="AP2" s="22"/>
      <c r="BK2" s="22"/>
      <c r="BL2" s="22"/>
      <c r="BM2" s="22"/>
      <c r="BN2" s="22"/>
      <c r="BO2" s="22"/>
      <c r="BP2" s="22"/>
    </row>
    <row r="3" spans="1:68" s="220" customFormat="1" ht="20.100000000000001" customHeight="1">
      <c r="A3" s="218"/>
      <c r="B3" s="191"/>
      <c r="C3" s="219"/>
      <c r="D3" s="219"/>
      <c r="E3" s="219"/>
      <c r="F3" s="219"/>
      <c r="G3" s="219"/>
      <c r="H3" s="219"/>
      <c r="I3" s="219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AA3" s="22"/>
      <c r="AB3" s="22"/>
      <c r="AC3" s="22"/>
      <c r="AD3" s="22"/>
      <c r="AE3" s="22"/>
      <c r="AF3" s="22"/>
      <c r="AG3" s="22"/>
      <c r="AH3" s="22"/>
      <c r="AI3" s="22"/>
      <c r="AK3" s="22"/>
      <c r="AM3" s="22"/>
      <c r="AN3" s="22"/>
      <c r="AO3" s="22"/>
      <c r="AP3" s="22"/>
      <c r="BK3" s="22"/>
      <c r="BL3" s="22"/>
      <c r="BM3" s="22"/>
      <c r="BN3" s="22"/>
      <c r="BO3" s="22"/>
      <c r="BP3" s="22"/>
    </row>
    <row r="4" spans="1:68" s="28" customFormat="1" ht="15.75" customHeight="1">
      <c r="A4" s="263"/>
      <c r="B4" s="804" t="s">
        <v>70</v>
      </c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751"/>
      <c r="Q4" s="751"/>
      <c r="R4" s="804" t="s">
        <v>1354</v>
      </c>
      <c r="S4" s="804"/>
      <c r="T4" s="804" t="s">
        <v>71</v>
      </c>
      <c r="U4" s="804"/>
      <c r="V4" s="804"/>
      <c r="W4" s="804"/>
      <c r="X4" s="804"/>
      <c r="Y4" s="804"/>
      <c r="Z4" s="752" t="s">
        <v>243</v>
      </c>
      <c r="AA4" s="20"/>
      <c r="AB4" s="805" t="s">
        <v>902</v>
      </c>
      <c r="AC4" s="805"/>
      <c r="AD4" s="805"/>
      <c r="AE4" s="805"/>
      <c r="AF4" s="805"/>
      <c r="AG4" s="805"/>
      <c r="AH4" s="805"/>
      <c r="AI4" s="805"/>
      <c r="AJ4" s="752"/>
      <c r="AK4" s="20"/>
      <c r="AL4" s="752"/>
      <c r="AM4" s="805" t="s">
        <v>904</v>
      </c>
      <c r="AN4" s="805"/>
      <c r="AO4" s="805"/>
      <c r="AP4" s="805"/>
      <c r="AQ4" s="805"/>
      <c r="AR4" s="805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803" t="s">
        <v>1351</v>
      </c>
      <c r="BD4" s="803"/>
      <c r="BE4" s="803" t="s">
        <v>1356</v>
      </c>
      <c r="BF4" s="803"/>
      <c r="BG4" s="803"/>
      <c r="BH4" s="803"/>
      <c r="BI4" s="803"/>
      <c r="BJ4" s="803"/>
      <c r="BK4" s="22"/>
      <c r="BL4" s="22"/>
      <c r="BM4" s="22"/>
      <c r="BN4" s="22"/>
      <c r="BO4" s="22"/>
      <c r="BP4" s="22"/>
    </row>
    <row r="5" spans="1:68" s="22" customFormat="1" ht="75">
      <c r="A5" s="263" t="s">
        <v>402</v>
      </c>
      <c r="B5" s="263" t="s">
        <v>72</v>
      </c>
      <c r="C5" s="263" t="s">
        <v>4</v>
      </c>
      <c r="D5" s="263" t="s">
        <v>73</v>
      </c>
      <c r="E5" s="270" t="s">
        <v>76</v>
      </c>
      <c r="F5" s="270" t="s">
        <v>7</v>
      </c>
      <c r="G5" s="270" t="s">
        <v>8</v>
      </c>
      <c r="H5" s="270" t="s">
        <v>9</v>
      </c>
      <c r="I5" s="270" t="s">
        <v>10</v>
      </c>
      <c r="J5" s="494" t="s">
        <v>11</v>
      </c>
      <c r="K5" s="494" t="s">
        <v>568</v>
      </c>
      <c r="L5" s="494" t="s">
        <v>569</v>
      </c>
      <c r="M5" s="494" t="s">
        <v>570</v>
      </c>
      <c r="N5" s="494" t="s">
        <v>12</v>
      </c>
      <c r="O5" s="494" t="s">
        <v>571</v>
      </c>
      <c r="P5" s="494" t="s">
        <v>572</v>
      </c>
      <c r="Q5" s="494" t="s">
        <v>573</v>
      </c>
      <c r="R5" s="494" t="s">
        <v>574</v>
      </c>
      <c r="S5" s="494" t="s">
        <v>575</v>
      </c>
      <c r="T5" s="270" t="s">
        <v>13</v>
      </c>
      <c r="U5" s="270" t="s">
        <v>14</v>
      </c>
      <c r="V5" s="270" t="s">
        <v>15</v>
      </c>
      <c r="W5" s="270" t="s">
        <v>185</v>
      </c>
      <c r="X5" s="270" t="s">
        <v>385</v>
      </c>
      <c r="Y5" s="263" t="s">
        <v>67</v>
      </c>
      <c r="Z5" s="263"/>
      <c r="AA5" s="568" t="s">
        <v>1060</v>
      </c>
      <c r="AB5" s="568" t="s">
        <v>905</v>
      </c>
      <c r="AC5" s="568" t="s">
        <v>906</v>
      </c>
      <c r="AD5" s="568" t="s">
        <v>907</v>
      </c>
      <c r="AE5" s="568" t="s">
        <v>908</v>
      </c>
      <c r="AF5" s="568" t="s">
        <v>909</v>
      </c>
      <c r="AG5" s="568" t="s">
        <v>910</v>
      </c>
      <c r="AH5" s="568" t="s">
        <v>911</v>
      </c>
      <c r="AI5" s="568" t="s">
        <v>912</v>
      </c>
      <c r="AJ5" s="568" t="s">
        <v>913</v>
      </c>
      <c r="AK5" s="494" t="s">
        <v>914</v>
      </c>
      <c r="AL5" s="568" t="s">
        <v>915</v>
      </c>
      <c r="AM5" s="494" t="s">
        <v>13</v>
      </c>
      <c r="AN5" s="494" t="s">
        <v>14</v>
      </c>
      <c r="AO5" s="494" t="s">
        <v>15</v>
      </c>
      <c r="AP5" s="494" t="s">
        <v>185</v>
      </c>
      <c r="AQ5" s="494" t="s">
        <v>385</v>
      </c>
      <c r="AR5" s="494" t="s">
        <v>67</v>
      </c>
      <c r="AS5" s="520" t="s">
        <v>916</v>
      </c>
      <c r="AT5" s="520" t="s">
        <v>917</v>
      </c>
      <c r="AU5" s="494" t="s">
        <v>918</v>
      </c>
      <c r="AV5" s="494" t="s">
        <v>919</v>
      </c>
      <c r="AW5" s="494" t="s">
        <v>13</v>
      </c>
      <c r="AX5" s="494" t="s">
        <v>14</v>
      </c>
      <c r="AY5" s="494" t="s">
        <v>15</v>
      </c>
      <c r="AZ5" s="494" t="s">
        <v>185</v>
      </c>
      <c r="BA5" s="494" t="s">
        <v>385</v>
      </c>
      <c r="BB5" s="494" t="s">
        <v>67</v>
      </c>
      <c r="BC5" s="494" t="s">
        <v>1355</v>
      </c>
      <c r="BD5" s="20" t="s">
        <v>1350</v>
      </c>
      <c r="BE5" s="494" t="s">
        <v>13</v>
      </c>
      <c r="BF5" s="494" t="s">
        <v>14</v>
      </c>
      <c r="BG5" s="494" t="s">
        <v>15</v>
      </c>
      <c r="BH5" s="494" t="s">
        <v>185</v>
      </c>
      <c r="BI5" s="494" t="s">
        <v>385</v>
      </c>
      <c r="BJ5" s="494" t="s">
        <v>67</v>
      </c>
    </row>
    <row r="6" spans="1:68" s="22" customFormat="1">
      <c r="A6" s="263"/>
      <c r="B6" s="263"/>
      <c r="C6" s="263"/>
      <c r="D6" s="263"/>
      <c r="E6" s="263"/>
      <c r="F6" s="270"/>
      <c r="G6" s="270"/>
      <c r="H6" s="270"/>
      <c r="I6" s="270"/>
      <c r="J6" s="20"/>
      <c r="K6" s="494"/>
      <c r="L6" s="263"/>
      <c r="M6" s="263"/>
      <c r="N6" s="20"/>
      <c r="O6" s="270"/>
      <c r="P6" s="270"/>
      <c r="Q6" s="270"/>
      <c r="R6" s="270"/>
      <c r="S6" s="263"/>
      <c r="T6" s="263"/>
      <c r="U6" s="263"/>
      <c r="V6" s="270"/>
      <c r="W6" s="270"/>
      <c r="X6" s="270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68" s="22" customFormat="1" ht="32.1" customHeight="1">
      <c r="A7" s="494" t="s">
        <v>259</v>
      </c>
      <c r="B7" s="495">
        <f>'תקציב הנדסה 2024'!D66</f>
        <v>382469372</v>
      </c>
      <c r="C7" s="495">
        <f>'תקציב הנדסה 2024'!E66</f>
        <v>368254490</v>
      </c>
      <c r="D7" s="495">
        <f>'תקציב הנדסה 2024'!F66</f>
        <v>14214882</v>
      </c>
      <c r="E7" s="495">
        <f>'תקציב הנדסה 2024'!G66</f>
        <v>138033668</v>
      </c>
      <c r="F7" s="495">
        <f>'תקציב הנדסה 2024'!H66</f>
        <v>112863046</v>
      </c>
      <c r="G7" s="495">
        <f>'תקציב הנדסה 2024'!I66</f>
        <v>2835671</v>
      </c>
      <c r="H7" s="495">
        <f>'תקציב הנדסה 2024'!J66</f>
        <v>9659935</v>
      </c>
      <c r="I7" s="495">
        <f>'תקציב הנדסה 2024'!K66</f>
        <v>12495606</v>
      </c>
      <c r="J7" s="495">
        <f>'תקציב הנדסה 2024'!L66</f>
        <v>125358652</v>
      </c>
      <c r="K7" s="495">
        <f>'תקציב הנדסה 2024'!M66</f>
        <v>267243</v>
      </c>
      <c r="L7" s="495">
        <f>'תקציב הנדסה 2024'!N66</f>
        <v>14068800</v>
      </c>
      <c r="M7" s="495">
        <f>'תקציב הנדסה 2024'!O66</f>
        <v>242774677</v>
      </c>
      <c r="N7" s="495">
        <f>'תקציב הנדסה 2024'!P66</f>
        <v>12675016</v>
      </c>
      <c r="O7" s="495">
        <f>'תקציב הנדסה 2024'!Q66</f>
        <v>1140000</v>
      </c>
      <c r="P7" s="495">
        <f>'תקציב הנדסה 2024'!R66</f>
        <v>0</v>
      </c>
      <c r="Q7" s="495">
        <f>'תקציב הנדסה 2024'!S66</f>
        <v>1140000</v>
      </c>
      <c r="R7" s="495">
        <f>'תקציב הנדסה 2024'!T66</f>
        <v>13547773</v>
      </c>
      <c r="S7" s="495">
        <f>'תקציב הנדסה 2024'!U66</f>
        <v>521027</v>
      </c>
      <c r="T7" s="495">
        <f>'תקציב הנדסה 2024'!V66</f>
        <v>791194</v>
      </c>
      <c r="U7" s="495">
        <f>'תקציב הנדסה 2024'!W66</f>
        <v>-750000</v>
      </c>
      <c r="V7" s="495">
        <f>'תקציב הנדסה 2024'!X66</f>
        <v>0</v>
      </c>
      <c r="W7" s="495">
        <f>'תקציב הנדסה 2024'!Y66</f>
        <v>0</v>
      </c>
      <c r="X7" s="495">
        <f>'תקציב הנדסה 2024'!Z66</f>
        <v>0</v>
      </c>
      <c r="Y7" s="495">
        <f>'תקציב הנדסה 2024'!AA66</f>
        <v>479833</v>
      </c>
      <c r="Z7" s="495"/>
      <c r="AA7" s="495">
        <f>'תקציב הנדסה 2024'!AL66</f>
        <v>0</v>
      </c>
      <c r="AB7" s="495">
        <f>'תקציב הנדסה 2024'!AD66</f>
        <v>-6349473</v>
      </c>
      <c r="AC7" s="495">
        <f>'תקציב הנדסה 2024'!AE66</f>
        <v>2455500</v>
      </c>
      <c r="AD7" s="495">
        <f>'תקציב הנדסה 2024'!AF66</f>
        <v>0</v>
      </c>
      <c r="AE7" s="495">
        <f>'תקציב הנדסה 2024'!AG66</f>
        <v>540000</v>
      </c>
      <c r="AF7" s="495">
        <f>'תקציב הנדסה 2024'!AH66</f>
        <v>723000</v>
      </c>
      <c r="AG7" s="495">
        <f>'תקציב הנדסה 2024'!AI66</f>
        <v>0</v>
      </c>
      <c r="AH7" s="495">
        <f>'תקציב הנדסה 2024'!AJ66</f>
        <v>-2630973</v>
      </c>
      <c r="AI7" s="495">
        <f>'תקציב הנדסה 2024'!AK66</f>
        <v>3152000</v>
      </c>
      <c r="AJ7" s="495">
        <f>'תקציב הנדסה 2024'!AL66</f>
        <v>0</v>
      </c>
      <c r="AK7" s="495">
        <f>'תקציב הנדסה 2024'!AM66</f>
        <v>-1700000</v>
      </c>
      <c r="AL7" s="495">
        <f>'תקציב הנדסה 2024'!AN66</f>
        <v>1452000</v>
      </c>
      <c r="AM7" s="495">
        <f>'תקציב הנדסה 2024'!AO66</f>
        <v>1342000</v>
      </c>
      <c r="AN7" s="495">
        <f>'תקציב הנדסה 2024'!AP66</f>
        <v>0</v>
      </c>
      <c r="AO7" s="495">
        <f>'תקציב הנדסה 2024'!AQ66</f>
        <v>0</v>
      </c>
      <c r="AP7" s="495">
        <f>'תקציב הנדסה 2024'!AR66</f>
        <v>0</v>
      </c>
      <c r="AQ7" s="495">
        <f>'תקציב הנדסה 2024'!AS66</f>
        <v>0</v>
      </c>
      <c r="AR7" s="495">
        <f>'תקציב הנדסה 2024'!AT66</f>
        <v>110000</v>
      </c>
      <c r="AS7" s="495">
        <f>'תקציב הנדסה 2024'!AU66</f>
        <v>-413028</v>
      </c>
      <c r="AT7" s="495">
        <f>'תקציב הנדסה 2024'!AV66</f>
        <v>2510000</v>
      </c>
      <c r="AU7" s="495">
        <f>'תקציב הנדסה 2024'!AW66</f>
        <v>852000</v>
      </c>
      <c r="AV7" s="495">
        <f>'תקציב הנדסה 2024'!AX66</f>
        <v>600000</v>
      </c>
      <c r="AW7" s="495">
        <f>'תקציב הנדסה 2024'!AY66</f>
        <v>600000</v>
      </c>
      <c r="AX7" s="495">
        <f>'תקציב הנדסה 2024'!AZ66</f>
        <v>0</v>
      </c>
      <c r="AY7" s="495">
        <f>'תקציב הנדסה 2024'!BA66</f>
        <v>0</v>
      </c>
      <c r="AZ7" s="495">
        <f>'תקציב הנדסה 2024'!BB66</f>
        <v>0</v>
      </c>
      <c r="BA7" s="495">
        <f>'תקציב הנדסה 2024'!BC66</f>
        <v>0</v>
      </c>
      <c r="BB7" s="495">
        <f>'תקציב הנדסה 2024'!BD66</f>
        <v>0</v>
      </c>
      <c r="BC7" s="495">
        <f>'תקציב הנדסה 2024'!BE66</f>
        <v>-2030973</v>
      </c>
      <c r="BD7" s="495">
        <f>'תקציב הנדסה 2024'!BF66</f>
        <v>2552000</v>
      </c>
      <c r="BE7" s="495">
        <f>'תקציב הנדסה 2024'!BG66</f>
        <v>-1650806</v>
      </c>
      <c r="BF7" s="495">
        <f>'תקציב הנדסה 2024'!BH66</f>
        <v>-750000</v>
      </c>
      <c r="BG7" s="495">
        <f>'תקציב הנדסה 2024'!BI66</f>
        <v>0</v>
      </c>
      <c r="BH7" s="495">
        <f>'תקציב הנדסה 2024'!BJ66</f>
        <v>0</v>
      </c>
      <c r="BI7" s="495">
        <f>'תקציב הנדסה 2024'!BK66</f>
        <v>0</v>
      </c>
      <c r="BJ7" s="495">
        <f>'תקציב הנדסה 2024'!BL66</f>
        <v>369833</v>
      </c>
    </row>
    <row r="8" spans="1:68" s="31" customFormat="1" ht="45">
      <c r="A8" s="494" t="s">
        <v>145</v>
      </c>
      <c r="B8" s="434">
        <f>'תקציב החברה לפיתוח 2024'!D134</f>
        <v>3899445537</v>
      </c>
      <c r="C8" s="434">
        <f>'תקציב החברה לפיתוח 2024'!E134</f>
        <v>3502520292</v>
      </c>
      <c r="D8" s="434">
        <f>'תקציב החברה לפיתוח 2024'!F134</f>
        <v>396925245</v>
      </c>
      <c r="E8" s="434">
        <f>'תקציב החברה לפיתוח 2024'!G134</f>
        <v>1854025664</v>
      </c>
      <c r="F8" s="434">
        <f>'תקציב החברה לפיתוח 2024'!H134</f>
        <v>1826049527</v>
      </c>
      <c r="G8" s="434">
        <f>'תקציב החברה לפיתוח 2024'!I134</f>
        <v>449944</v>
      </c>
      <c r="H8" s="434">
        <f>'תקציב החברה לפיתוח 2024'!J134</f>
        <v>1996222</v>
      </c>
      <c r="I8" s="434">
        <f>'תקציב החברה לפיתוח 2024'!K134</f>
        <v>2446166</v>
      </c>
      <c r="J8" s="434">
        <f>'תקציב החברה לפיתוח 2024'!L134</f>
        <v>1828495693</v>
      </c>
      <c r="K8" s="434">
        <f>'תקציב החברה לפיתוח 2024'!M134</f>
        <v>677795</v>
      </c>
      <c r="L8" s="434">
        <f>'תקציב החברה לפיתוח 2024'!N134</f>
        <v>485183155</v>
      </c>
      <c r="M8" s="434">
        <f>'תקציב החברה לפיתוח 2024'!O134</f>
        <v>1585088894</v>
      </c>
      <c r="N8" s="434">
        <f>'תקציב החברה לפיתוח 2024'!P134</f>
        <v>25529971</v>
      </c>
      <c r="O8" s="434">
        <f>'תקציב החברה לפיתוח 2024'!Q134</f>
        <v>97530155</v>
      </c>
      <c r="P8" s="434">
        <f>'תקציב החברה לפיתוח 2024'!R134</f>
        <v>7500000</v>
      </c>
      <c r="Q8" s="434">
        <f>'תקציב החברה לפיתוח 2024'!S134</f>
        <v>105030155</v>
      </c>
      <c r="R8" s="434">
        <f>'תקציב החברה לפיתוח 2024'!T134</f>
        <v>129882331</v>
      </c>
      <c r="S8" s="434">
        <f>'תקציב החברה לפיתוח 2024'!U134</f>
        <v>355300824</v>
      </c>
      <c r="T8" s="434">
        <f>'תקציב החברה לפיתוח 2024'!V134</f>
        <v>240768931</v>
      </c>
      <c r="U8" s="434">
        <f>'תקציב החברה לפיתוח 2024'!W134</f>
        <v>2216408</v>
      </c>
      <c r="V8" s="434">
        <f>'תקציב החברה לפיתוח 2024'!X134</f>
        <v>0</v>
      </c>
      <c r="W8" s="434">
        <f>'תקציב החברה לפיתוח 2024'!Y134</f>
        <v>16236186</v>
      </c>
      <c r="X8" s="434">
        <f>'תקציב החברה לפיתוח 2024'!Z134</f>
        <v>0</v>
      </c>
      <c r="Y8" s="434">
        <f>'תקציב החברה לפיתוח 2024'!AA134</f>
        <v>96079299</v>
      </c>
      <c r="Z8" s="434"/>
      <c r="AA8" s="495">
        <f>'תקציב החברה לפיתוח 2024'!AL134</f>
        <v>29600000</v>
      </c>
      <c r="AB8" s="495">
        <f>'תקציב החברה לפיתוח 2024'!AD134</f>
        <v>-13087331</v>
      </c>
      <c r="AC8" s="495">
        <f>'תקציב החברה לפיתוח 2024'!AE134</f>
        <v>29400000</v>
      </c>
      <c r="AD8" s="495">
        <f>'תקציב החברה לפיתוח 2024'!AF134</f>
        <v>45300000</v>
      </c>
      <c r="AE8" s="495">
        <f>'תקציב החברה לפיתוח 2024'!AG134</f>
        <v>27937400</v>
      </c>
      <c r="AF8" s="495">
        <f>'תקציב החברה לפיתוח 2024'!AH134</f>
        <v>51549746</v>
      </c>
      <c r="AG8" s="495">
        <f>'תקציב החברה לפיתוח 2024'!AI134</f>
        <v>0</v>
      </c>
      <c r="AH8" s="495">
        <f>'תקציב החברה לפיתוח 2024'!AJ134</f>
        <v>170699815</v>
      </c>
      <c r="AI8" s="495">
        <f>'תקציב החברה לפיתוח 2024'!AK134</f>
        <v>184601009</v>
      </c>
      <c r="AJ8" s="495">
        <f>'תקציב החברה לפיתוח 2024'!AL134</f>
        <v>29600000</v>
      </c>
      <c r="AK8" s="495">
        <f>'תקציב החברה לפיתוח 2024'!AM134</f>
        <v>-27750000</v>
      </c>
      <c r="AL8" s="495">
        <f>'תקציב החברה לפיתוח 2024'!AN134</f>
        <v>156851009</v>
      </c>
      <c r="AM8" s="495">
        <f>'תקציב החברה לפיתוח 2024'!AO134</f>
        <v>72980411</v>
      </c>
      <c r="AN8" s="495">
        <f>'תקציב החברה לפיתוח 2024'!AP134</f>
        <v>1500000</v>
      </c>
      <c r="AO8" s="495">
        <f>'תקציב החברה לפיתוח 2024'!AQ134</f>
        <v>0</v>
      </c>
      <c r="AP8" s="495">
        <f>'תקציב החברה לפיתוח 2024'!AR134</f>
        <v>14986186</v>
      </c>
      <c r="AQ8" s="495">
        <f>'תקציב החברה לפיתוח 2024'!AS134</f>
        <v>0</v>
      </c>
      <c r="AR8" s="495">
        <f>'תקציב החברה לפיתוח 2024'!AT134</f>
        <v>67384412</v>
      </c>
      <c r="AS8" s="495">
        <f>'תקציב החברה לפיתוח 2024'!AU134</f>
        <v>20150000</v>
      </c>
      <c r="AT8" s="495">
        <f>'תקציב החברה לפיתוח 2024'!AV134</f>
        <v>28300000</v>
      </c>
      <c r="AU8" s="495">
        <f>'תקציב החברה לפיתוח 2024'!AW134</f>
        <v>50863252</v>
      </c>
      <c r="AV8" s="495">
        <f>'תקציב החברה לפיתוח 2024'!AX134</f>
        <v>105987757</v>
      </c>
      <c r="AW8" s="495">
        <f>'תקציב החברה לפיתוח 2024'!AY134</f>
        <v>62219118</v>
      </c>
      <c r="AX8" s="495">
        <f>'תקציב החברה לפיתוח 2024'!AZ134</f>
        <v>1500000</v>
      </c>
      <c r="AY8" s="495">
        <f>'תקציב החברה לפיתוח 2024'!BA134</f>
        <v>0</v>
      </c>
      <c r="AZ8" s="495">
        <f>'תקציב החברה לפיתוח 2024'!BB134</f>
        <v>6000000</v>
      </c>
      <c r="BA8" s="495">
        <f>'תקציב החברה לפיתוח 2024'!BC134</f>
        <v>0</v>
      </c>
      <c r="BB8" s="495">
        <f>'תקציב החברה לפיתוח 2024'!BD134</f>
        <v>36268639</v>
      </c>
      <c r="BC8" s="495">
        <f>'תקציב החברה לפיתוח 2024'!BE134</f>
        <v>276687572</v>
      </c>
      <c r="BD8" s="495">
        <f>'תקציב החברה לפיתוח 2024'!BF134</f>
        <v>78613252</v>
      </c>
      <c r="BE8" s="495">
        <f>'תקציב החברה לפיתוח 2024'!BG134</f>
        <v>202667638</v>
      </c>
      <c r="BF8" s="495">
        <f>'תקציב החברה לפיתוח 2024'!BH134</f>
        <v>2416408</v>
      </c>
      <c r="BG8" s="495">
        <f>'תקציב החברה לפיתוח 2024'!BI134</f>
        <v>0</v>
      </c>
      <c r="BH8" s="495">
        <f>'תקציב החברה לפיתוח 2024'!BJ134</f>
        <v>7500000</v>
      </c>
      <c r="BI8" s="495">
        <f>'תקציב החברה לפיתוח 2024'!BK134</f>
        <v>0</v>
      </c>
      <c r="BJ8" s="495">
        <f>'תקציב החברה לפיתוח 2024'!BL134</f>
        <v>64103526</v>
      </c>
      <c r="BK8" s="22"/>
      <c r="BL8" s="22"/>
      <c r="BM8" s="22"/>
      <c r="BN8" s="22"/>
      <c r="BO8" s="22"/>
      <c r="BP8" s="22"/>
    </row>
    <row r="9" spans="1:68" s="31" customFormat="1" ht="32.1" customHeight="1">
      <c r="A9" s="494" t="s">
        <v>450</v>
      </c>
      <c r="B9" s="434">
        <f>'תקציב מינהל תפעול 2024 '!D116</f>
        <v>940096894</v>
      </c>
      <c r="C9" s="434">
        <f>'תקציב מינהל תפעול 2024 '!E116</f>
        <v>823808906</v>
      </c>
      <c r="D9" s="434">
        <f>'תקציב מינהל תפעול 2024 '!F116</f>
        <v>116287988</v>
      </c>
      <c r="E9" s="434">
        <f>'תקציב מינהל תפעול 2024 '!G116</f>
        <v>659925203</v>
      </c>
      <c r="F9" s="434">
        <f>'תקציב מינהל תפעול 2024 '!H116</f>
        <v>596264862</v>
      </c>
      <c r="G9" s="434">
        <f>'תקציב מינהל תפעול 2024 '!I116</f>
        <v>4044440</v>
      </c>
      <c r="H9" s="434">
        <f>'תקציב מינהל תפעול 2024 '!J116</f>
        <v>33517082</v>
      </c>
      <c r="I9" s="434">
        <f>'תקציב מינהל תפעול 2024 '!K116</f>
        <v>37561522</v>
      </c>
      <c r="J9" s="434">
        <f>'תקציב מינהל תפעול 2024 '!L116</f>
        <v>633826384</v>
      </c>
      <c r="K9" s="434">
        <f>'תקציב מינהל תפעול 2024 '!M116</f>
        <v>295768</v>
      </c>
      <c r="L9" s="434">
        <f>'תקציב מינהל תפעול 2024 '!N116</f>
        <v>103786594</v>
      </c>
      <c r="M9" s="434">
        <f>'תקציב מינהל תפעול 2024 '!O116</f>
        <v>202188148</v>
      </c>
      <c r="N9" s="434">
        <f>'תקציב מינהל תפעול 2024 '!P116</f>
        <v>26098819</v>
      </c>
      <c r="O9" s="434">
        <f>'תקציב מינהל תפעול 2024 '!Q116</f>
        <v>700000</v>
      </c>
      <c r="P9" s="434">
        <f>'תקציב מינהל תפעול 2024 '!R116</f>
        <v>10200000</v>
      </c>
      <c r="Q9" s="434">
        <f>'תקציב מינהל תפעול 2024 '!S116</f>
        <v>10900000</v>
      </c>
      <c r="R9" s="434">
        <f>'תקציב מינהל תפעול 2024 '!T116</f>
        <v>36703051</v>
      </c>
      <c r="S9" s="434">
        <f>'תקציב מינהל תפעול 2024 '!U116</f>
        <v>67083543</v>
      </c>
      <c r="T9" s="434">
        <f>'תקציב מינהל תפעול 2024 '!V116</f>
        <v>8775568</v>
      </c>
      <c r="U9" s="434">
        <f>'תקציב מינהל תפעול 2024 '!W116</f>
        <v>22573844</v>
      </c>
      <c r="V9" s="434">
        <f>'תקציב מינהל תפעול 2024 '!X116</f>
        <v>0</v>
      </c>
      <c r="W9" s="434">
        <f>'תקציב מינהל תפעול 2024 '!Y116</f>
        <v>23905000</v>
      </c>
      <c r="X9" s="434">
        <f>'תקציב מינהל תפעול 2024 '!Z116</f>
        <v>0</v>
      </c>
      <c r="Y9" s="434">
        <f>'תקציב מינהל תפעול 2024 '!AA116</f>
        <v>11829131</v>
      </c>
      <c r="Z9" s="434"/>
      <c r="AA9" s="495">
        <f>'תקציב מינהל תפעול 2024 '!AL116</f>
        <v>18200000</v>
      </c>
      <c r="AB9" s="495">
        <f>'תקציב מינהל תפעול 2024 '!AD116</f>
        <v>-10266852</v>
      </c>
      <c r="AC9" s="495">
        <f>'תקציב מינהל תפעול 2024 '!AE116</f>
        <v>17430395</v>
      </c>
      <c r="AD9" s="495">
        <f>'תקציב מינהל תפעול 2024 '!AF116</f>
        <v>7665000</v>
      </c>
      <c r="AE9" s="495">
        <f>'תקציב מינהל תפעול 2024 '!AG116</f>
        <v>5619500</v>
      </c>
      <c r="AF9" s="495">
        <f>'תקציב מינהל תפעול 2024 '!AH116</f>
        <v>7609500</v>
      </c>
      <c r="AG9" s="495">
        <f>'תקציב מינהל תפעול 2024 '!AI116</f>
        <v>0</v>
      </c>
      <c r="AH9" s="495">
        <f>'תקציב מינהל תפעול 2024 '!AJ116</f>
        <v>46257543</v>
      </c>
      <c r="AI9" s="495">
        <f>'תקציב מינהל תפעול 2024 '!AK116</f>
        <v>20826000</v>
      </c>
      <c r="AJ9" s="495">
        <f>'תקציב מינהל תפעול 2024 '!AL116</f>
        <v>18200000</v>
      </c>
      <c r="AK9" s="495">
        <f>'תקציב מינהל תפעול 2024 '!AM116</f>
        <v>-6290000</v>
      </c>
      <c r="AL9" s="495">
        <f>'תקציב מינהל תפעול 2024 '!AN116</f>
        <v>14536000</v>
      </c>
      <c r="AM9" s="495">
        <f>'תקציב מינהל תפעול 2024 '!AO116</f>
        <v>600000</v>
      </c>
      <c r="AN9" s="495">
        <f>'תקציב מינהל תפעול 2024 '!AP116</f>
        <v>3720000</v>
      </c>
      <c r="AO9" s="495">
        <f>'תקציב מינהל תפעול 2024 '!AQ116</f>
        <v>0</v>
      </c>
      <c r="AP9" s="495">
        <f>'תקציב מינהל תפעול 2024 '!AR116</f>
        <v>705000</v>
      </c>
      <c r="AQ9" s="495">
        <f>'תקציב מינהל תפעול 2024 '!AS116</f>
        <v>0</v>
      </c>
      <c r="AR9" s="495">
        <f>'תקציב מינהל תפעול 2024 '!AT116</f>
        <v>9511000</v>
      </c>
      <c r="AS9" s="495">
        <f>'תקציב מינהל תפעול 2024 '!AU116</f>
        <v>1130000</v>
      </c>
      <c r="AT9" s="495">
        <f>'תקציב מינהל תפעול 2024 '!AV116</f>
        <v>500000</v>
      </c>
      <c r="AU9" s="495">
        <f>'תקציב מינהל תפעול 2024 '!AW116</f>
        <v>11661000</v>
      </c>
      <c r="AV9" s="495">
        <f>'תקציב מינהל תפעול 2024 '!AX116</f>
        <v>2875000</v>
      </c>
      <c r="AW9" s="495">
        <f>'תקציב מינהל תפעול 2024 '!AY116</f>
        <v>150000</v>
      </c>
      <c r="AX9" s="495">
        <f>'תקציב מינהל תפעול 2024 '!AZ116</f>
        <v>2020000</v>
      </c>
      <c r="AY9" s="495">
        <f>'תקציב מינהל תפעול 2024 '!BA116</f>
        <v>0</v>
      </c>
      <c r="AZ9" s="495">
        <f>'תקציב מינהל תפעול 2024 '!BB116</f>
        <v>705000</v>
      </c>
      <c r="BA9" s="495">
        <f>'תקציב מינהל תפעול 2024 '!BC116</f>
        <v>0</v>
      </c>
      <c r="BB9" s="495">
        <f>'תקציב מינהל תפעול 2024 '!BD116</f>
        <v>0</v>
      </c>
      <c r="BC9" s="495">
        <f>'תקציב מינהל תפעול 2024 '!BE116</f>
        <v>49132543</v>
      </c>
      <c r="BD9" s="495">
        <f>'תקציב מינהל תפעול 2024 '!BF116</f>
        <v>17951000</v>
      </c>
      <c r="BE9" s="495">
        <f>'תקציב מינהל תפעול 2024 '!BG116</f>
        <v>1745068</v>
      </c>
      <c r="BF9" s="495">
        <f>'תקציב מינהל תפעול 2024 '!BH116</f>
        <v>21164344</v>
      </c>
      <c r="BG9" s="495">
        <f>'תקציב מינהל תפעול 2024 '!BI116</f>
        <v>0</v>
      </c>
      <c r="BH9" s="495">
        <f>'תקציב מינהל תפעול 2024 '!BJ116</f>
        <v>23905000</v>
      </c>
      <c r="BI9" s="495">
        <f>'תקציב מינהל תפעול 2024 '!BK116</f>
        <v>0</v>
      </c>
      <c r="BJ9" s="495">
        <f>'תקציב מינהל תפעול 2024 '!BL116</f>
        <v>2318131</v>
      </c>
      <c r="BK9" s="22"/>
      <c r="BL9" s="22"/>
      <c r="BM9" s="22"/>
      <c r="BN9" s="22"/>
      <c r="BO9" s="22"/>
      <c r="BP9" s="22"/>
    </row>
    <row r="10" spans="1:68" s="31" customFormat="1" ht="32.1" customHeight="1">
      <c r="A10" s="389" t="s">
        <v>545</v>
      </c>
      <c r="B10" s="434">
        <f>'תקציב מינהל חינוך 2024 '!D18</f>
        <v>41049707</v>
      </c>
      <c r="C10" s="434">
        <f>'תקציב מינהל חינוך 2024 '!E18</f>
        <v>39419720</v>
      </c>
      <c r="D10" s="434">
        <f>'תקציב מינהל חינוך 2024 '!F18</f>
        <v>1629987</v>
      </c>
      <c r="E10" s="434">
        <f>'תקציב מינהל חינוך 2024 '!G18</f>
        <v>16441720</v>
      </c>
      <c r="F10" s="434">
        <f>'תקציב מינהל חינוך 2024 '!H18</f>
        <v>14627772</v>
      </c>
      <c r="G10" s="434">
        <f>'תקציב מינהל חינוך 2024 '!I18</f>
        <v>0</v>
      </c>
      <c r="H10" s="434">
        <f>'תקציב מינהל חינוך 2024 '!J18</f>
        <v>254094</v>
      </c>
      <c r="I10" s="434">
        <f>'תקציב מינהל חינוך 2024 '!K18</f>
        <v>254094</v>
      </c>
      <c r="J10" s="434">
        <f>'תקציב מינהל חינוך 2024 '!L18</f>
        <v>14881866</v>
      </c>
      <c r="K10" s="434">
        <f>'תקציב מינהל חינוך 2024 '!M18</f>
        <v>19686</v>
      </c>
      <c r="L10" s="434">
        <f>'תקציב מינהל חינוך 2024 '!N18</f>
        <v>2045000</v>
      </c>
      <c r="M10" s="434">
        <f>'תקציב מינהל חינוך 2024 '!O18</f>
        <v>24103155</v>
      </c>
      <c r="N10" s="434">
        <f>'תקציב מינהל חינוך 2024 '!P18</f>
        <v>1559854</v>
      </c>
      <c r="O10" s="434">
        <f>'תקציב מינהל חינוך 2024 '!Q18</f>
        <v>-100000</v>
      </c>
      <c r="P10" s="434">
        <f>'תקציב מינהל חינוך 2024 '!R18</f>
        <v>0</v>
      </c>
      <c r="Q10" s="434">
        <f>'תקציב מינהל חינוך 2024 '!S18</f>
        <v>-100000</v>
      </c>
      <c r="R10" s="434">
        <f>'תקציב מינהל חינוך 2024 '!T18</f>
        <v>1440168</v>
      </c>
      <c r="S10" s="434">
        <f>'תקציב מינהל חינוך 2024 '!U18</f>
        <v>604832</v>
      </c>
      <c r="T10" s="434">
        <f>'תקציב מינהל חינוך 2024 '!V18</f>
        <v>0</v>
      </c>
      <c r="U10" s="434">
        <f>'תקציב מינהל חינוך 2024 '!W18</f>
        <v>1487669</v>
      </c>
      <c r="V10" s="434">
        <f>'תקציב מינהל חינוך 2024 '!X18</f>
        <v>0</v>
      </c>
      <c r="W10" s="434">
        <f>'תקציב מינהל חינוך 2024 '!Y18</f>
        <v>0</v>
      </c>
      <c r="X10" s="434">
        <f>'תקציב מינהל חינוך 2024 '!Z18</f>
        <v>0</v>
      </c>
      <c r="Y10" s="434">
        <f>'תקציב מינהל חינוך 2024 '!AA18</f>
        <v>-882837</v>
      </c>
      <c r="Z10" s="434"/>
      <c r="AA10" s="495">
        <f>'תקציב מינהל חינוך 2024 '!AL18</f>
        <v>0</v>
      </c>
      <c r="AB10" s="495">
        <f>'תקציב מינהל חינוך 2024 '!AD18</f>
        <v>-262331</v>
      </c>
      <c r="AC10" s="495">
        <f>'תקציב מינהל חינוך 2024 '!AE18</f>
        <v>100000</v>
      </c>
      <c r="AD10" s="495">
        <f>'תקציב מינהל חינוך 2024 '!AF18</f>
        <v>1200000</v>
      </c>
      <c r="AE10" s="495">
        <f>'תקציב מינהל חינוך 2024 '!AG18</f>
        <v>200000</v>
      </c>
      <c r="AF10" s="495">
        <f>'תקציב מינהל חינוך 2024 '!AH18</f>
        <v>250000</v>
      </c>
      <c r="AG10" s="495">
        <f>'תקציב מינהל חינוך 2024 '!AI18</f>
        <v>0</v>
      </c>
      <c r="AH10" s="495">
        <f>'תקציב מינהל חינוך 2024 '!AJ18</f>
        <v>1487669</v>
      </c>
      <c r="AI10" s="495">
        <f>'תקציב מינהל חינוך 2024 '!AK18</f>
        <v>-882837</v>
      </c>
      <c r="AJ10" s="495">
        <f>'תקציב מינהל חינוך 2024 '!AL18</f>
        <v>0</v>
      </c>
      <c r="AK10" s="495">
        <f>'תקציב מינהל חינוך 2024 '!AM18</f>
        <v>0</v>
      </c>
      <c r="AL10" s="495">
        <f>'תקציב מינהל חינוך 2024 '!AN18</f>
        <v>-882837</v>
      </c>
      <c r="AM10" s="495">
        <f>'תקציב מינהל חינוך 2024 '!AO18</f>
        <v>0</v>
      </c>
      <c r="AN10" s="495">
        <f>'תקציב מינהל חינוך 2024 '!AP18</f>
        <v>0</v>
      </c>
      <c r="AO10" s="495">
        <f>'תקציב מינהל חינוך 2024 '!AQ18</f>
        <v>0</v>
      </c>
      <c r="AP10" s="495">
        <f>'תקציב מינהל חינוך 2024 '!AR18</f>
        <v>0</v>
      </c>
      <c r="AQ10" s="495">
        <f>'תקציב מינהל חינוך 2024 '!AS18</f>
        <v>0</v>
      </c>
      <c r="AR10" s="495">
        <f>'תקציב מינהל חינוך 2024 '!AT18</f>
        <v>-882837</v>
      </c>
      <c r="AS10" s="495">
        <f>'תקציב מינהל חינוך 2024 '!AU18</f>
        <v>600000</v>
      </c>
      <c r="AT10" s="495">
        <f>'תקציב מינהל חינוך 2024 '!AV18</f>
        <v>0</v>
      </c>
      <c r="AU10" s="495">
        <f>'תקציב מינהל חינוך 2024 '!AW18</f>
        <v>-100000</v>
      </c>
      <c r="AV10" s="495">
        <f>'תקציב מינהל חינוך 2024 '!AX18</f>
        <v>-782837</v>
      </c>
      <c r="AW10" s="495">
        <f>'תקציב מינהל חינוך 2024 '!AY18</f>
        <v>0</v>
      </c>
      <c r="AX10" s="495">
        <f>'תקציב מינהל חינוך 2024 '!AZ18</f>
        <v>0</v>
      </c>
      <c r="AY10" s="495">
        <f>'תקציב מינהל חינוך 2024 '!BA18</f>
        <v>0</v>
      </c>
      <c r="AZ10" s="495">
        <f>'תקציב מינהל חינוך 2024 '!BB18</f>
        <v>0</v>
      </c>
      <c r="BA10" s="495">
        <f>'תקציב מינהל חינוך 2024 '!BC18</f>
        <v>0</v>
      </c>
      <c r="BB10" s="495">
        <f>'תקציב מינהל חינוך 2024 '!BD18</f>
        <v>-782837</v>
      </c>
      <c r="BC10" s="495">
        <f>'תקציב מינהל חינוך 2024 '!BE18</f>
        <v>704832</v>
      </c>
      <c r="BD10" s="495">
        <f>'תקציב מינהל חינוך 2024 '!BF18</f>
        <v>-100000</v>
      </c>
      <c r="BE10" s="495">
        <f>'תקציב מינהל חינוך 2024 '!BG18</f>
        <v>0</v>
      </c>
      <c r="BF10" s="495">
        <f>'תקציב מינהל חינוך 2024 '!BH18</f>
        <v>1487669</v>
      </c>
      <c r="BG10" s="495">
        <f>'תקציב מינהל חינוך 2024 '!BI18</f>
        <v>0</v>
      </c>
      <c r="BH10" s="495">
        <f>'תקציב מינהל חינוך 2024 '!BJ18</f>
        <v>0</v>
      </c>
      <c r="BI10" s="495">
        <f>'תקציב מינהל חינוך 2024 '!BK18</f>
        <v>0</v>
      </c>
      <c r="BJ10" s="495">
        <f>'תקציב מינהל חינוך 2024 '!BL18</f>
        <v>-782837</v>
      </c>
      <c r="BK10" s="22"/>
      <c r="BL10" s="22"/>
      <c r="BM10" s="22"/>
      <c r="BN10" s="22"/>
      <c r="BO10" s="22"/>
      <c r="BP10" s="22"/>
    </row>
    <row r="11" spans="1:68" s="31" customFormat="1" ht="32.1" customHeight="1">
      <c r="A11" s="389" t="s">
        <v>625</v>
      </c>
      <c r="B11" s="434">
        <f>'תקציב אגף ספורט 2024'!D17</f>
        <v>19230205</v>
      </c>
      <c r="C11" s="434">
        <f>'תקציב אגף ספורט 2024'!E17</f>
        <v>12138000</v>
      </c>
      <c r="D11" s="434">
        <f>'תקציב אגף ספורט 2024'!F17</f>
        <v>6942000</v>
      </c>
      <c r="E11" s="434">
        <f>'תקציב אגף ספורט 2024'!G17</f>
        <v>11077000</v>
      </c>
      <c r="F11" s="434">
        <f>'תקציב אגף ספורט 2024'!H17</f>
        <v>10772057</v>
      </c>
      <c r="G11" s="434">
        <f>'תקציב אגף ספורט 2024'!I17</f>
        <v>0</v>
      </c>
      <c r="H11" s="434">
        <f>'תקציב אגף ספורט 2024'!J17</f>
        <v>53647</v>
      </c>
      <c r="I11" s="434">
        <f>'תקציב אגף ספורט 2024'!K17</f>
        <v>53647</v>
      </c>
      <c r="J11" s="434">
        <f>'תקציב אגף ספורט 2024'!L17</f>
        <v>10825704</v>
      </c>
      <c r="K11" s="434">
        <f>'תקציב אגף ספורט 2024'!M17</f>
        <v>8471</v>
      </c>
      <c r="L11" s="434">
        <f>'תקציב אגף ספורט 2024'!N17</f>
        <v>4769866</v>
      </c>
      <c r="M11" s="434">
        <f>'תקציב אגף ספורט 2024'!O17</f>
        <v>3626164</v>
      </c>
      <c r="N11" s="434">
        <f>'תקציב אגף ספורט 2024'!P17</f>
        <v>251296</v>
      </c>
      <c r="O11" s="434">
        <f>'תקציב אגף ספורט 2024'!Q17</f>
        <v>90000</v>
      </c>
      <c r="P11" s="434">
        <f>'תקציב אגף ספורט 2024'!R17</f>
        <v>0</v>
      </c>
      <c r="Q11" s="434">
        <f>'תקציב אגף ספורט 2024'!S17</f>
        <v>90000</v>
      </c>
      <c r="R11" s="434">
        <f>'תקציב אגף ספורט 2024'!T17</f>
        <v>332825</v>
      </c>
      <c r="S11" s="434">
        <f>'תקציב אגף ספורט 2024'!U17</f>
        <v>4437041</v>
      </c>
      <c r="T11" s="434">
        <f>'תקציב אגף ספורט 2024'!V17</f>
        <v>3000000</v>
      </c>
      <c r="U11" s="434">
        <f>'תקציב אגף ספורט 2024'!W17</f>
        <v>1437041</v>
      </c>
      <c r="V11" s="434">
        <f>'תקציב אגף ספורט 2024'!X17</f>
        <v>0</v>
      </c>
      <c r="W11" s="434">
        <f>'תקציב אגף ספורט 2024'!Y17</f>
        <v>0</v>
      </c>
      <c r="X11" s="434">
        <f>'תקציב אגף ספורט 2024'!Z17</f>
        <v>0</v>
      </c>
      <c r="Y11" s="434">
        <f>'תקציב אגף ספורט 2024'!AA17</f>
        <v>0</v>
      </c>
      <c r="Z11" s="434"/>
      <c r="AA11" s="495">
        <f>'תקציב אגף ספורט 2024'!AL17</f>
        <v>0</v>
      </c>
      <c r="AB11" s="495">
        <f>'תקציב אגף ספורט 2024'!AD17</f>
        <v>-77825</v>
      </c>
      <c r="AC11" s="495">
        <f>'תקציב אגף ספורט 2024'!AE17</f>
        <v>927000</v>
      </c>
      <c r="AD11" s="495">
        <f>'תקציב אגף ספורט 2024'!AF17</f>
        <v>180000</v>
      </c>
      <c r="AE11" s="495">
        <f>'תקציב אגף ספורט 2024'!AG17</f>
        <v>217866</v>
      </c>
      <c r="AF11" s="495">
        <f>'תקציב אגף ספורט 2024'!AH17</f>
        <v>40000</v>
      </c>
      <c r="AG11" s="495">
        <f>'תקציב אגף ספורט 2024'!AI17</f>
        <v>0</v>
      </c>
      <c r="AH11" s="495">
        <f>'תקציב אגף ספורט 2024'!AJ17</f>
        <v>1287041</v>
      </c>
      <c r="AI11" s="495">
        <f>'תקציב אגף ספורט 2024'!AK17</f>
        <v>3150000</v>
      </c>
      <c r="AJ11" s="495">
        <f>'תקציב אגף ספורט 2024'!AL17</f>
        <v>0</v>
      </c>
      <c r="AK11" s="495">
        <f>'תקציב אגף ספורט 2024'!AM17</f>
        <v>-3000000</v>
      </c>
      <c r="AL11" s="495">
        <f>'תקציב אגף ספורט 2024'!AN17</f>
        <v>150000</v>
      </c>
      <c r="AM11" s="495">
        <f>'תקציב אגף ספורט 2024'!AO17</f>
        <v>0</v>
      </c>
      <c r="AN11" s="495">
        <f>'תקציב אגף ספורט 2024'!AP17</f>
        <v>150000</v>
      </c>
      <c r="AO11" s="495">
        <f>'תקציב אגף ספורט 2024'!AQ17</f>
        <v>0</v>
      </c>
      <c r="AP11" s="495">
        <f>'תקציב אגף ספורט 2024'!AR17</f>
        <v>0</v>
      </c>
      <c r="AQ11" s="495">
        <f>'תקציב אגף ספורט 2024'!AS17</f>
        <v>0</v>
      </c>
      <c r="AR11" s="495">
        <f>'תקציב אגף ספורט 2024'!AT17</f>
        <v>0</v>
      </c>
      <c r="AS11" s="495">
        <f>'תקציב אגף ספורט 2024'!AU17</f>
        <v>0</v>
      </c>
      <c r="AT11" s="495">
        <f>'תקציב אגף ספורט 2024'!AV17</f>
        <v>0</v>
      </c>
      <c r="AU11" s="495">
        <f>'תקציב אגף ספורט 2024'!AW17</f>
        <v>0</v>
      </c>
      <c r="AV11" s="495">
        <f>'תקציב אגף ספורט 2024'!AX17</f>
        <v>150000</v>
      </c>
      <c r="AW11" s="495">
        <f>'תקציב אגף ספורט 2024'!AY17</f>
        <v>0</v>
      </c>
      <c r="AX11" s="495">
        <f>'תקציב אגף ספורט 2024'!AZ17</f>
        <v>150000</v>
      </c>
      <c r="AY11" s="495">
        <f>'תקציב אגף ספורט 2024'!BA17</f>
        <v>0</v>
      </c>
      <c r="AZ11" s="495">
        <f>'תקציב אגף ספורט 2024'!BB17</f>
        <v>0</v>
      </c>
      <c r="BA11" s="495">
        <f>'תקציב אגף ספורט 2024'!BC17</f>
        <v>0</v>
      </c>
      <c r="BB11" s="495">
        <f>'תקציב אגף ספורט 2024'!BD17</f>
        <v>0</v>
      </c>
      <c r="BC11" s="495">
        <f>'תקציב אגף ספורט 2024'!BE17</f>
        <v>1437041</v>
      </c>
      <c r="BD11" s="495">
        <f>'תקציב אגף ספורט 2024'!BF17</f>
        <v>3000000</v>
      </c>
      <c r="BE11" s="495">
        <f>'תקציב אגף ספורט 2024'!BG17</f>
        <v>0</v>
      </c>
      <c r="BF11" s="495">
        <f>'תקציב אגף ספורט 2024'!BH17</f>
        <v>1437041</v>
      </c>
      <c r="BG11" s="495">
        <f>'תקציב אגף ספורט 2024'!BI17</f>
        <v>0</v>
      </c>
      <c r="BH11" s="495">
        <f>'תקציב אגף ספורט 2024'!BJ17</f>
        <v>0</v>
      </c>
      <c r="BI11" s="495">
        <f>'תקציב אגף ספורט 2024'!BK17</f>
        <v>0</v>
      </c>
      <c r="BJ11" s="495">
        <f>'תקציב אגף ספורט 2024'!BL17</f>
        <v>0</v>
      </c>
      <c r="BK11" s="22"/>
      <c r="BL11" s="22"/>
      <c r="BM11" s="22"/>
      <c r="BN11" s="22"/>
      <c r="BO11" s="22"/>
      <c r="BP11" s="22"/>
    </row>
    <row r="12" spans="1:68" s="31" customFormat="1" ht="32.1" customHeight="1">
      <c r="A12" s="389" t="s">
        <v>637</v>
      </c>
      <c r="B12" s="434">
        <f>'תקציב אגף תנוק 2024 '!D9</f>
        <v>13938365</v>
      </c>
      <c r="C12" s="434">
        <f>'תקציב אגף תנוק 2024 '!E9</f>
        <v>12590365</v>
      </c>
      <c r="D12" s="434">
        <f>'תקציב אגף תנוק 2024 '!F9</f>
        <v>1348000</v>
      </c>
      <c r="E12" s="434">
        <f>'תקציב אגף תנוק 2024 '!G9</f>
        <v>11590365</v>
      </c>
      <c r="F12" s="434">
        <f>'תקציב אגף תנוק 2024 '!H9</f>
        <v>10917143</v>
      </c>
      <c r="G12" s="434">
        <f>'תקציב אגף תנוק 2024 '!I9</f>
        <v>0</v>
      </c>
      <c r="H12" s="434">
        <f>'תקציב אגף תנוק 2024 '!J9</f>
        <v>315820</v>
      </c>
      <c r="I12" s="434">
        <f>'תקציב אגף תנוק 2024 '!K9</f>
        <v>315820</v>
      </c>
      <c r="J12" s="434">
        <f>'תקציב אגף תנוק 2024 '!L9</f>
        <v>11232963</v>
      </c>
      <c r="K12" s="434">
        <f>'תקציב אגף תנוק 2024 '!M9</f>
        <v>18402</v>
      </c>
      <c r="L12" s="434">
        <f>'תקציב אגף תנוק 2024 '!N9</f>
        <v>1345000</v>
      </c>
      <c r="M12" s="434">
        <f>'תקציב אגף תנוק 2024 '!O9</f>
        <v>1342000</v>
      </c>
      <c r="N12" s="434">
        <f>'תקציב אגף תנוק 2024 '!P9</f>
        <v>357402</v>
      </c>
      <c r="O12" s="434">
        <f>'תקציב אגף תנוק 2024 '!Q9</f>
        <v>80000</v>
      </c>
      <c r="P12" s="434">
        <f>'תקציב אגף תנוק 2024 '!R9</f>
        <v>0</v>
      </c>
      <c r="Q12" s="434">
        <f>'תקציב אגף תנוק 2024 '!S9</f>
        <v>80000</v>
      </c>
      <c r="R12" s="434">
        <f>'תקציב אגף תנוק 2024 '!T9</f>
        <v>419000</v>
      </c>
      <c r="S12" s="434">
        <f>'תקציב אגף תנוק 2024 '!U9</f>
        <v>926000</v>
      </c>
      <c r="T12" s="434">
        <f>'תקציב אגף תנוק 2024 '!V9</f>
        <v>0</v>
      </c>
      <c r="U12" s="434">
        <f>'תקציב אגף תנוק 2024 '!W9</f>
        <v>926000</v>
      </c>
      <c r="V12" s="434">
        <f>'תקציב אגף תנוק 2024 '!X9</f>
        <v>0</v>
      </c>
      <c r="W12" s="434">
        <f>'תקציב אגף תנוק 2024 '!Y9</f>
        <v>0</v>
      </c>
      <c r="X12" s="434">
        <f>'תקציב אגף תנוק 2024 '!Z9</f>
        <v>0</v>
      </c>
      <c r="Y12" s="434">
        <f>'תקציב אגף תנוק 2024 '!AA9</f>
        <v>0</v>
      </c>
      <c r="Z12" s="434"/>
      <c r="AA12" s="495">
        <f>'תקציב אגף תנוק 2024 '!AL9</f>
        <v>0</v>
      </c>
      <c r="AB12" s="495">
        <f>'תקציב אגף תנוק 2024 '!AD9</f>
        <v>0</v>
      </c>
      <c r="AC12" s="495">
        <f>'תקציב אגף תנוק 2024 '!AE9</f>
        <v>50000</v>
      </c>
      <c r="AD12" s="495">
        <f>'תקציב אגף תנוק 2024 '!AF9</f>
        <v>350000</v>
      </c>
      <c r="AE12" s="495">
        <f>'תקציב אגף תנוק 2024 '!AG9</f>
        <v>200000</v>
      </c>
      <c r="AF12" s="495">
        <f>'תקציב אגף תנוק 2024 '!AH9</f>
        <v>200000</v>
      </c>
      <c r="AG12" s="495">
        <f>'תקציב אגף תנוק 2024 '!AI9</f>
        <v>0</v>
      </c>
      <c r="AH12" s="495">
        <f>'תקציב אגף תנוק 2024 '!AJ9</f>
        <v>800000</v>
      </c>
      <c r="AI12" s="495">
        <f>'תקציב אגף תנוק 2024 '!AK9</f>
        <v>126000</v>
      </c>
      <c r="AJ12" s="495">
        <f>'תקציב אגף תנוק 2024 '!AL9</f>
        <v>0</v>
      </c>
      <c r="AK12" s="495">
        <f>'תקציב אגף תנוק 2024 '!AM9</f>
        <v>0</v>
      </c>
      <c r="AL12" s="495">
        <f>'תקציב אגף תנוק 2024 '!AN9</f>
        <v>126000</v>
      </c>
      <c r="AM12" s="495">
        <f>'תקציב אגף תנוק 2024 '!AO9</f>
        <v>0</v>
      </c>
      <c r="AN12" s="495">
        <f>'תקציב אגף תנוק 2024 '!AP9</f>
        <v>126000</v>
      </c>
      <c r="AO12" s="495">
        <f>'תקציב אגף תנוק 2024 '!AQ9</f>
        <v>0</v>
      </c>
      <c r="AP12" s="495">
        <f>'תקציב אגף תנוק 2024 '!AR9</f>
        <v>0</v>
      </c>
      <c r="AQ12" s="495">
        <f>'תקציב אגף תנוק 2024 '!AS9</f>
        <v>0</v>
      </c>
      <c r="AR12" s="495">
        <f>'תקציב אגף תנוק 2024 '!AT9</f>
        <v>0</v>
      </c>
      <c r="AS12" s="495">
        <f>'תקציב אגף תנוק 2024 '!AU9</f>
        <v>0</v>
      </c>
      <c r="AT12" s="495">
        <f>'תקציב אגף תנוק 2024 '!AV9</f>
        <v>0</v>
      </c>
      <c r="AU12" s="495">
        <f>'תקציב אגף תנוק 2024 '!AW9</f>
        <v>0</v>
      </c>
      <c r="AV12" s="495">
        <f>'תקציב אגף תנוק 2024 '!AX9</f>
        <v>126000</v>
      </c>
      <c r="AW12" s="495">
        <f>'תקציב אגף תנוק 2024 '!AY9</f>
        <v>0</v>
      </c>
      <c r="AX12" s="495">
        <f>'תקציב אגף תנוק 2024 '!AZ9</f>
        <v>126000</v>
      </c>
      <c r="AY12" s="495">
        <f>'תקציב אגף תנוק 2024 '!BA9</f>
        <v>0</v>
      </c>
      <c r="AZ12" s="495">
        <f>'תקציב אגף תנוק 2024 '!BB9</f>
        <v>0</v>
      </c>
      <c r="BA12" s="495">
        <f>'תקציב אגף תנוק 2024 '!BC9</f>
        <v>0</v>
      </c>
      <c r="BB12" s="495">
        <f>'תקציב אגף תנוק 2024 '!BD9</f>
        <v>0</v>
      </c>
      <c r="BC12" s="495">
        <f>'תקציב אגף תנוק 2024 '!BE9</f>
        <v>926000</v>
      </c>
      <c r="BD12" s="495">
        <f>'תקציב אגף תנוק 2024 '!BF9</f>
        <v>0</v>
      </c>
      <c r="BE12" s="495">
        <f>'תקציב אגף תנוק 2024 '!BG9</f>
        <v>0</v>
      </c>
      <c r="BF12" s="495">
        <f>'תקציב אגף תנוק 2024 '!BH9</f>
        <v>926000</v>
      </c>
      <c r="BG12" s="495">
        <f>'תקציב אגף תנוק 2024 '!BI9</f>
        <v>0</v>
      </c>
      <c r="BH12" s="495">
        <f>'תקציב אגף תנוק 2024 '!BJ9</f>
        <v>0</v>
      </c>
      <c r="BI12" s="495">
        <f>'תקציב אגף תנוק 2024 '!BK9</f>
        <v>0</v>
      </c>
      <c r="BJ12" s="495">
        <f>'תקציב אגף תנוק 2024 '!BL9</f>
        <v>0</v>
      </c>
      <c r="BK12" s="22"/>
      <c r="BL12" s="22"/>
      <c r="BM12" s="22"/>
      <c r="BN12" s="22"/>
      <c r="BO12" s="22"/>
      <c r="BP12" s="22"/>
    </row>
    <row r="13" spans="1:68" s="31" customFormat="1" ht="45">
      <c r="A13" s="494" t="s">
        <v>74</v>
      </c>
      <c r="B13" s="434">
        <f>'תקציב החברה לתירות 2024 '!D16</f>
        <v>213102131</v>
      </c>
      <c r="C13" s="434">
        <f>'תקציב החברה לתירות 2024 '!E16</f>
        <v>17063000</v>
      </c>
      <c r="D13" s="434">
        <f>'תקציב החברה לתירות 2024 '!F16</f>
        <v>196039131</v>
      </c>
      <c r="E13" s="434">
        <f>'תקציב החברה לתירות 2024 '!G16</f>
        <v>5307282</v>
      </c>
      <c r="F13" s="434">
        <f>'תקציב החברה לתירות 2024 '!H16</f>
        <v>5061257</v>
      </c>
      <c r="G13" s="434">
        <f>'תקציב החברה לתירות 2024 '!I16</f>
        <v>0</v>
      </c>
      <c r="H13" s="434">
        <f>'תקציב החברה לתירות 2024 '!J16</f>
        <v>0</v>
      </c>
      <c r="I13" s="434">
        <f>'תקציב החברה לתירות 2024 '!K16</f>
        <v>0</v>
      </c>
      <c r="J13" s="434">
        <f>'תקציב החברה לתירות 2024 '!L16</f>
        <v>5061257</v>
      </c>
      <c r="K13" s="434">
        <f>'תקציב החברה לתירות 2024 '!M16</f>
        <v>156</v>
      </c>
      <c r="L13" s="434">
        <f>'תקציב החברה לתירות 2024 '!N16</f>
        <v>7160000</v>
      </c>
      <c r="M13" s="434">
        <f>'תקציב החברה לתירות 2024 '!O16</f>
        <v>200880718</v>
      </c>
      <c r="N13" s="434">
        <f>'תקציב החברה לתירות 2024 '!P16</f>
        <v>246025</v>
      </c>
      <c r="O13" s="434">
        <f>'תקציב החברה לתירות 2024 '!Q16</f>
        <v>0</v>
      </c>
      <c r="P13" s="434">
        <f>'תקציב החברה לתירות 2024 '!R16</f>
        <v>0</v>
      </c>
      <c r="Q13" s="434">
        <f>'תקציב החברה לתירות 2024 '!S16</f>
        <v>0</v>
      </c>
      <c r="R13" s="434">
        <f>'תקציב החברה לתירות 2024 '!T16</f>
        <v>245869</v>
      </c>
      <c r="S13" s="434">
        <f>'תקציב החברה לתירות 2024 '!U16</f>
        <v>6914131</v>
      </c>
      <c r="T13" s="434">
        <f>'תקציב החברה לתירות 2024 '!V16</f>
        <v>6568378</v>
      </c>
      <c r="U13" s="434">
        <f>'תקציב החברה לתירות 2024 '!W16</f>
        <v>0</v>
      </c>
      <c r="V13" s="434">
        <f>'תקציב החברה לתירות 2024 '!X16</f>
        <v>0</v>
      </c>
      <c r="W13" s="434">
        <f>'תקציב החברה לתירות 2024 '!Y16</f>
        <v>0</v>
      </c>
      <c r="X13" s="434">
        <f>'תקציב החברה לתירות 2024 '!Z16</f>
        <v>0</v>
      </c>
      <c r="Y13" s="434">
        <f>'תקציב החברה לתירות 2024 '!AA16</f>
        <v>345753</v>
      </c>
      <c r="Z13" s="434"/>
      <c r="AA13" s="495">
        <f>'תקציב החברה לתירות 2024 '!AL16</f>
        <v>0</v>
      </c>
      <c r="AB13" s="495">
        <f>'תקציב החברה לתירות 2024 '!AD16</f>
        <v>-200869</v>
      </c>
      <c r="AC13" s="495">
        <f>'תקציב החברה לתירות 2024 '!AE16</f>
        <v>510000</v>
      </c>
      <c r="AD13" s="495">
        <f>'תקציב החברה לתירות 2024 '!AF16</f>
        <v>0</v>
      </c>
      <c r="AE13" s="495">
        <f>'תקציב החברה לתירות 2024 '!AG16</f>
        <v>0</v>
      </c>
      <c r="AF13" s="495">
        <f>'תקציב החברה לתירות 2024 '!AH16</f>
        <v>0</v>
      </c>
      <c r="AG13" s="495">
        <f>'תקציב החברה לתירות 2024 '!AI16</f>
        <v>0</v>
      </c>
      <c r="AH13" s="495">
        <f>'תקציב החברה לתירות 2024 '!AJ16</f>
        <v>309131</v>
      </c>
      <c r="AI13" s="495">
        <f>'תקציב החברה לתירות 2024 '!AK16</f>
        <v>6605000</v>
      </c>
      <c r="AJ13" s="495">
        <f>'תקציב החברה לתירות 2024 '!AL16</f>
        <v>0</v>
      </c>
      <c r="AK13" s="495">
        <f>'תקציב החברה לתירות 2024 '!AM16</f>
        <v>-4000000</v>
      </c>
      <c r="AL13" s="495">
        <f>'תקציב החברה לתירות 2024 '!AN16</f>
        <v>2605000</v>
      </c>
      <c r="AM13" s="495">
        <f>'תקציב החברה לתירות 2024 '!AO16</f>
        <v>2259247</v>
      </c>
      <c r="AN13" s="495">
        <f>'תקציב החברה לתירות 2024 '!AP16</f>
        <v>0</v>
      </c>
      <c r="AO13" s="495">
        <f>'תקציב החברה לתירות 2024 '!AQ16</f>
        <v>0</v>
      </c>
      <c r="AP13" s="495">
        <f>'תקציב החברה לתירות 2024 '!AR16</f>
        <v>0</v>
      </c>
      <c r="AQ13" s="495">
        <f>'תקציב החברה לתירות 2024 '!AS16</f>
        <v>0</v>
      </c>
      <c r="AR13" s="495">
        <f>'תקציב החברה לתירות 2024 '!AT16</f>
        <v>345753</v>
      </c>
      <c r="AS13" s="495">
        <f>'תקציב החברה לתירות 2024 '!AU16</f>
        <v>550000</v>
      </c>
      <c r="AT13" s="495">
        <f>'תקציב החברה לתירות 2024 '!AV16</f>
        <v>0</v>
      </c>
      <c r="AU13" s="495">
        <f>'תקציב החברה לתירות 2024 '!AW16</f>
        <v>1445753</v>
      </c>
      <c r="AV13" s="495">
        <f>'תקציב החברה לתירות 2024 '!AX16</f>
        <v>1159247</v>
      </c>
      <c r="AW13" s="495">
        <f>'תקציב החברה לתירות 2024 '!AY16</f>
        <v>1159247</v>
      </c>
      <c r="AX13" s="495">
        <f>'תקציב החברה לתירות 2024 '!AZ16</f>
        <v>0</v>
      </c>
      <c r="AY13" s="495">
        <f>'תקציב החברה לתירות 2024 '!BA16</f>
        <v>0</v>
      </c>
      <c r="AZ13" s="495">
        <f>'תקציב החברה לתירות 2024 '!BB16</f>
        <v>0</v>
      </c>
      <c r="BA13" s="495">
        <f>'תקציב החברה לתירות 2024 '!BC16</f>
        <v>0</v>
      </c>
      <c r="BB13" s="495">
        <f>'תקציב החברה לתירות 2024 '!BD16</f>
        <v>0</v>
      </c>
      <c r="BC13" s="495">
        <f>'תקציב החברה לתירות 2024 '!BE16</f>
        <v>1468378</v>
      </c>
      <c r="BD13" s="495">
        <f>'תקציב החברה לתירות 2024 '!BF16</f>
        <v>5445753</v>
      </c>
      <c r="BE13" s="495">
        <f>'תקציב החברה לתירות 2024 '!BG16</f>
        <v>1468378</v>
      </c>
      <c r="BF13" s="495">
        <f>'תקציב החברה לתירות 2024 '!BH16</f>
        <v>0</v>
      </c>
      <c r="BG13" s="495">
        <f>'תקציב החברה לתירות 2024 '!BI16</f>
        <v>0</v>
      </c>
      <c r="BH13" s="495">
        <f>'תקציב החברה לתירות 2024 '!BJ16</f>
        <v>0</v>
      </c>
      <c r="BI13" s="495">
        <f>'תקציב החברה לתירות 2024 '!BK16</f>
        <v>0</v>
      </c>
      <c r="BJ13" s="495">
        <f>'תקציב החברה לתירות 2024 '!BL16</f>
        <v>0</v>
      </c>
      <c r="BK13" s="22"/>
      <c r="BL13" s="22"/>
      <c r="BM13" s="22"/>
      <c r="BN13" s="22"/>
      <c r="BO13" s="22"/>
      <c r="BP13" s="22"/>
    </row>
    <row r="14" spans="1:68" s="31" customFormat="1" ht="32.1" customHeight="1">
      <c r="A14" s="494" t="s">
        <v>289</v>
      </c>
      <c r="B14" s="434">
        <f>'תקציב אגף המיחשוב 2024 '!D20</f>
        <v>112760000</v>
      </c>
      <c r="C14" s="434">
        <f>'תקציב אגף המיחשוב 2024 '!E20</f>
        <v>73160000</v>
      </c>
      <c r="D14" s="434">
        <f>'תקציב אגף המיחשוב 2024 '!F20</f>
        <v>39600000</v>
      </c>
      <c r="E14" s="434">
        <f>'תקציב אגף המיחשוב 2024 '!G20</f>
        <v>64273000</v>
      </c>
      <c r="F14" s="434">
        <f>'תקציב אגף המיחשוב 2024 '!H20</f>
        <v>54798202</v>
      </c>
      <c r="G14" s="434">
        <f>'תקציב אגף המיחשוב 2024 '!I20</f>
        <v>43536</v>
      </c>
      <c r="H14" s="434">
        <f>'תקציב אגף המיחשוב 2024 '!J20</f>
        <v>9275931</v>
      </c>
      <c r="I14" s="434">
        <f>'תקציב אגף המיחשוב 2024 '!K20</f>
        <v>9319467</v>
      </c>
      <c r="J14" s="434">
        <f>'תקציב אגף המיחשוב 2024 '!L20</f>
        <v>64117669</v>
      </c>
      <c r="K14" s="434">
        <f>'תקציב אגף המיחשוב 2024 '!M20</f>
        <v>38124</v>
      </c>
      <c r="L14" s="434">
        <f>'תקציב אגף המיחשוב 2024 '!N20</f>
        <v>8920000</v>
      </c>
      <c r="M14" s="434">
        <f>'תקציב אגף המיחשוב 2024 '!O20</f>
        <v>39684207</v>
      </c>
      <c r="N14" s="434">
        <f>'תקציב אגף המיחשוב 2024 '!P20</f>
        <v>155331</v>
      </c>
      <c r="O14" s="434">
        <f>'תקציב אגף המיחשוב 2024 '!Q20</f>
        <v>1000000</v>
      </c>
      <c r="P14" s="434">
        <f>'תקציב אגף המיחשוב 2024 '!R20</f>
        <v>0</v>
      </c>
      <c r="Q14" s="434">
        <f>'תקציב אגף המיחשוב 2024 '!S20</f>
        <v>1000000</v>
      </c>
      <c r="R14" s="434">
        <f>'תקציב אגף המיחשוב 2024 '!T20</f>
        <v>1117207</v>
      </c>
      <c r="S14" s="434">
        <f>'תקציב אגף המיחשוב 2024 '!U20</f>
        <v>7802793</v>
      </c>
      <c r="T14" s="434">
        <f>'תקציב אגף המיחשוב 2024 '!V20</f>
        <v>2380000</v>
      </c>
      <c r="U14" s="434">
        <f>'תקציב אגף המיחשוב 2024 '!W20</f>
        <v>4575000</v>
      </c>
      <c r="V14" s="434">
        <f>'תקציב אגף המיחשוב 2024 '!X20</f>
        <v>0</v>
      </c>
      <c r="W14" s="434">
        <f>'תקציב אגף המיחשוב 2024 '!Y20</f>
        <v>0</v>
      </c>
      <c r="X14" s="434">
        <f>'תקציב אגף המיחשוב 2024 '!Z20</f>
        <v>0</v>
      </c>
      <c r="Y14" s="434">
        <f>'תקציב אגף המיחשוב 2024 '!AA20</f>
        <v>847793</v>
      </c>
      <c r="Z14" s="434"/>
      <c r="AA14" s="434">
        <f>'תקציב אגף המיחשוב 2024 '!AL20</f>
        <v>0</v>
      </c>
      <c r="AB14" s="434">
        <f>'תקציב אגף המיחשוב 2024 '!AD20</f>
        <v>-352207</v>
      </c>
      <c r="AC14" s="434">
        <f>'תקציב אגף המיחשוב 2024 '!AE20</f>
        <v>0</v>
      </c>
      <c r="AD14" s="434">
        <f>'תקציב אגף המיחשוב 2024 '!AF20</f>
        <v>0</v>
      </c>
      <c r="AE14" s="434">
        <f>'תקציב אגף המיחשוב 2024 '!AG20</f>
        <v>1275000</v>
      </c>
      <c r="AF14" s="434">
        <f>'תקציב אגף המיחשוב 2024 '!AH20</f>
        <v>0</v>
      </c>
      <c r="AG14" s="434">
        <f>'תקציב אגף המיחשוב 2024 '!AI20</f>
        <v>0</v>
      </c>
      <c r="AH14" s="434">
        <f>'תקציב אגף המיחשוב 2024 '!AJ20</f>
        <v>922793</v>
      </c>
      <c r="AI14" s="434">
        <f>'תקציב אגף המיחשוב 2024 '!AK20</f>
        <v>6880000</v>
      </c>
      <c r="AJ14" s="434">
        <f>'תקציב אגף המיחשוב 2024 '!AL20</f>
        <v>0</v>
      </c>
      <c r="AK14" s="434">
        <f>'תקציב אגף המיחשוב 2024 '!AM20</f>
        <v>0</v>
      </c>
      <c r="AL14" s="434">
        <f>'תקציב אגף המיחשוב 2024 '!AN20</f>
        <v>6880000</v>
      </c>
      <c r="AM14" s="434">
        <f>'תקציב אגף המיחשוב 2024 '!AO20</f>
        <v>2580000</v>
      </c>
      <c r="AN14" s="434">
        <f>'תקציב אגף המיחשוב 2024 '!AP20</f>
        <v>3300000</v>
      </c>
      <c r="AO14" s="434">
        <f>'תקציב אגף המיחשוב 2024 '!AQ20</f>
        <v>0</v>
      </c>
      <c r="AP14" s="434">
        <f>'תקציב אגף המיחשוב 2024 '!AR20</f>
        <v>0</v>
      </c>
      <c r="AQ14" s="434">
        <f>'תקציב אגף המיחשוב 2024 '!AS20</f>
        <v>0</v>
      </c>
      <c r="AR14" s="434">
        <f>'תקציב אגף המיחשוב 2024 '!AT20</f>
        <v>1000000</v>
      </c>
      <c r="AS14" s="434">
        <f>'תקציב אגף המיחשוב 2024 '!AU20</f>
        <v>0</v>
      </c>
      <c r="AT14" s="434">
        <f>'תקציב אגף המיחשוב 2024 '!AV20</f>
        <v>0</v>
      </c>
      <c r="AU14" s="434">
        <f>'תקציב אגף המיחשוב 2024 '!AW20</f>
        <v>5243000</v>
      </c>
      <c r="AV14" s="434">
        <f>'תקציב אגף המיחשוב 2024 '!AX20</f>
        <v>1637000</v>
      </c>
      <c r="AW14" s="434">
        <f>'תקציב אגף המיחשוב 2024 '!AY20</f>
        <v>0</v>
      </c>
      <c r="AX14" s="434">
        <f>'תקציב אגף המיחשוב 2024 '!AZ20</f>
        <v>637000</v>
      </c>
      <c r="AY14" s="434">
        <f>'תקציב אגף המיחשוב 2024 '!BA20</f>
        <v>0</v>
      </c>
      <c r="AZ14" s="434">
        <f>'תקציב אגף המיחשוב 2024 '!BB20</f>
        <v>0</v>
      </c>
      <c r="BA14" s="434">
        <f>'תקציב אגף המיחשוב 2024 '!BC20</f>
        <v>0</v>
      </c>
      <c r="BB14" s="434">
        <f>'תקציב אגף המיחשוב 2024 '!BD20</f>
        <v>1000000</v>
      </c>
      <c r="BC14" s="434">
        <f>'תקציב אגף המיחשוב 2024 '!BE20</f>
        <v>2559793</v>
      </c>
      <c r="BD14" s="434">
        <f>'תקציב אגף המיחשוב 2024 '!BF20</f>
        <v>5243000</v>
      </c>
      <c r="BE14" s="434">
        <f>'תקציב אגף המיחשוב 2024 '!BG20</f>
        <v>-200000</v>
      </c>
      <c r="BF14" s="434">
        <f>'תקציב אגף המיחשוב 2024 '!BH20</f>
        <v>1912000</v>
      </c>
      <c r="BG14" s="434">
        <f>'תקציב אגף המיחשוב 2024 '!BI20</f>
        <v>0</v>
      </c>
      <c r="BH14" s="434">
        <f>'תקציב אגף המיחשוב 2024 '!BJ20</f>
        <v>0</v>
      </c>
      <c r="BI14" s="434">
        <f>'תקציב אגף המיחשוב 2024 '!BK20</f>
        <v>0</v>
      </c>
      <c r="BJ14" s="434">
        <f>'תקציב אגף המיחשוב 2024 '!BL20</f>
        <v>847793</v>
      </c>
      <c r="BK14" s="22"/>
      <c r="BL14" s="22"/>
      <c r="BM14" s="22"/>
      <c r="BN14" s="22"/>
      <c r="BO14" s="22"/>
      <c r="BP14" s="22"/>
    </row>
    <row r="15" spans="1:68" s="31" customFormat="1" ht="32.1" customHeight="1">
      <c r="A15" s="494" t="s">
        <v>288</v>
      </c>
      <c r="B15" s="434">
        <f>'תקציב אגף נכסים וביטוח 2024'!D21</f>
        <v>127989000</v>
      </c>
      <c r="C15" s="434">
        <f>'תקציב אגף נכסים וביטוח 2024'!E21</f>
        <v>122959000</v>
      </c>
      <c r="D15" s="434">
        <f>'תקציב אגף נכסים וביטוח 2024'!F21</f>
        <v>5030000</v>
      </c>
      <c r="E15" s="434">
        <f>'תקציב אגף נכסים וביטוח 2024'!G21</f>
        <v>58821825</v>
      </c>
      <c r="F15" s="434">
        <f>'תקציב אגף נכסים וביטוח 2024'!H21</f>
        <v>45315356</v>
      </c>
      <c r="G15" s="434">
        <f>'תקציב אגף נכסים וביטוח 2024'!I21</f>
        <v>0</v>
      </c>
      <c r="H15" s="434">
        <f>'תקציב אגף נכסים וביטוח 2024'!J21</f>
        <v>21341</v>
      </c>
      <c r="I15" s="434">
        <f>'תקציב אגף נכסים וביטוח 2024'!K21</f>
        <v>21341</v>
      </c>
      <c r="J15" s="434">
        <f>'תקציב אגף נכסים וביטוח 2024'!L21</f>
        <v>45336697</v>
      </c>
      <c r="K15" s="434">
        <f>'תקציב אגף נכסים וביטוח 2024'!M21</f>
        <v>50128</v>
      </c>
      <c r="L15" s="434">
        <f>'תקציב אגף נכסים וביטוח 2024'!N21</f>
        <v>17240000</v>
      </c>
      <c r="M15" s="434">
        <f>'תקציב אגף נכסים וביטוח 2024'!O21</f>
        <v>65362175</v>
      </c>
      <c r="N15" s="434">
        <f>'תקציב אגף נכסים וביטוח 2024'!P21</f>
        <v>13485128</v>
      </c>
      <c r="O15" s="434">
        <f>'תקציב אגף נכסים וביטוח 2024'!Q21</f>
        <v>0</v>
      </c>
      <c r="P15" s="434">
        <f>'תקציב אגף נכסים וביטוח 2024'!R21</f>
        <v>770000</v>
      </c>
      <c r="Q15" s="434">
        <f>'תקציב אגף נכסים וביטוח 2024'!S21</f>
        <v>770000</v>
      </c>
      <c r="R15" s="434">
        <f>'תקציב אגף נכסים וביטוח 2024'!T21</f>
        <v>14205000</v>
      </c>
      <c r="S15" s="434">
        <f>'תקציב אגף נכסים וביטוח 2024'!U21</f>
        <v>3035000</v>
      </c>
      <c r="T15" s="434">
        <f>'תקציב אגף נכסים וביטוח 2024'!V21</f>
        <v>3805000</v>
      </c>
      <c r="U15" s="434">
        <f>'תקציב אגף נכסים וביטוח 2024'!W21</f>
        <v>0</v>
      </c>
      <c r="V15" s="434">
        <f>'תקציב אגף נכסים וביטוח 2024'!X21</f>
        <v>-770000</v>
      </c>
      <c r="W15" s="434">
        <f>'תקציב אגף נכסים וביטוח 2024'!Y21</f>
        <v>0</v>
      </c>
      <c r="X15" s="434">
        <f>'תקציב אגף נכסים וביטוח 2024'!Z21</f>
        <v>0</v>
      </c>
      <c r="Y15" s="434">
        <f>'תקציב אגף נכסים וביטוח 2024'!AA21</f>
        <v>0</v>
      </c>
      <c r="Z15" s="434"/>
      <c r="AA15" s="495">
        <f>'תקציב אגף נכסים וביטוח 2024'!AL21</f>
        <v>0</v>
      </c>
      <c r="AB15" s="495">
        <f>'תקציב אגף נכסים וביטוח 2024'!AD21</f>
        <v>-1845000</v>
      </c>
      <c r="AC15" s="495">
        <f>'תקציב אגף נכסים וביטוח 2024'!AE21</f>
        <v>3737500</v>
      </c>
      <c r="AD15" s="495">
        <f>'תקציב אגף נכסים וביטוח 2024'!AF21</f>
        <v>0</v>
      </c>
      <c r="AE15" s="495">
        <f>'תקציב אגף נכסים וביטוח 2024'!AG21</f>
        <v>0</v>
      </c>
      <c r="AF15" s="495">
        <f>'תקציב אגף נכסים וביטוח 2024'!AH21</f>
        <v>0</v>
      </c>
      <c r="AG15" s="495">
        <f>'תקציב אגף נכסים וביטוח 2024'!AI21</f>
        <v>0</v>
      </c>
      <c r="AH15" s="495">
        <f>'תקציב אגף נכסים וביטוח 2024'!AJ21</f>
        <v>1892500</v>
      </c>
      <c r="AI15" s="495">
        <f>'תקציב אגף נכסים וביטוח 2024'!AK21</f>
        <v>1142500</v>
      </c>
      <c r="AJ15" s="495">
        <f>'תקציב אגף נכסים וביטוח 2024'!AL21</f>
        <v>0</v>
      </c>
      <c r="AK15" s="495">
        <f>'תקציב אגף נכסים וביטוח 2024'!AM21</f>
        <v>0</v>
      </c>
      <c r="AL15" s="495">
        <f>'תקציב אגף נכסים וביטוח 2024'!AN21</f>
        <v>1142500</v>
      </c>
      <c r="AM15" s="495">
        <f>'תקציב אגף נכסים וביטוח 2024'!AO21</f>
        <v>1142500</v>
      </c>
      <c r="AN15" s="495">
        <f>'תקציב אגף נכסים וביטוח 2024'!AP21</f>
        <v>0</v>
      </c>
      <c r="AO15" s="495">
        <f>'תקציב אגף נכסים וביטוח 2024'!AQ21</f>
        <v>0</v>
      </c>
      <c r="AP15" s="495">
        <f>'תקציב אגף נכסים וביטוח 2024'!AR21</f>
        <v>0</v>
      </c>
      <c r="AQ15" s="495">
        <f>'תקציב אגף נכסים וביטוח 2024'!AS21</f>
        <v>0</v>
      </c>
      <c r="AR15" s="495">
        <f>'תקציב אגף נכסים וביטוח 2024'!AT21</f>
        <v>0</v>
      </c>
      <c r="AS15" s="495">
        <f>'תקציב אגף נכסים וביטוח 2024'!AU21</f>
        <v>0</v>
      </c>
      <c r="AT15" s="495">
        <f>'תקציב אגף נכסים וביטוח 2024'!AV21</f>
        <v>0</v>
      </c>
      <c r="AU15" s="495">
        <f>'תקציב אגף נכסים וביטוח 2024'!AW21</f>
        <v>5000</v>
      </c>
      <c r="AV15" s="495">
        <f>'תקציב אגף נכסים וביטוח 2024'!AX21</f>
        <v>1137500</v>
      </c>
      <c r="AW15" s="495">
        <f>'תקציב אגף נכסים וביטוח 2024'!AY21</f>
        <v>1137500</v>
      </c>
      <c r="AX15" s="495">
        <f>'תקציב אגף נכסים וביטוח 2024'!AZ21</f>
        <v>0</v>
      </c>
      <c r="AY15" s="495">
        <f>'תקציב אגף נכסים וביטוח 2024'!BA21</f>
        <v>0</v>
      </c>
      <c r="AZ15" s="495">
        <f>'תקציב אגף נכסים וביטוח 2024'!BB21</f>
        <v>0</v>
      </c>
      <c r="BA15" s="495">
        <f>'תקציב אגף נכסים וביטוח 2024'!BC21</f>
        <v>0</v>
      </c>
      <c r="BB15" s="495">
        <f>'תקציב אגף נכסים וביטוח 2024'!BD21</f>
        <v>0</v>
      </c>
      <c r="BC15" s="495">
        <f>'תקציב אגף נכסים וביטוח 2024'!BE21</f>
        <v>3030000</v>
      </c>
      <c r="BD15" s="495">
        <f>'תקציב אגף נכסים וביטוח 2024'!BF21</f>
        <v>5000</v>
      </c>
      <c r="BE15" s="495">
        <f>'תקציב אגף נכסים וביטוח 2024'!BG21</f>
        <v>3800000</v>
      </c>
      <c r="BF15" s="495">
        <f>'תקציב אגף נכסים וביטוח 2024'!BH21</f>
        <v>0</v>
      </c>
      <c r="BG15" s="495">
        <f>'תקציב אגף נכסים וביטוח 2024'!BI21</f>
        <v>-770000</v>
      </c>
      <c r="BH15" s="495">
        <f>'תקציב אגף נכסים וביטוח 2024'!BJ21</f>
        <v>0</v>
      </c>
      <c r="BI15" s="495">
        <f>'תקציב אגף נכסים וביטוח 2024'!BK21</f>
        <v>0</v>
      </c>
      <c r="BJ15" s="495">
        <f>'תקציב אגף נכסים וביטוח 2024'!BL21</f>
        <v>0</v>
      </c>
      <c r="BK15" s="22"/>
      <c r="BL15" s="22"/>
      <c r="BM15" s="22"/>
      <c r="BN15" s="22"/>
      <c r="BO15" s="22"/>
      <c r="BP15" s="22"/>
    </row>
    <row r="16" spans="1:68" s="31" customFormat="1" ht="32.1" customHeight="1">
      <c r="A16" s="389" t="s">
        <v>175</v>
      </c>
      <c r="B16" s="434">
        <f>'תקציב איכות הסביבה 2024  '!D14+'תקציב מינהל כללי 2024  '!D17</f>
        <v>163500706</v>
      </c>
      <c r="C16" s="434">
        <f>'תקציב איכות הסביבה 2024  '!E14+'תקציב מינהל כללי 2024  '!E17</f>
        <v>134311103</v>
      </c>
      <c r="D16" s="434">
        <f>'תקציב איכות הסביבה 2024  '!F14+'תקציב מינהל כללי 2024  '!F17</f>
        <v>29189603</v>
      </c>
      <c r="E16" s="434">
        <f>'תקציב איכות הסביבה 2024  '!G14+'תקציב מינהל כללי 2024  '!G17</f>
        <v>116348330</v>
      </c>
      <c r="F16" s="434">
        <f>'תקציב איכות הסביבה 2024  '!H14+'תקציב מינהל כללי 2024  '!H17</f>
        <v>104960629</v>
      </c>
      <c r="G16" s="434">
        <f>'תקציב איכות הסביבה 2024  '!I14+'תקציב מינהל כללי 2024  '!I17</f>
        <v>140400</v>
      </c>
      <c r="H16" s="434">
        <f>'תקציב איכות הסביבה 2024  '!J14+'תקציב מינהל כללי 2024  '!J17</f>
        <v>1367247</v>
      </c>
      <c r="I16" s="434">
        <f>'תקציב איכות הסביבה 2024  '!K14+'תקציב מינהל כללי 2024  '!K17</f>
        <v>1507647</v>
      </c>
      <c r="J16" s="434">
        <f>'תקציב איכות הסביבה 2024  '!L14+'תקציב מינהל כללי 2024  '!L17</f>
        <v>106468276</v>
      </c>
      <c r="K16" s="434">
        <f>'תקציב איכות הסביבה 2024  '!M14+'תקציב מינהל כללי 2024  '!M17</f>
        <v>1711808</v>
      </c>
      <c r="L16" s="434">
        <f>'תקציב איכות הסביבה 2024  '!N14+'תקציב מינהל כללי 2024  '!N17</f>
        <v>15179000</v>
      </c>
      <c r="M16" s="434">
        <f>'תקציב איכות הסביבה 2024  '!O14+'תקציב מינהל כללי 2024  '!O17</f>
        <v>40141622</v>
      </c>
      <c r="N16" s="434">
        <f>'תקציב איכות הסביבה 2024  '!P14+'תקציב מינהל כללי 2024  '!P17</f>
        <v>9880054</v>
      </c>
      <c r="O16" s="434">
        <f>'תקציב איכות הסביבה 2024  '!Q14+'תקציב מינהל כללי 2024  '!Q17</f>
        <v>972000</v>
      </c>
      <c r="P16" s="434">
        <f>'תקציב איכות הסביבה 2024  '!R14+'תקציב מינהל כללי 2024  '!R17</f>
        <v>0</v>
      </c>
      <c r="Q16" s="434">
        <f>'תקציב איכות הסביבה 2024  '!S14+'תקציב מינהל כללי 2024  '!S17</f>
        <v>972000</v>
      </c>
      <c r="R16" s="434">
        <f>'תקציב איכות הסביבה 2024  '!T14+'תקציב מינהל כללי 2024  '!T17</f>
        <v>9140246</v>
      </c>
      <c r="S16" s="434">
        <f>'תקציב איכות הסביבה 2024  '!U14+'תקציב מינהל כללי 2024  '!U17</f>
        <v>6038754</v>
      </c>
      <c r="T16" s="434">
        <f>'תקציב איכות הסביבה 2024  '!V14+'תקציב מינהל כללי 2024  '!V17</f>
        <v>7909683</v>
      </c>
      <c r="U16" s="434">
        <f>'תקציב איכות הסביבה 2024  '!W14+'תקציב מינהל כללי 2024  '!W17</f>
        <v>-2465962</v>
      </c>
      <c r="V16" s="434">
        <f>'תקציב איכות הסביבה 2024  '!X14+'תקציב מינהל כללי 2024  '!X17</f>
        <v>0</v>
      </c>
      <c r="W16" s="434">
        <f>'תקציב איכות הסביבה 2024  '!Y14+'תקציב מינהל כללי 2024  '!Y17</f>
        <v>0</v>
      </c>
      <c r="X16" s="434">
        <f>'תקציב איכות הסביבה 2024  '!Z14+'תקציב מינהל כללי 2024  '!Z17</f>
        <v>0</v>
      </c>
      <c r="Y16" s="434">
        <f>'תקציב איכות הסביבה 2024  '!AA14+'תקציב מינהל כללי 2024  '!AA17</f>
        <v>595033</v>
      </c>
      <c r="Z16" s="434"/>
      <c r="AA16" s="434">
        <f>'תקציב איכות הסביבה 2024  '!AL14+'תקציב מינהל כללי 2024  '!AL17</f>
        <v>0</v>
      </c>
      <c r="AB16" s="434">
        <f>'תקציב איכות הסביבה 2024  '!AD14+'תקציב מינהל כללי 2024  '!AD17</f>
        <v>-6142624</v>
      </c>
      <c r="AC16" s="434">
        <f>'תקציב איכות הסביבה 2024  '!AE14+'תקציב מינהל כללי 2024  '!AE17</f>
        <v>3866000</v>
      </c>
      <c r="AD16" s="434">
        <f>'תקציב איכות הסביבה 2024  '!AF14+'תקציב מינהל כללי 2024  '!AF17</f>
        <v>-180000</v>
      </c>
      <c r="AE16" s="434">
        <f>'תקציב איכות הסביבה 2024  '!AG14+'תקציב מינהל כללי 2024  '!AG17</f>
        <v>250000</v>
      </c>
      <c r="AF16" s="434">
        <f>'תקציב איכות הסביבה 2024  '!AH14+'תקציב מינהל כללי 2024  '!AH17</f>
        <v>5910000</v>
      </c>
      <c r="AG16" s="434">
        <f>'תקציב איכות הסביבה 2024  '!AI14+'תקציב מינהל כללי 2024  '!AI17</f>
        <v>0</v>
      </c>
      <c r="AH16" s="434">
        <f>'תקציב איכות הסביבה 2024  '!AJ14+'תקציב מינהל כללי 2024  '!AJ17</f>
        <v>3703376</v>
      </c>
      <c r="AI16" s="434">
        <f>'תקציב איכות הסביבה 2024  '!AK14+'תקציב מינהל כללי 2024  '!AK17</f>
        <v>2335378</v>
      </c>
      <c r="AJ16" s="434">
        <f>'תקציב איכות הסביבה 2024  '!AL14+'תקציב מינהל כללי 2024  '!AL17</f>
        <v>0</v>
      </c>
      <c r="AK16" s="434">
        <f>'תקציב איכות הסביבה 2024  '!AM14+'תקציב מינהל כללי 2024  '!AM17</f>
        <v>0</v>
      </c>
      <c r="AL16" s="434">
        <f>'תקציב איכות הסביבה 2024  '!AN14+'תקציב מינהל כללי 2024  '!AN17</f>
        <v>2335378</v>
      </c>
      <c r="AM16" s="434">
        <f>'תקציב איכות הסביבה 2024  '!AO14+'תקציב מינהל כללי 2024  '!AO17</f>
        <v>2024000</v>
      </c>
      <c r="AN16" s="434">
        <f>'תקציב איכות הסביבה 2024  '!AP14+'תקציב מינהל כללי 2024  '!AP17</f>
        <v>-4661</v>
      </c>
      <c r="AO16" s="434">
        <f>'תקציב איכות הסביבה 2024  '!AQ14+'תקציב מינהל כללי 2024  '!AQ17</f>
        <v>0</v>
      </c>
      <c r="AP16" s="434">
        <f>'תקציב איכות הסביבה 2024  '!AR14+'תקציב מינהל כללי 2024  '!AR17</f>
        <v>0</v>
      </c>
      <c r="AQ16" s="434">
        <f>'תקציב איכות הסביבה 2024  '!AS14+'תקציב מינהל כללי 2024  '!AS17</f>
        <v>0</v>
      </c>
      <c r="AR16" s="434">
        <f>'תקציב איכות הסביבה 2024  '!AT14+'תקציב מינהל כללי 2024  '!AT17</f>
        <v>316039</v>
      </c>
      <c r="AS16" s="434">
        <f>'תקציב איכות הסביבה 2024  '!AU14+'תקציב מינהל כללי 2024  '!AU17</f>
        <v>-1000000</v>
      </c>
      <c r="AT16" s="434">
        <f>'תקציב איכות הסביבה 2024  '!AV14+'תקציב מינהל כללי 2024  '!AV17</f>
        <v>-1000000</v>
      </c>
      <c r="AU16" s="434">
        <f>'תקציב איכות הסביבה 2024  '!AW14+'תקציב מינהל כללי 2024  '!AW17</f>
        <v>1260378</v>
      </c>
      <c r="AV16" s="434">
        <f>'תקציב איכות הסביבה 2024  '!AX14+'תקציב מינהל כללי 2024  '!AX17</f>
        <v>1075000</v>
      </c>
      <c r="AW16" s="434">
        <f>'תקציב איכות הסביבה 2024  '!AY14+'תקציב מינהל כללי 2024  '!AY17</f>
        <v>758961</v>
      </c>
      <c r="AX16" s="434">
        <f>'תקציב איכות הסביבה 2024  '!AZ14+'תקציב מינהל כללי 2024  '!AZ17</f>
        <v>0</v>
      </c>
      <c r="AY16" s="434">
        <f>'תקציב איכות הסביבה 2024  '!BA14+'תקציב מינהל כללי 2024  '!BA17</f>
        <v>0</v>
      </c>
      <c r="AZ16" s="434">
        <f>'תקציב איכות הסביבה 2024  '!BB14+'תקציב מינהל כללי 2024  '!BB17</f>
        <v>0</v>
      </c>
      <c r="BA16" s="434">
        <f>'תקציב איכות הסביבה 2024  '!BC14+'תקציב מינהל כללי 2024  '!BC17</f>
        <v>0</v>
      </c>
      <c r="BB16" s="434">
        <f>'תקציב איכות הסביבה 2024  '!BD14+'תקציב מינהל כללי 2024  '!BD17</f>
        <v>316039</v>
      </c>
      <c r="BC16" s="434">
        <f>'תקציב איכות הסביבה 2024  '!BE14+'תקציב מינהל כללי 2024  '!BE17</f>
        <v>4778376</v>
      </c>
      <c r="BD16" s="434">
        <f>'תקציב איכות הסביבה 2024  '!BF14+'תקציב מינהל כללי 2024  '!BF17</f>
        <v>1260378</v>
      </c>
      <c r="BE16" s="434">
        <f>'תקציב איכות הסביבה 2024  '!BG14+'תקציב מינהל כללי 2024  '!BG17</f>
        <v>6605683</v>
      </c>
      <c r="BF16" s="434">
        <f>'תקציב איכות הסביבה 2024  '!BH14+'תקציב מינהל כללי 2024  '!BH17</f>
        <v>-2422340</v>
      </c>
      <c r="BG16" s="434">
        <f>'תקציב איכות הסביבה 2024  '!BI14+'תקציב מינהל כללי 2024  '!BI17</f>
        <v>0</v>
      </c>
      <c r="BH16" s="434">
        <f>'תקציב איכות הסביבה 2024  '!BJ14+'תקציב מינהל כללי 2024  '!BJ17</f>
        <v>0</v>
      </c>
      <c r="BI16" s="434">
        <f>'תקציב איכות הסביבה 2024  '!BK14+'תקציב מינהל כללי 2024  '!BK17</f>
        <v>0</v>
      </c>
      <c r="BJ16" s="434">
        <f>'תקציב איכות הסביבה 2024  '!BL14+'תקציב מינהל כללי 2024  '!BL17</f>
        <v>595033</v>
      </c>
      <c r="BK16" s="22"/>
      <c r="BL16" s="22"/>
      <c r="BM16" s="22"/>
      <c r="BN16" s="22"/>
      <c r="BO16" s="22"/>
      <c r="BP16" s="22"/>
    </row>
    <row r="17" spans="1:73" s="192" customFormat="1" ht="32.1" customHeight="1">
      <c r="A17" s="389" t="s">
        <v>141</v>
      </c>
      <c r="B17" s="271">
        <f>SUM(B7:B16)</f>
        <v>5913581917</v>
      </c>
      <c r="C17" s="271">
        <f t="shared" ref="C17:BJ17" si="0">SUM(C7:C16)</f>
        <v>5106224876</v>
      </c>
      <c r="D17" s="271">
        <f t="shared" si="0"/>
        <v>807206836</v>
      </c>
      <c r="E17" s="271">
        <f t="shared" si="0"/>
        <v>2935844057</v>
      </c>
      <c r="F17" s="271">
        <f t="shared" si="0"/>
        <v>2781629851</v>
      </c>
      <c r="G17" s="271">
        <f t="shared" si="0"/>
        <v>7513991</v>
      </c>
      <c r="H17" s="271">
        <f t="shared" si="0"/>
        <v>56461319</v>
      </c>
      <c r="I17" s="271">
        <f t="shared" si="0"/>
        <v>63975310</v>
      </c>
      <c r="J17" s="271">
        <f t="shared" si="0"/>
        <v>2845605161</v>
      </c>
      <c r="K17" s="271">
        <f t="shared" si="0"/>
        <v>3087581</v>
      </c>
      <c r="L17" s="271">
        <f t="shared" si="0"/>
        <v>659697415</v>
      </c>
      <c r="M17" s="271">
        <f t="shared" si="0"/>
        <v>2405191760</v>
      </c>
      <c r="N17" s="271">
        <f t="shared" si="0"/>
        <v>90238896</v>
      </c>
      <c r="O17" s="271">
        <f t="shared" si="0"/>
        <v>101412155</v>
      </c>
      <c r="P17" s="271">
        <f t="shared" si="0"/>
        <v>18470000</v>
      </c>
      <c r="Q17" s="271">
        <f t="shared" si="0"/>
        <v>119882155</v>
      </c>
      <c r="R17" s="271">
        <f t="shared" si="0"/>
        <v>207033470</v>
      </c>
      <c r="S17" s="271">
        <f t="shared" si="0"/>
        <v>452663945</v>
      </c>
      <c r="T17" s="271">
        <f t="shared" si="0"/>
        <v>273998754</v>
      </c>
      <c r="U17" s="271">
        <f t="shared" si="0"/>
        <v>30000000</v>
      </c>
      <c r="V17" s="271">
        <f t="shared" si="0"/>
        <v>-770000</v>
      </c>
      <c r="W17" s="271">
        <f t="shared" si="0"/>
        <v>40141186</v>
      </c>
      <c r="X17" s="271">
        <f t="shared" si="0"/>
        <v>0</v>
      </c>
      <c r="Y17" s="271">
        <f t="shared" si="0"/>
        <v>109294005</v>
      </c>
      <c r="Z17" s="271">
        <f t="shared" si="0"/>
        <v>0</v>
      </c>
      <c r="AA17" s="271">
        <f t="shared" si="0"/>
        <v>47800000</v>
      </c>
      <c r="AB17" s="271">
        <f t="shared" si="0"/>
        <v>-38584512</v>
      </c>
      <c r="AC17" s="271">
        <f t="shared" si="0"/>
        <v>58476395</v>
      </c>
      <c r="AD17" s="271">
        <f t="shared" si="0"/>
        <v>54515000</v>
      </c>
      <c r="AE17" s="271">
        <f t="shared" si="0"/>
        <v>36239766</v>
      </c>
      <c r="AF17" s="271">
        <f t="shared" si="0"/>
        <v>66282246</v>
      </c>
      <c r="AG17" s="271">
        <f t="shared" si="0"/>
        <v>0</v>
      </c>
      <c r="AH17" s="271">
        <f t="shared" si="0"/>
        <v>224728895</v>
      </c>
      <c r="AI17" s="271">
        <f t="shared" si="0"/>
        <v>227935050</v>
      </c>
      <c r="AJ17" s="271">
        <f t="shared" si="0"/>
        <v>47800000</v>
      </c>
      <c r="AK17" s="271">
        <f t="shared" si="0"/>
        <v>-42740000</v>
      </c>
      <c r="AL17" s="271">
        <f t="shared" si="0"/>
        <v>185195050</v>
      </c>
      <c r="AM17" s="271">
        <f t="shared" si="0"/>
        <v>82928158</v>
      </c>
      <c r="AN17" s="271">
        <f t="shared" si="0"/>
        <v>8791339</v>
      </c>
      <c r="AO17" s="271">
        <f t="shared" si="0"/>
        <v>0</v>
      </c>
      <c r="AP17" s="271">
        <f t="shared" si="0"/>
        <v>15691186</v>
      </c>
      <c r="AQ17" s="271">
        <f t="shared" si="0"/>
        <v>0</v>
      </c>
      <c r="AR17" s="271">
        <f t="shared" si="0"/>
        <v>77784367</v>
      </c>
      <c r="AS17" s="753">
        <f t="shared" si="0"/>
        <v>21016972</v>
      </c>
      <c r="AT17" s="753">
        <f t="shared" si="0"/>
        <v>30310000</v>
      </c>
      <c r="AU17" s="271">
        <f t="shared" si="0"/>
        <v>71230383</v>
      </c>
      <c r="AV17" s="271">
        <f t="shared" si="0"/>
        <v>113964667</v>
      </c>
      <c r="AW17" s="271">
        <f t="shared" si="0"/>
        <v>66024826</v>
      </c>
      <c r="AX17" s="271">
        <f t="shared" si="0"/>
        <v>4433000</v>
      </c>
      <c r="AY17" s="271">
        <f t="shared" si="0"/>
        <v>0</v>
      </c>
      <c r="AZ17" s="271">
        <f t="shared" si="0"/>
        <v>6705000</v>
      </c>
      <c r="BA17" s="271">
        <f t="shared" si="0"/>
        <v>0</v>
      </c>
      <c r="BB17" s="271">
        <f t="shared" si="0"/>
        <v>36801841</v>
      </c>
      <c r="BC17" s="271">
        <f t="shared" si="0"/>
        <v>338693562</v>
      </c>
      <c r="BD17" s="271">
        <f t="shared" si="0"/>
        <v>113970383</v>
      </c>
      <c r="BE17" s="271">
        <f t="shared" si="0"/>
        <v>214435961</v>
      </c>
      <c r="BF17" s="271">
        <f t="shared" si="0"/>
        <v>26171122</v>
      </c>
      <c r="BG17" s="271">
        <f t="shared" si="0"/>
        <v>-770000</v>
      </c>
      <c r="BH17" s="271">
        <f t="shared" si="0"/>
        <v>31405000</v>
      </c>
      <c r="BI17" s="271">
        <f t="shared" si="0"/>
        <v>0</v>
      </c>
      <c r="BJ17" s="271">
        <f t="shared" si="0"/>
        <v>67451479</v>
      </c>
      <c r="BK17" s="22"/>
      <c r="BL17" s="22"/>
      <c r="BM17" s="22"/>
      <c r="BN17" s="22"/>
      <c r="BO17" s="22"/>
      <c r="BP17" s="22"/>
    </row>
    <row r="18" spans="1:73">
      <c r="A18" s="191"/>
      <c r="J18" s="35"/>
      <c r="N18" s="35"/>
      <c r="T18" s="36"/>
      <c r="U18" s="36"/>
      <c r="V18" s="36"/>
      <c r="W18" s="36"/>
      <c r="X18" s="32"/>
      <c r="Y18" s="22"/>
      <c r="Z18" s="22"/>
      <c r="AO18" s="32"/>
      <c r="AP18" s="32"/>
    </row>
    <row r="19" spans="1:73" hidden="1">
      <c r="A19" s="191"/>
      <c r="J19" s="35"/>
      <c r="N19" s="35"/>
      <c r="T19" s="562"/>
      <c r="U19" s="36"/>
      <c r="V19" s="36"/>
      <c r="W19" s="36"/>
      <c r="X19" s="36"/>
      <c r="Y19" s="36"/>
      <c r="AF19" s="561"/>
      <c r="AG19" s="561"/>
      <c r="AL19" s="563">
        <f>AI17+AK17</f>
        <v>185195050</v>
      </c>
      <c r="AS19" s="611" t="s">
        <v>1061</v>
      </c>
      <c r="AT19" s="612"/>
      <c r="AV19" s="563">
        <f>AU17+AV17</f>
        <v>185195050</v>
      </c>
      <c r="BB19" s="563">
        <f>SUM(AW17:BB17)</f>
        <v>113964667</v>
      </c>
      <c r="BD19" s="563">
        <f>S17-BC17</f>
        <v>113970383</v>
      </c>
      <c r="BJ19" s="563">
        <f>SUM(BE17:BJ17)</f>
        <v>338693562</v>
      </c>
    </row>
    <row r="20" spans="1:73">
      <c r="A20" s="191"/>
      <c r="J20" s="35"/>
      <c r="N20" s="35"/>
      <c r="T20" s="562"/>
      <c r="U20" s="36"/>
      <c r="V20" s="36"/>
      <c r="W20" s="36"/>
      <c r="X20" s="36"/>
      <c r="Y20" s="36"/>
      <c r="AF20" s="32"/>
      <c r="AG20" s="32"/>
      <c r="AI20" s="561"/>
    </row>
    <row r="21" spans="1:73">
      <c r="A21" s="35"/>
      <c r="J21" s="35"/>
      <c r="N21" s="35"/>
      <c r="T21" s="562"/>
      <c r="Y21" s="39"/>
      <c r="AV21" s="563">
        <f>AL17-AU17</f>
        <v>113964667</v>
      </c>
    </row>
    <row r="22" spans="1:73">
      <c r="J22" s="35"/>
      <c r="N22" s="35"/>
      <c r="T22" s="562"/>
      <c r="Z22" s="35"/>
      <c r="AA22" s="35"/>
      <c r="AB22" s="35"/>
    </row>
    <row r="23" spans="1:73">
      <c r="J23" s="35"/>
      <c r="N23" s="35"/>
      <c r="Z23" s="35"/>
      <c r="AA23" s="35"/>
      <c r="AB23" s="35"/>
      <c r="AV23" s="563">
        <f>AV17+AH17</f>
        <v>338693562</v>
      </c>
    </row>
    <row r="24" spans="1:73">
      <c r="J24" s="35"/>
      <c r="N24" s="35"/>
      <c r="Z24" s="35"/>
      <c r="AA24" s="35"/>
      <c r="AB24" s="35"/>
    </row>
    <row r="25" spans="1:73" s="22" customForma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J25" s="32"/>
      <c r="AL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Q25" s="32"/>
      <c r="BR25" s="32"/>
      <c r="BS25" s="32"/>
      <c r="BT25" s="32"/>
      <c r="BU25" s="32"/>
    </row>
    <row r="26" spans="1:73" s="22" customForma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J26" s="32"/>
      <c r="AL26" s="32"/>
      <c r="AQ26" s="32"/>
      <c r="AR26" s="32"/>
      <c r="AS26" s="32"/>
      <c r="AT26" s="32"/>
      <c r="AU26" s="32"/>
      <c r="AV26" s="563">
        <f>'ריכוז אגפים'!O17</f>
        <v>114747504</v>
      </c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Q26" s="32"/>
      <c r="BR26" s="32"/>
      <c r="BS26" s="32"/>
      <c r="BT26" s="32"/>
      <c r="BU26" s="32"/>
    </row>
    <row r="27" spans="1:73" s="22" customFormat="1">
      <c r="A27" s="276"/>
      <c r="B27" s="260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J27" s="32"/>
      <c r="AL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Q27" s="32"/>
      <c r="BR27" s="32"/>
      <c r="BS27" s="32"/>
      <c r="BT27" s="32"/>
      <c r="BU27" s="32"/>
    </row>
    <row r="28" spans="1:73" s="22" customFormat="1">
      <c r="A28" s="276"/>
      <c r="B28" s="260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J28" s="32"/>
      <c r="AL28" s="32"/>
      <c r="AQ28" s="32"/>
      <c r="AR28" s="32"/>
      <c r="AS28" s="32"/>
      <c r="AT28" s="32"/>
      <c r="AU28" s="32"/>
      <c r="AV28" s="33">
        <f>AV26-AV17</f>
        <v>782837</v>
      </c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Q28" s="32"/>
      <c r="BR28" s="32"/>
      <c r="BS28" s="32"/>
      <c r="BT28" s="32"/>
      <c r="BU28" s="32"/>
    </row>
    <row r="29" spans="1:73" s="22" customFormat="1">
      <c r="A29" s="276"/>
      <c r="B29" s="26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J29" s="32"/>
      <c r="AL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Q29" s="32"/>
      <c r="BR29" s="32"/>
      <c r="BS29" s="32"/>
      <c r="BT29" s="32"/>
      <c r="BU29" s="32"/>
    </row>
    <row r="30" spans="1:73" s="22" customFormat="1">
      <c r="A30" s="276"/>
      <c r="B30" s="260"/>
      <c r="C30" s="35"/>
      <c r="D30" s="35"/>
      <c r="E30" s="35"/>
      <c r="F30" s="35"/>
      <c r="G30" s="35"/>
      <c r="H30" s="35"/>
      <c r="I30" s="35"/>
      <c r="J30" s="31"/>
      <c r="K30" s="35"/>
      <c r="L30" s="35"/>
      <c r="M30" s="260"/>
      <c r="N30" s="31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J30" s="32"/>
      <c r="AL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Q30" s="32"/>
      <c r="BR30" s="32"/>
      <c r="BS30" s="32"/>
      <c r="BT30" s="32"/>
      <c r="BU30" s="32"/>
    </row>
    <row r="31" spans="1:73" s="22" customFormat="1">
      <c r="A31" s="276"/>
      <c r="B31" s="260"/>
      <c r="C31" s="35"/>
      <c r="D31" s="35"/>
      <c r="E31" s="35"/>
      <c r="F31" s="35"/>
      <c r="G31" s="35"/>
      <c r="H31" s="35"/>
      <c r="I31" s="35"/>
      <c r="J31" s="31"/>
      <c r="K31" s="35"/>
      <c r="L31" s="35"/>
      <c r="M31" s="260"/>
      <c r="N31" s="31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J31" s="32"/>
      <c r="AL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Q31" s="32"/>
      <c r="BR31" s="32"/>
      <c r="BS31" s="32"/>
      <c r="BT31" s="32"/>
      <c r="BU31" s="32"/>
    </row>
    <row r="32" spans="1:73" s="22" customFormat="1">
      <c r="A32" s="276"/>
      <c r="B32" s="260"/>
      <c r="C32" s="35"/>
      <c r="D32" s="35"/>
      <c r="E32" s="35"/>
      <c r="F32" s="35"/>
      <c r="G32" s="35"/>
      <c r="H32" s="35"/>
      <c r="I32" s="35"/>
      <c r="J32" s="31"/>
      <c r="K32" s="35"/>
      <c r="L32" s="35"/>
      <c r="M32" s="260"/>
      <c r="N32" s="31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J32" s="32"/>
      <c r="AL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Q32" s="32"/>
      <c r="BR32" s="32"/>
      <c r="BS32" s="32"/>
      <c r="BT32" s="32"/>
      <c r="BU32" s="32"/>
    </row>
    <row r="33" spans="1:73" s="22" customFormat="1">
      <c r="A33" s="276"/>
      <c r="B33" s="260"/>
      <c r="C33" s="35"/>
      <c r="D33" s="35"/>
      <c r="E33" s="35"/>
      <c r="F33" s="35"/>
      <c r="G33" s="35"/>
      <c r="H33" s="35"/>
      <c r="I33" s="35"/>
      <c r="J33" s="31"/>
      <c r="K33" s="35"/>
      <c r="L33" s="35"/>
      <c r="M33" s="260"/>
      <c r="N33" s="31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J33" s="32"/>
      <c r="AL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Q33" s="32"/>
      <c r="BR33" s="32"/>
      <c r="BS33" s="32"/>
      <c r="BT33" s="32"/>
      <c r="BU33" s="32"/>
    </row>
    <row r="34" spans="1:73" s="22" customFormat="1">
      <c r="A34" s="34"/>
      <c r="B34" s="35"/>
      <c r="C34" s="35"/>
      <c r="D34" s="35"/>
      <c r="E34" s="35"/>
      <c r="F34" s="35"/>
      <c r="G34" s="35"/>
      <c r="H34" s="35"/>
      <c r="I34" s="35"/>
      <c r="J34" s="31"/>
      <c r="K34" s="35"/>
      <c r="L34" s="35"/>
      <c r="M34" s="260"/>
      <c r="N34" s="31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J34" s="32"/>
      <c r="AL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Q34" s="32"/>
      <c r="BR34" s="32"/>
      <c r="BS34" s="32"/>
      <c r="BT34" s="32"/>
      <c r="BU34" s="32"/>
    </row>
    <row r="35" spans="1:73" s="22" customFormat="1">
      <c r="A35" s="34"/>
      <c r="B35" s="35"/>
      <c r="C35" s="35"/>
      <c r="D35" s="35"/>
      <c r="E35" s="35"/>
      <c r="F35" s="35"/>
      <c r="G35" s="35"/>
      <c r="H35" s="35"/>
      <c r="I35" s="35"/>
      <c r="J35" s="31"/>
      <c r="K35" s="35"/>
      <c r="L35" s="35"/>
      <c r="M35" s="260"/>
      <c r="N35" s="31"/>
      <c r="O35" s="35"/>
      <c r="P35" s="35"/>
      <c r="Q35" s="35"/>
      <c r="R35" s="35"/>
      <c r="S35" s="35"/>
      <c r="T35" s="35"/>
      <c r="U35" s="35"/>
      <c r="V35" s="35"/>
      <c r="W35" s="35"/>
      <c r="X35" s="32"/>
      <c r="Y35" s="35"/>
      <c r="Z35" s="35"/>
      <c r="AA35" s="35"/>
      <c r="AB35" s="35"/>
      <c r="AJ35" s="32"/>
      <c r="AL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Q35" s="32"/>
      <c r="BR35" s="32"/>
      <c r="BS35" s="32"/>
      <c r="BT35" s="32"/>
      <c r="BU35" s="32"/>
    </row>
    <row r="36" spans="1:73" s="22" customFormat="1">
      <c r="A36" s="34"/>
      <c r="B36" s="35"/>
      <c r="C36" s="35"/>
      <c r="D36" s="35"/>
      <c r="E36" s="35"/>
      <c r="F36" s="35"/>
      <c r="G36" s="35"/>
      <c r="H36" s="35"/>
      <c r="I36" s="35"/>
      <c r="J36" s="31"/>
      <c r="K36" s="35"/>
      <c r="L36" s="35"/>
      <c r="M36" s="260"/>
      <c r="N36" s="31"/>
      <c r="O36" s="35"/>
      <c r="P36" s="35"/>
      <c r="Q36" s="35"/>
      <c r="R36" s="35"/>
      <c r="S36" s="35"/>
      <c r="T36" s="35"/>
      <c r="U36" s="35"/>
      <c r="V36" s="35"/>
      <c r="W36" s="35"/>
      <c r="X36" s="32"/>
      <c r="Y36" s="35"/>
      <c r="Z36" s="35"/>
      <c r="AA36" s="35"/>
      <c r="AB36" s="35"/>
      <c r="AJ36" s="32"/>
      <c r="AL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Q36" s="32"/>
      <c r="BR36" s="32"/>
      <c r="BS36" s="32"/>
      <c r="BT36" s="32"/>
      <c r="BU36" s="32"/>
    </row>
    <row r="37" spans="1:73" s="22" customFormat="1">
      <c r="A37" s="34"/>
      <c r="B37" s="35"/>
      <c r="C37" s="35"/>
      <c r="D37" s="35"/>
      <c r="E37" s="35"/>
      <c r="F37" s="35"/>
      <c r="G37" s="35"/>
      <c r="H37" s="35"/>
      <c r="I37" s="35"/>
      <c r="J37" s="31"/>
      <c r="K37" s="35"/>
      <c r="L37" s="35"/>
      <c r="M37" s="35"/>
      <c r="N37" s="31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J37" s="32"/>
      <c r="AL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Q37" s="32"/>
      <c r="BR37" s="32"/>
      <c r="BS37" s="32"/>
      <c r="BT37" s="32"/>
      <c r="BU37" s="32"/>
    </row>
    <row r="65" spans="1:73" s="35" customFormat="1">
      <c r="A65" s="34"/>
      <c r="J65" s="31"/>
      <c r="N65" s="31"/>
      <c r="V65" s="39"/>
      <c r="Z65" s="32"/>
      <c r="AA65" s="22"/>
      <c r="AB65" s="22"/>
      <c r="AC65" s="22"/>
      <c r="AD65" s="22"/>
      <c r="AE65" s="22"/>
      <c r="AF65" s="22"/>
      <c r="AG65" s="22"/>
      <c r="AH65" s="22"/>
      <c r="AI65" s="22"/>
      <c r="AJ65" s="32"/>
      <c r="AK65" s="22"/>
      <c r="AL65" s="32"/>
      <c r="AM65" s="22"/>
      <c r="AN65" s="22"/>
      <c r="AO65" s="22"/>
      <c r="AP65" s="2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22"/>
      <c r="BL65" s="22"/>
      <c r="BM65" s="22"/>
      <c r="BN65" s="22"/>
      <c r="BO65" s="22"/>
      <c r="BP65" s="22"/>
      <c r="BQ65" s="32"/>
      <c r="BR65" s="32"/>
      <c r="BS65" s="32"/>
      <c r="BT65" s="32"/>
      <c r="BU65" s="32"/>
    </row>
    <row r="66" spans="1:73" s="35" customFormat="1">
      <c r="A66" s="34"/>
      <c r="J66" s="31"/>
      <c r="N66" s="31"/>
      <c r="V66" s="39"/>
      <c r="Z66" s="32"/>
      <c r="AA66" s="22"/>
      <c r="AB66" s="22"/>
      <c r="AC66" s="22"/>
      <c r="AD66" s="22"/>
      <c r="AE66" s="22"/>
      <c r="AF66" s="22"/>
      <c r="AG66" s="22"/>
      <c r="AH66" s="22"/>
      <c r="AI66" s="22"/>
      <c r="AJ66" s="32"/>
      <c r="AK66" s="22"/>
      <c r="AL66" s="32"/>
      <c r="AM66" s="22"/>
      <c r="AN66" s="22"/>
      <c r="AO66" s="22"/>
      <c r="AP66" s="2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22"/>
      <c r="BL66" s="22"/>
      <c r="BM66" s="22"/>
      <c r="BN66" s="22"/>
      <c r="BO66" s="22"/>
      <c r="BP66" s="22"/>
      <c r="BQ66" s="32"/>
      <c r="BR66" s="32"/>
      <c r="BS66" s="32"/>
      <c r="BT66" s="32"/>
      <c r="BU66" s="32"/>
    </row>
    <row r="115" spans="1:73" s="34" customFormat="1" ht="37.9" customHeight="1">
      <c r="B115" s="35"/>
      <c r="C115" s="35"/>
      <c r="D115" s="35"/>
      <c r="E115" s="35"/>
      <c r="F115" s="35"/>
      <c r="G115" s="35"/>
      <c r="H115" s="35"/>
      <c r="I115" s="35"/>
      <c r="J115" s="31"/>
      <c r="K115" s="35"/>
      <c r="L115" s="35"/>
      <c r="M115" s="35"/>
      <c r="N115" s="31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2"/>
      <c r="AA115" s="22"/>
      <c r="AB115" s="22"/>
      <c r="AC115" s="22"/>
      <c r="AD115" s="22"/>
      <c r="AE115" s="22"/>
      <c r="AF115" s="22"/>
      <c r="AG115" s="22"/>
      <c r="AH115" s="22"/>
      <c r="AI115" s="22"/>
      <c r="AJ115" s="32"/>
      <c r="AK115" s="22"/>
      <c r="AL115" s="32"/>
      <c r="AM115" s="22"/>
      <c r="AN115" s="22"/>
      <c r="AO115" s="22"/>
      <c r="AP115" s="2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22"/>
      <c r="BL115" s="22"/>
      <c r="BM115" s="22"/>
      <c r="BN115" s="22"/>
      <c r="BO115" s="22"/>
      <c r="BP115" s="22"/>
      <c r="BQ115" s="32"/>
      <c r="BR115" s="32"/>
      <c r="BS115" s="32"/>
      <c r="BT115" s="32"/>
      <c r="BU115" s="32"/>
    </row>
    <row r="118" spans="1:73" s="34" customFormat="1" ht="70.900000000000006" customHeight="1">
      <c r="B118" s="35"/>
      <c r="C118" s="35"/>
      <c r="D118" s="35"/>
      <c r="E118" s="35"/>
      <c r="F118" s="35"/>
      <c r="G118" s="35"/>
      <c r="H118" s="35"/>
      <c r="I118" s="35"/>
      <c r="J118" s="31"/>
      <c r="K118" s="35"/>
      <c r="L118" s="35"/>
      <c r="M118" s="35"/>
      <c r="N118" s="31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2"/>
      <c r="AA118" s="22"/>
      <c r="AB118" s="22"/>
      <c r="AC118" s="22"/>
      <c r="AD118" s="22"/>
      <c r="AE118" s="22"/>
      <c r="AF118" s="22"/>
      <c r="AG118" s="22"/>
      <c r="AH118" s="22"/>
      <c r="AI118" s="22"/>
      <c r="AJ118" s="32"/>
      <c r="AK118" s="22"/>
      <c r="AL118" s="32"/>
      <c r="AM118" s="22"/>
      <c r="AN118" s="22"/>
      <c r="AO118" s="22"/>
      <c r="AP118" s="2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22"/>
      <c r="BL118" s="22"/>
      <c r="BM118" s="22"/>
      <c r="BN118" s="22"/>
      <c r="BO118" s="22"/>
      <c r="BP118" s="22"/>
      <c r="BQ118" s="32"/>
      <c r="BR118" s="32"/>
      <c r="BS118" s="32"/>
      <c r="BT118" s="32"/>
      <c r="BU118" s="32"/>
    </row>
    <row r="121" spans="1:73" s="22" customFormat="1" ht="72" customHeight="1">
      <c r="A121" s="34"/>
      <c r="B121" s="35"/>
      <c r="C121" s="35"/>
      <c r="D121" s="35"/>
      <c r="E121" s="35"/>
      <c r="F121" s="35"/>
      <c r="G121" s="35"/>
      <c r="H121" s="35"/>
      <c r="I121" s="35"/>
      <c r="J121" s="31"/>
      <c r="K121" s="35"/>
      <c r="L121" s="35"/>
      <c r="M121" s="35"/>
      <c r="N121" s="31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2"/>
      <c r="AJ121" s="32"/>
      <c r="AL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Q121" s="32"/>
      <c r="BR121" s="32"/>
      <c r="BS121" s="32"/>
      <c r="BT121" s="32"/>
      <c r="BU121" s="32"/>
    </row>
    <row r="122" spans="1:73" s="22" customFormat="1">
      <c r="A122" s="34">
        <f>COUNT(A5:A121)</f>
        <v>0</v>
      </c>
      <c r="B122" s="35"/>
      <c r="C122" s="35"/>
      <c r="D122" s="35"/>
      <c r="E122" s="35"/>
      <c r="F122" s="35"/>
      <c r="G122" s="35"/>
      <c r="H122" s="35"/>
      <c r="I122" s="35"/>
      <c r="J122" s="31"/>
      <c r="K122" s="35"/>
      <c r="L122" s="35"/>
      <c r="M122" s="35"/>
      <c r="N122" s="31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2"/>
      <c r="AJ122" s="32"/>
      <c r="AL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Q122" s="32"/>
      <c r="BR122" s="32"/>
      <c r="BS122" s="32"/>
      <c r="BT122" s="32"/>
      <c r="BU122" s="32"/>
    </row>
    <row r="123" spans="1:73" s="22" customFormat="1" ht="43.9" customHeight="1">
      <c r="A123" s="34"/>
      <c r="B123" s="35"/>
      <c r="C123" s="35"/>
      <c r="D123" s="35"/>
      <c r="E123" s="35"/>
      <c r="F123" s="35"/>
      <c r="G123" s="35"/>
      <c r="H123" s="35"/>
      <c r="I123" s="35"/>
      <c r="J123" s="31"/>
      <c r="K123" s="35"/>
      <c r="L123" s="35"/>
      <c r="M123" s="35"/>
      <c r="N123" s="31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2"/>
      <c r="AJ123" s="32"/>
      <c r="AL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Q123" s="32"/>
      <c r="BR123" s="32"/>
      <c r="BS123" s="32"/>
      <c r="BT123" s="32"/>
      <c r="BU123" s="32"/>
    </row>
    <row r="125" spans="1:73" s="22" customFormat="1" ht="30" customHeight="1">
      <c r="A125" s="34">
        <f>A122+1</f>
        <v>1</v>
      </c>
      <c r="B125" s="35"/>
      <c r="C125" s="35"/>
      <c r="D125" s="35"/>
      <c r="E125" s="35"/>
      <c r="F125" s="35"/>
      <c r="G125" s="35"/>
      <c r="H125" s="35"/>
      <c r="I125" s="35"/>
      <c r="J125" s="31"/>
      <c r="K125" s="35"/>
      <c r="L125" s="35"/>
      <c r="M125" s="35"/>
      <c r="N125" s="31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2"/>
      <c r="AJ125" s="32"/>
      <c r="AL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Q125" s="32"/>
      <c r="BR125" s="32"/>
      <c r="BS125" s="32"/>
      <c r="BT125" s="32"/>
      <c r="BU125" s="32"/>
    </row>
  </sheetData>
  <sheetProtection formatCells="0" formatColumns="0" formatRows="0" insertColumns="0" insertRows="0" insertHyperlinks="0" deleteColumns="0" deleteRows="0" sort="0" autoFilter="0" pivotTables="0"/>
  <mergeCells count="8">
    <mergeCell ref="BC4:BD4"/>
    <mergeCell ref="BE4:BJ4"/>
    <mergeCell ref="B4:M4"/>
    <mergeCell ref="N4:O4"/>
    <mergeCell ref="AB4:AI4"/>
    <mergeCell ref="AM4:AR4"/>
    <mergeCell ref="R4:S4"/>
    <mergeCell ref="T4:Y4"/>
  </mergeCells>
  <conditionalFormatting sqref="AH5">
    <cfRule type="cellIs" dxfId="198" priority="3" operator="equal">
      <formula>0</formula>
    </cfRule>
  </conditionalFormatting>
  <conditionalFormatting sqref="BL5">
    <cfRule type="cellIs" dxfId="197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BE65-8373-4053-9895-BBCF68B92133}">
  <dimension ref="A1:BN142"/>
  <sheetViews>
    <sheetView showZeros="0" rightToLeft="1" zoomScaleNormal="100" workbookViewId="0">
      <pane xSplit="4" ySplit="5" topLeftCell="AA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85546875" defaultRowHeight="15"/>
  <cols>
    <col min="1" max="1" width="3.7109375" style="10" customWidth="1"/>
    <col min="2" max="2" width="5.7109375" style="10" customWidth="1"/>
    <col min="3" max="3" width="22" style="14" customWidth="1"/>
    <col min="4" max="4" width="11.140625" style="11" hidden="1" customWidth="1"/>
    <col min="5" max="5" width="10.28515625" style="11" hidden="1" customWidth="1"/>
    <col min="6" max="6" width="9.140625" style="11" hidden="1" customWidth="1"/>
    <col min="7" max="8" width="11.140625" style="11" hidden="1" customWidth="1"/>
    <col min="9" max="10" width="10.42578125" style="11" hidden="1" customWidth="1"/>
    <col min="11" max="11" width="11.140625" style="11" hidden="1" customWidth="1"/>
    <col min="12" max="12" width="10" style="11" hidden="1" customWidth="1"/>
    <col min="13" max="13" width="8.7109375" style="502" hidden="1" customWidth="1"/>
    <col min="14" max="14" width="9.28515625" style="11" hidden="1" customWidth="1"/>
    <col min="15" max="15" width="11" style="11" hidden="1" customWidth="1"/>
    <col min="16" max="19" width="10.42578125" style="11" hidden="1" customWidth="1"/>
    <col min="20" max="20" width="11.140625" style="502" customWidth="1"/>
    <col min="21" max="21" width="9.85546875" style="10" bestFit="1" customWidth="1"/>
    <col min="22" max="22" width="10.85546875" style="10" customWidth="1"/>
    <col min="23" max="23" width="9.28515625" style="10" customWidth="1"/>
    <col min="24" max="24" width="6.42578125" style="10" hidden="1" customWidth="1"/>
    <col min="25" max="25" width="9.140625" style="10" customWidth="1"/>
    <col min="26" max="26" width="9.5703125" style="10" hidden="1" customWidth="1"/>
    <col min="27" max="27" width="8.42578125" style="10" customWidth="1"/>
    <col min="28" max="28" width="35.140625" style="14" hidden="1" customWidth="1"/>
    <col min="29" max="29" width="8.85546875" style="10" hidden="1" customWidth="1"/>
    <col min="30" max="36" width="10.7109375" style="18" hidden="1" customWidth="1"/>
    <col min="37" max="37" width="10.7109375" style="318" hidden="1" customWidth="1"/>
    <col min="38" max="39" width="11.5703125" style="318" hidden="1" customWidth="1"/>
    <col min="40" max="46" width="10.7109375" style="18" hidden="1" customWidth="1"/>
    <col min="47" max="47" width="10.7109375" style="318" hidden="1" customWidth="1"/>
    <col min="48" max="48" width="12" style="18" hidden="1" customWidth="1"/>
    <col min="49" max="56" width="10.7109375" style="18" hidden="1" customWidth="1"/>
    <col min="57" max="57" width="12.85546875" style="18" customWidth="1"/>
    <col min="58" max="60" width="10.7109375" style="18" customWidth="1"/>
    <col min="61" max="61" width="10.7109375" style="18" hidden="1" customWidth="1"/>
    <col min="62" max="62" width="10.7109375" style="18" customWidth="1"/>
    <col min="63" max="63" width="10.7109375" style="18" hidden="1" customWidth="1"/>
    <col min="64" max="64" width="10.7109375" style="18" customWidth="1"/>
    <col min="65" max="16384" width="8.85546875" style="10"/>
  </cols>
  <sheetData>
    <row r="1" spans="1:64" s="481" customFormat="1" ht="18.75">
      <c r="C1" s="41"/>
      <c r="J1" s="11"/>
      <c r="M1" s="482"/>
      <c r="T1" s="482"/>
      <c r="V1" s="481" t="s">
        <v>610</v>
      </c>
      <c r="W1" s="483"/>
      <c r="X1" s="483"/>
      <c r="Y1" s="483"/>
      <c r="Z1" s="483"/>
      <c r="AA1" s="483"/>
      <c r="AB1" s="483"/>
      <c r="AD1" s="18"/>
      <c r="AE1" s="18"/>
      <c r="AF1" s="18"/>
      <c r="AG1" s="18"/>
      <c r="AH1" s="18"/>
      <c r="AI1" s="18"/>
      <c r="AJ1" s="18"/>
      <c r="AK1" s="318"/>
      <c r="AL1" s="318"/>
      <c r="AM1" s="318"/>
      <c r="AN1" s="18"/>
      <c r="AO1" s="18"/>
      <c r="AP1" s="18"/>
      <c r="AQ1" s="18"/>
      <c r="AR1" s="18"/>
      <c r="AS1" s="18"/>
      <c r="AT1" s="18"/>
      <c r="AU1" s="3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</row>
    <row r="2" spans="1:64" ht="18.75">
      <c r="A2" s="41" t="s">
        <v>1349</v>
      </c>
      <c r="B2" s="481"/>
      <c r="C2" s="485"/>
      <c r="D2" s="481"/>
      <c r="E2" s="481"/>
      <c r="F2" s="481"/>
      <c r="K2" s="481"/>
      <c r="M2" s="486"/>
      <c r="N2" s="487"/>
      <c r="O2" s="487"/>
      <c r="P2" s="487"/>
      <c r="Q2" s="487"/>
      <c r="R2" s="487"/>
      <c r="S2" s="487"/>
      <c r="T2" s="486"/>
      <c r="U2" s="483"/>
      <c r="V2" s="483"/>
      <c r="W2" s="483"/>
      <c r="X2" s="483"/>
      <c r="Y2" s="483"/>
      <c r="Z2" s="483"/>
      <c r="AA2" s="483"/>
      <c r="AB2" s="10"/>
      <c r="AV2" s="10"/>
    </row>
    <row r="3" spans="1:64" ht="18.75">
      <c r="A3" s="41"/>
      <c r="B3" s="481"/>
      <c r="C3" s="485"/>
      <c r="D3" s="481"/>
      <c r="E3" s="481"/>
      <c r="F3" s="481"/>
      <c r="K3" s="481"/>
      <c r="M3" s="486"/>
      <c r="N3" s="487"/>
      <c r="O3" s="487"/>
      <c r="P3" s="487"/>
      <c r="Q3" s="487"/>
      <c r="R3" s="487"/>
      <c r="S3" s="487"/>
      <c r="T3" s="486"/>
      <c r="U3" s="483"/>
      <c r="V3" s="483"/>
      <c r="W3" s="483"/>
      <c r="X3" s="483"/>
      <c r="Y3" s="483"/>
      <c r="Z3" s="483"/>
      <c r="AA3" s="483"/>
      <c r="AB3" s="10"/>
      <c r="AV3" s="10"/>
    </row>
    <row r="4" spans="1:64" s="757" customFormat="1" ht="24.6" customHeight="1">
      <c r="A4" s="806"/>
      <c r="B4" s="806"/>
      <c r="C4" s="806"/>
      <c r="D4" s="754"/>
      <c r="E4" s="489"/>
      <c r="F4" s="489"/>
      <c r="G4" s="756"/>
      <c r="H4" s="489"/>
      <c r="I4" s="489"/>
      <c r="J4" s="489"/>
      <c r="K4" s="489"/>
      <c r="L4" s="754"/>
      <c r="M4" s="755"/>
      <c r="N4" s="754"/>
      <c r="O4" s="754"/>
      <c r="P4" s="754"/>
      <c r="Q4" s="754"/>
      <c r="R4" s="754"/>
      <c r="S4" s="754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B4" s="5"/>
      <c r="AD4" s="807" t="s">
        <v>902</v>
      </c>
      <c r="AE4" s="808"/>
      <c r="AF4" s="808"/>
      <c r="AG4" s="808"/>
      <c r="AH4" s="808"/>
      <c r="AI4" s="808"/>
      <c r="AJ4" s="808"/>
      <c r="AK4" s="809"/>
      <c r="AL4" s="318"/>
      <c r="AM4" s="318" t="s">
        <v>903</v>
      </c>
      <c r="AN4" s="18"/>
      <c r="AO4" s="807" t="s">
        <v>904</v>
      </c>
      <c r="AP4" s="808"/>
      <c r="AQ4" s="808"/>
      <c r="AR4" s="808"/>
      <c r="AS4" s="808"/>
      <c r="AT4" s="809"/>
      <c r="AU4" s="318"/>
      <c r="AV4" s="18"/>
      <c r="AW4" s="18"/>
      <c r="AX4" s="18"/>
      <c r="AY4" s="18"/>
      <c r="AZ4" s="18"/>
      <c r="BA4" s="18"/>
      <c r="BB4" s="18"/>
      <c r="BC4" s="18"/>
      <c r="BD4" s="18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</row>
    <row r="5" spans="1:64" s="18" customFormat="1" ht="75">
      <c r="A5" s="2" t="s">
        <v>0</v>
      </c>
      <c r="B5" s="2" t="s">
        <v>1</v>
      </c>
      <c r="C5" s="2" t="s">
        <v>2</v>
      </c>
      <c r="D5" s="2" t="s">
        <v>72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9</v>
      </c>
      <c r="J5" s="2" t="s">
        <v>101</v>
      </c>
      <c r="K5" s="2" t="s">
        <v>10</v>
      </c>
      <c r="L5" s="2" t="s">
        <v>11</v>
      </c>
      <c r="M5" s="2" t="s">
        <v>568</v>
      </c>
      <c r="N5" s="2" t="s">
        <v>569</v>
      </c>
      <c r="O5" s="2" t="s">
        <v>570</v>
      </c>
      <c r="P5" s="2" t="s">
        <v>12</v>
      </c>
      <c r="Q5" s="2" t="s">
        <v>571</v>
      </c>
      <c r="R5" s="2" t="s">
        <v>572</v>
      </c>
      <c r="S5" s="2" t="s">
        <v>573</v>
      </c>
      <c r="T5" s="494" t="s">
        <v>574</v>
      </c>
      <c r="U5" s="2" t="s">
        <v>575</v>
      </c>
      <c r="V5" s="2" t="s">
        <v>13</v>
      </c>
      <c r="W5" s="2" t="s">
        <v>14</v>
      </c>
      <c r="X5" s="2" t="s">
        <v>15</v>
      </c>
      <c r="Y5" s="2" t="s">
        <v>185</v>
      </c>
      <c r="Z5" s="2" t="s">
        <v>385</v>
      </c>
      <c r="AA5" s="2" t="s">
        <v>67</v>
      </c>
      <c r="AB5" s="13" t="s">
        <v>207</v>
      </c>
      <c r="AC5" s="2" t="s">
        <v>16</v>
      </c>
      <c r="AD5" s="518" t="s">
        <v>905</v>
      </c>
      <c r="AE5" s="518" t="s">
        <v>906</v>
      </c>
      <c r="AF5" s="518" t="s">
        <v>907</v>
      </c>
      <c r="AG5" s="518" t="s">
        <v>908</v>
      </c>
      <c r="AH5" s="518" t="s">
        <v>909</v>
      </c>
      <c r="AI5" s="518" t="s">
        <v>910</v>
      </c>
      <c r="AJ5" s="518" t="s">
        <v>911</v>
      </c>
      <c r="AK5" s="568" t="s">
        <v>912</v>
      </c>
      <c r="AL5" s="568" t="s">
        <v>913</v>
      </c>
      <c r="AM5" s="494" t="s">
        <v>914</v>
      </c>
      <c r="AN5" s="518" t="s">
        <v>915</v>
      </c>
      <c r="AO5" s="2" t="s">
        <v>13</v>
      </c>
      <c r="AP5" s="2" t="s">
        <v>14</v>
      </c>
      <c r="AQ5" s="2" t="s">
        <v>15</v>
      </c>
      <c r="AR5" s="2" t="s">
        <v>185</v>
      </c>
      <c r="AS5" s="2" t="s">
        <v>385</v>
      </c>
      <c r="AT5" s="2" t="s">
        <v>67</v>
      </c>
      <c r="AU5" s="494" t="s">
        <v>916</v>
      </c>
      <c r="AV5" s="2" t="s">
        <v>917</v>
      </c>
      <c r="AW5" s="2" t="s">
        <v>918</v>
      </c>
      <c r="AX5" s="2" t="s">
        <v>919</v>
      </c>
      <c r="AY5" s="2" t="s">
        <v>13</v>
      </c>
      <c r="AZ5" s="2" t="s">
        <v>14</v>
      </c>
      <c r="BA5" s="2" t="s">
        <v>15</v>
      </c>
      <c r="BB5" s="2" t="s">
        <v>185</v>
      </c>
      <c r="BC5" s="2" t="s">
        <v>385</v>
      </c>
      <c r="BD5" s="2" t="s">
        <v>67</v>
      </c>
      <c r="BE5" s="494" t="s">
        <v>1355</v>
      </c>
      <c r="BF5" s="2" t="s">
        <v>1350</v>
      </c>
      <c r="BG5" s="2" t="s">
        <v>13</v>
      </c>
      <c r="BH5" s="2" t="s">
        <v>14</v>
      </c>
      <c r="BI5" s="2" t="s">
        <v>15</v>
      </c>
      <c r="BJ5" s="2" t="s">
        <v>185</v>
      </c>
      <c r="BK5" s="2" t="s">
        <v>385</v>
      </c>
      <c r="BL5" s="2" t="s">
        <v>67</v>
      </c>
    </row>
    <row r="6" spans="1:64" s="5" customFormat="1" ht="30" customHeight="1">
      <c r="A6" s="3">
        <v>1</v>
      </c>
      <c r="B6" s="3">
        <v>179</v>
      </c>
      <c r="C6" s="3" t="s">
        <v>1136</v>
      </c>
      <c r="D6" s="4">
        <v>3150250</v>
      </c>
      <c r="E6" s="4">
        <v>3150250</v>
      </c>
      <c r="F6" s="4">
        <f t="shared" ref="F6:F61" si="0">D6-E6</f>
        <v>0</v>
      </c>
      <c r="G6" s="4">
        <v>3150250</v>
      </c>
      <c r="H6" s="4">
        <v>3111417</v>
      </c>
      <c r="I6" s="4"/>
      <c r="J6" s="4"/>
      <c r="K6" s="4">
        <f t="shared" ref="K6:K37" si="1">SUM(I6:J6)</f>
        <v>0</v>
      </c>
      <c r="L6" s="4">
        <f t="shared" ref="L6:L61" si="2">H6+K6</f>
        <v>3111417</v>
      </c>
      <c r="M6" s="495">
        <f>P6+S6-38800</f>
        <v>33</v>
      </c>
      <c r="N6" s="4">
        <v>38800</v>
      </c>
      <c r="O6" s="4">
        <f t="shared" ref="O6:O61" si="3">D6-L6-M6-N6</f>
        <v>0</v>
      </c>
      <c r="P6" s="4">
        <f t="shared" ref="P6:P61" si="4">G6-L6</f>
        <v>38833</v>
      </c>
      <c r="Q6" s="4">
        <v>0</v>
      </c>
      <c r="R6" s="4">
        <v>0</v>
      </c>
      <c r="S6" s="4">
        <f t="shared" ref="S6:S61" si="5">SUM(Q6:R6)</f>
        <v>0</v>
      </c>
      <c r="T6" s="495">
        <f t="shared" ref="T6:T61" si="6">P6-M6+S6</f>
        <v>38800</v>
      </c>
      <c r="U6" s="4">
        <f t="shared" ref="U6:U61" si="7">N6-T6</f>
        <v>0</v>
      </c>
      <c r="V6" s="4">
        <f t="shared" ref="V6:V61" si="8">U6-AA6-W6-Z6-Y6-X6</f>
        <v>0</v>
      </c>
      <c r="W6" s="4"/>
      <c r="X6" s="4"/>
      <c r="Y6" s="4"/>
      <c r="Z6" s="4"/>
      <c r="AA6" s="3"/>
      <c r="AB6" s="3" t="s">
        <v>920</v>
      </c>
      <c r="AC6" s="3">
        <v>732000</v>
      </c>
      <c r="AD6" s="495"/>
      <c r="AE6" s="495"/>
      <c r="AF6" s="495"/>
      <c r="AG6" s="495"/>
      <c r="AH6" s="495"/>
      <c r="AI6" s="495"/>
      <c r="AJ6" s="495">
        <f t="shared" ref="AJ6:AJ37" si="9">SUM(AD6:AI6)+AL6</f>
        <v>0</v>
      </c>
      <c r="AK6" s="495">
        <f>U6-AJ6</f>
        <v>0</v>
      </c>
      <c r="AL6" s="495"/>
      <c r="AM6" s="42"/>
      <c r="AN6" s="495">
        <f t="shared" ref="AN6:AN37" si="10">AK6+AM6</f>
        <v>0</v>
      </c>
      <c r="AO6" s="495">
        <f>AN6-AP6-AQ6-AR6-AS6-AT6</f>
        <v>0</v>
      </c>
      <c r="AP6" s="495"/>
      <c r="AQ6" s="495"/>
      <c r="AR6" s="495"/>
      <c r="AS6" s="495"/>
      <c r="AT6" s="495"/>
      <c r="AU6" s="495"/>
      <c r="AV6" s="495"/>
      <c r="AW6" s="495"/>
      <c r="AX6" s="495">
        <f t="shared" ref="AX6:AX65" si="11">AN6-AW6</f>
        <v>0</v>
      </c>
      <c r="AY6" s="495">
        <f>AX6-AZ6-BA6-BB6-BC6</f>
        <v>0</v>
      </c>
      <c r="AZ6" s="495"/>
      <c r="BA6" s="495"/>
      <c r="BB6" s="495"/>
      <c r="BC6" s="495"/>
      <c r="BD6" s="495"/>
      <c r="BE6" s="495">
        <f>AJ6+AX6</f>
        <v>0</v>
      </c>
      <c r="BF6" s="495">
        <f>U6-BE6</f>
        <v>0</v>
      </c>
      <c r="BG6" s="495">
        <f>BE6-BH6-BI6-BJ6-BK6-BL6</f>
        <v>0</v>
      </c>
      <c r="BH6" s="495"/>
      <c r="BI6" s="495"/>
      <c r="BJ6" s="495"/>
      <c r="BK6" s="495"/>
      <c r="BL6" s="495"/>
    </row>
    <row r="7" spans="1:64" s="5" customFormat="1" ht="30" customHeight="1">
      <c r="A7" s="3">
        <f t="shared" ref="A7:A62" si="12">A6+1</f>
        <v>2</v>
      </c>
      <c r="B7" s="3">
        <v>507</v>
      </c>
      <c r="C7" s="3" t="s">
        <v>1460</v>
      </c>
      <c r="D7" s="4">
        <f>1965000+1500000-1300000-200000</f>
        <v>1965000</v>
      </c>
      <c r="E7" s="4">
        <v>1965000</v>
      </c>
      <c r="F7" s="4">
        <f t="shared" si="0"/>
        <v>0</v>
      </c>
      <c r="G7" s="4">
        <v>1965000</v>
      </c>
      <c r="H7" s="4">
        <v>1701725</v>
      </c>
      <c r="I7" s="4"/>
      <c r="J7" s="4">
        <v>62055</v>
      </c>
      <c r="K7" s="4">
        <f t="shared" si="1"/>
        <v>62055</v>
      </c>
      <c r="L7" s="4">
        <f t="shared" si="2"/>
        <v>1763780</v>
      </c>
      <c r="M7" s="495">
        <f>P7+S7-200000</f>
        <v>1220</v>
      </c>
      <c r="N7" s="4">
        <f>200000+60000-260000</f>
        <v>0</v>
      </c>
      <c r="O7" s="4">
        <f t="shared" si="3"/>
        <v>200000</v>
      </c>
      <c r="P7" s="4">
        <f t="shared" si="4"/>
        <v>201220</v>
      </c>
      <c r="Q7" s="4"/>
      <c r="R7" s="4"/>
      <c r="S7" s="4">
        <f t="shared" si="5"/>
        <v>0</v>
      </c>
      <c r="T7" s="495">
        <f t="shared" si="6"/>
        <v>200000</v>
      </c>
      <c r="U7" s="4">
        <f t="shared" si="7"/>
        <v>-200000</v>
      </c>
      <c r="V7" s="4">
        <f t="shared" si="8"/>
        <v>-200000</v>
      </c>
      <c r="W7" s="4"/>
      <c r="X7" s="4"/>
      <c r="Y7" s="4"/>
      <c r="Z7" s="4"/>
      <c r="AA7" s="3"/>
      <c r="AB7" s="3" t="s">
        <v>307</v>
      </c>
      <c r="AC7" s="3">
        <v>742000</v>
      </c>
      <c r="AD7" s="495">
        <v>-200000</v>
      </c>
      <c r="AE7" s="495"/>
      <c r="AF7" s="495"/>
      <c r="AG7" s="495"/>
      <c r="AH7" s="495"/>
      <c r="AI7" s="495"/>
      <c r="AJ7" s="495">
        <f t="shared" si="9"/>
        <v>-200000</v>
      </c>
      <c r="AK7" s="495">
        <f t="shared" ref="AK7:AK65" si="13">U7-AJ7</f>
        <v>0</v>
      </c>
      <c r="AL7" s="495"/>
      <c r="AM7" s="42"/>
      <c r="AN7" s="495">
        <f t="shared" si="10"/>
        <v>0</v>
      </c>
      <c r="AO7" s="495">
        <f t="shared" ref="AO7:AO65" si="14">AN7-AP7-AQ7-AR7-AS7-AT7</f>
        <v>0</v>
      </c>
      <c r="AP7" s="495"/>
      <c r="AQ7" s="495"/>
      <c r="AR7" s="495"/>
      <c r="AS7" s="495"/>
      <c r="AT7" s="495"/>
      <c r="AU7" s="495"/>
      <c r="AV7" s="495">
        <v>-11000</v>
      </c>
      <c r="AW7" s="495"/>
      <c r="AX7" s="495">
        <f t="shared" si="11"/>
        <v>0</v>
      </c>
      <c r="AY7" s="495">
        <f t="shared" ref="AY7:AY65" si="15">AX7-AZ7-BA7-BB7-BC7</f>
        <v>0</v>
      </c>
      <c r="AZ7" s="495"/>
      <c r="BA7" s="495"/>
      <c r="BB7" s="495"/>
      <c r="BC7" s="495"/>
      <c r="BD7" s="495"/>
      <c r="BE7" s="495">
        <f t="shared" ref="BE7:BE65" si="16">AJ7+AX7</f>
        <v>-200000</v>
      </c>
      <c r="BF7" s="495">
        <f>U7-BE7</f>
        <v>0</v>
      </c>
      <c r="BG7" s="495">
        <f t="shared" ref="BG7:BG65" si="17">BE7-BH7-BI7-BJ7-BK7-BL7</f>
        <v>-200000</v>
      </c>
      <c r="BH7" s="495"/>
      <c r="BI7" s="495"/>
      <c r="BJ7" s="495"/>
      <c r="BK7" s="495"/>
      <c r="BL7" s="495"/>
    </row>
    <row r="8" spans="1:64" s="5" customFormat="1" ht="30" customHeight="1">
      <c r="A8" s="3">
        <f t="shared" si="12"/>
        <v>3</v>
      </c>
      <c r="B8" s="3">
        <v>592</v>
      </c>
      <c r="C8" s="3" t="s">
        <v>22</v>
      </c>
      <c r="D8" s="4">
        <v>54893000</v>
      </c>
      <c r="E8" s="4">
        <v>54893000</v>
      </c>
      <c r="F8" s="4">
        <f t="shared" si="0"/>
        <v>0</v>
      </c>
      <c r="G8" s="4">
        <v>21420000</v>
      </c>
      <c r="H8" s="4">
        <v>19882849</v>
      </c>
      <c r="I8" s="4"/>
      <c r="J8" s="4">
        <f>1170012-1170012</f>
        <v>0</v>
      </c>
      <c r="K8" s="4">
        <f t="shared" si="1"/>
        <v>0</v>
      </c>
      <c r="L8" s="4">
        <f t="shared" si="2"/>
        <v>19882849</v>
      </c>
      <c r="M8" s="495">
        <f>P8+S8-1500000</f>
        <v>37151</v>
      </c>
      <c r="N8" s="4">
        <f>500000+1400000-1900000</f>
        <v>0</v>
      </c>
      <c r="O8" s="4">
        <f t="shared" si="3"/>
        <v>34973000</v>
      </c>
      <c r="P8" s="4">
        <f t="shared" si="4"/>
        <v>1537151</v>
      </c>
      <c r="Q8" s="4"/>
      <c r="R8" s="4"/>
      <c r="S8" s="4">
        <f t="shared" si="5"/>
        <v>0</v>
      </c>
      <c r="T8" s="495">
        <f t="shared" si="6"/>
        <v>1500000</v>
      </c>
      <c r="U8" s="4">
        <f t="shared" si="7"/>
        <v>-1500000</v>
      </c>
      <c r="V8" s="4">
        <f t="shared" si="8"/>
        <v>-1500000</v>
      </c>
      <c r="W8" s="4"/>
      <c r="X8" s="4"/>
      <c r="Y8" s="4"/>
      <c r="Z8" s="4"/>
      <c r="AA8" s="3"/>
      <c r="AB8" s="3" t="s">
        <v>921</v>
      </c>
      <c r="AC8" s="3">
        <v>742000</v>
      </c>
      <c r="AD8" s="495">
        <v>-1500000</v>
      </c>
      <c r="AE8" s="495"/>
      <c r="AF8" s="495"/>
      <c r="AG8" s="495"/>
      <c r="AH8" s="495"/>
      <c r="AI8" s="495"/>
      <c r="AJ8" s="495">
        <f t="shared" si="9"/>
        <v>-1500000</v>
      </c>
      <c r="AK8" s="495">
        <f t="shared" si="13"/>
        <v>0</v>
      </c>
      <c r="AL8" s="495"/>
      <c r="AM8" s="42"/>
      <c r="AN8" s="495">
        <f t="shared" si="10"/>
        <v>0</v>
      </c>
      <c r="AO8" s="495">
        <f t="shared" si="14"/>
        <v>0</v>
      </c>
      <c r="AP8" s="495"/>
      <c r="AQ8" s="495"/>
      <c r="AR8" s="495"/>
      <c r="AS8" s="495"/>
      <c r="AT8" s="495"/>
      <c r="AU8" s="495">
        <v>1200000</v>
      </c>
      <c r="AV8" s="495"/>
      <c r="AW8" s="495"/>
      <c r="AX8" s="495">
        <f t="shared" si="11"/>
        <v>0</v>
      </c>
      <c r="AY8" s="495">
        <f t="shared" si="15"/>
        <v>0</v>
      </c>
      <c r="AZ8" s="495"/>
      <c r="BA8" s="495"/>
      <c r="BB8" s="495"/>
      <c r="BC8" s="495"/>
      <c r="BD8" s="495"/>
      <c r="BE8" s="495">
        <f t="shared" si="16"/>
        <v>-1500000</v>
      </c>
      <c r="BF8" s="495">
        <f t="shared" ref="BF8:BF65" si="18">U8-BE8</f>
        <v>0</v>
      </c>
      <c r="BG8" s="495">
        <f t="shared" si="17"/>
        <v>-1500000</v>
      </c>
      <c r="BH8" s="495"/>
      <c r="BI8" s="495"/>
      <c r="BJ8" s="495"/>
      <c r="BK8" s="495"/>
      <c r="BL8" s="495"/>
    </row>
    <row r="9" spans="1:64" s="5" customFormat="1" ht="30" customHeight="1">
      <c r="A9" s="3">
        <f t="shared" si="12"/>
        <v>4</v>
      </c>
      <c r="B9" s="3">
        <v>608</v>
      </c>
      <c r="C9" s="3" t="s">
        <v>28</v>
      </c>
      <c r="D9" s="4">
        <f>8300000+4700000-4350000-140000</f>
        <v>8510000</v>
      </c>
      <c r="E9" s="4">
        <v>8300000</v>
      </c>
      <c r="F9" s="4">
        <f t="shared" si="0"/>
        <v>210000</v>
      </c>
      <c r="G9" s="4">
        <v>7650000</v>
      </c>
      <c r="H9" s="4">
        <v>7352657</v>
      </c>
      <c r="I9" s="4"/>
      <c r="J9" s="4">
        <f>287586-31449-117000-18720-2340-56137</f>
        <v>61940</v>
      </c>
      <c r="K9" s="4">
        <f t="shared" si="1"/>
        <v>61940</v>
      </c>
      <c r="L9" s="4">
        <f t="shared" si="2"/>
        <v>7414597</v>
      </c>
      <c r="M9" s="495">
        <f>P9+S9-150000-140000+55000</f>
        <v>403</v>
      </c>
      <c r="N9" s="4">
        <f>1000000+150000-300000</f>
        <v>850000</v>
      </c>
      <c r="O9" s="4">
        <f t="shared" si="3"/>
        <v>245000</v>
      </c>
      <c r="P9" s="4">
        <f t="shared" si="4"/>
        <v>235403</v>
      </c>
      <c r="Q9" s="4"/>
      <c r="R9" s="4"/>
      <c r="S9" s="4">
        <f t="shared" si="5"/>
        <v>0</v>
      </c>
      <c r="T9" s="495">
        <f t="shared" si="6"/>
        <v>235000</v>
      </c>
      <c r="U9" s="4">
        <f t="shared" si="7"/>
        <v>615000</v>
      </c>
      <c r="V9" s="4">
        <f t="shared" si="8"/>
        <v>615000</v>
      </c>
      <c r="W9" s="4"/>
      <c r="X9" s="4"/>
      <c r="Y9" s="4"/>
      <c r="Z9" s="4"/>
      <c r="AA9" s="3"/>
      <c r="AB9" s="3" t="s">
        <v>208</v>
      </c>
      <c r="AC9" s="3">
        <v>745000</v>
      </c>
      <c r="AD9" s="495"/>
      <c r="AE9" s="495"/>
      <c r="AF9" s="495"/>
      <c r="AG9" s="495"/>
      <c r="AH9" s="495">
        <v>350000</v>
      </c>
      <c r="AI9" s="495"/>
      <c r="AJ9" s="495">
        <f t="shared" si="9"/>
        <v>350000</v>
      </c>
      <c r="AK9" s="495">
        <f t="shared" si="13"/>
        <v>265000</v>
      </c>
      <c r="AL9" s="495"/>
      <c r="AM9" s="42"/>
      <c r="AN9" s="495">
        <f t="shared" si="10"/>
        <v>265000</v>
      </c>
      <c r="AO9" s="495">
        <f t="shared" si="14"/>
        <v>265000</v>
      </c>
      <c r="AP9" s="495"/>
      <c r="AQ9" s="495"/>
      <c r="AR9" s="495"/>
      <c r="AS9" s="495"/>
      <c r="AT9" s="495"/>
      <c r="AU9" s="495"/>
      <c r="AV9" s="495"/>
      <c r="AW9" s="495">
        <v>265000</v>
      </c>
      <c r="AX9" s="495">
        <f t="shared" si="11"/>
        <v>0</v>
      </c>
      <c r="AY9" s="495">
        <f t="shared" si="15"/>
        <v>0</v>
      </c>
      <c r="AZ9" s="495"/>
      <c r="BA9" s="495"/>
      <c r="BB9" s="495"/>
      <c r="BC9" s="495"/>
      <c r="BD9" s="495"/>
      <c r="BE9" s="495">
        <f t="shared" si="16"/>
        <v>350000</v>
      </c>
      <c r="BF9" s="495">
        <f t="shared" si="18"/>
        <v>265000</v>
      </c>
      <c r="BG9" s="495">
        <f t="shared" si="17"/>
        <v>350000</v>
      </c>
      <c r="BH9" s="495"/>
      <c r="BI9" s="495"/>
      <c r="BJ9" s="495"/>
      <c r="BK9" s="495"/>
      <c r="BL9" s="495"/>
    </row>
    <row r="10" spans="1:64" s="6" customFormat="1" ht="30" customHeight="1">
      <c r="A10" s="3">
        <f t="shared" si="12"/>
        <v>5</v>
      </c>
      <c r="B10" s="3">
        <v>626</v>
      </c>
      <c r="C10" s="3" t="s">
        <v>331</v>
      </c>
      <c r="D10" s="4">
        <v>34775000</v>
      </c>
      <c r="E10" s="4">
        <v>34775000</v>
      </c>
      <c r="F10" s="4">
        <f t="shared" si="0"/>
        <v>0</v>
      </c>
      <c r="G10" s="4">
        <v>19233898</v>
      </c>
      <c r="H10" s="4">
        <v>15582053</v>
      </c>
      <c r="I10" s="4">
        <v>107406</v>
      </c>
      <c r="J10" s="4">
        <f>332608-19188+4057166-1170000</f>
        <v>3200586</v>
      </c>
      <c r="K10" s="4">
        <f t="shared" si="1"/>
        <v>3307992</v>
      </c>
      <c r="L10" s="4">
        <f t="shared" si="2"/>
        <v>18890045</v>
      </c>
      <c r="M10" s="495">
        <f>P10+S10-1000000-2100000-90000+1850000</f>
        <v>3853</v>
      </c>
      <c r="N10" s="4">
        <f>10000000-7000000+100000+90000-500000-1000000</f>
        <v>1690000</v>
      </c>
      <c r="O10" s="4">
        <f t="shared" si="3"/>
        <v>14191102</v>
      </c>
      <c r="P10" s="4">
        <f t="shared" si="4"/>
        <v>343853</v>
      </c>
      <c r="Q10" s="4">
        <v>1000000</v>
      </c>
      <c r="R10" s="4"/>
      <c r="S10" s="4">
        <f t="shared" si="5"/>
        <v>1000000</v>
      </c>
      <c r="T10" s="495">
        <f t="shared" si="6"/>
        <v>1340000</v>
      </c>
      <c r="U10" s="4">
        <f t="shared" si="7"/>
        <v>350000</v>
      </c>
      <c r="V10" s="4">
        <f t="shared" si="8"/>
        <v>350000</v>
      </c>
      <c r="W10" s="4"/>
      <c r="X10" s="4"/>
      <c r="Y10" s="4"/>
      <c r="Z10" s="4"/>
      <c r="AA10" s="3"/>
      <c r="AB10" s="19" t="s">
        <v>922</v>
      </c>
      <c r="AC10" s="3">
        <v>732000</v>
      </c>
      <c r="AD10" s="495"/>
      <c r="AE10" s="495"/>
      <c r="AF10" s="495"/>
      <c r="AG10" s="495"/>
      <c r="AH10" s="495"/>
      <c r="AI10" s="495"/>
      <c r="AJ10" s="495">
        <f t="shared" si="9"/>
        <v>0</v>
      </c>
      <c r="AK10" s="495">
        <f t="shared" si="13"/>
        <v>350000</v>
      </c>
      <c r="AL10" s="495"/>
      <c r="AM10" s="42"/>
      <c r="AN10" s="495">
        <f t="shared" si="10"/>
        <v>350000</v>
      </c>
      <c r="AO10" s="495">
        <f t="shared" si="14"/>
        <v>350000</v>
      </c>
      <c r="AP10" s="495"/>
      <c r="AQ10" s="495"/>
      <c r="AR10" s="495"/>
      <c r="AS10" s="495"/>
      <c r="AT10" s="495"/>
      <c r="AU10" s="495"/>
      <c r="AV10" s="495"/>
      <c r="AW10" s="495">
        <v>350000</v>
      </c>
      <c r="AX10" s="495">
        <f t="shared" si="11"/>
        <v>0</v>
      </c>
      <c r="AY10" s="495">
        <f t="shared" si="15"/>
        <v>0</v>
      </c>
      <c r="AZ10" s="495"/>
      <c r="BA10" s="495"/>
      <c r="BB10" s="495"/>
      <c r="BC10" s="495"/>
      <c r="BD10" s="495"/>
      <c r="BE10" s="495">
        <f t="shared" si="16"/>
        <v>0</v>
      </c>
      <c r="BF10" s="495">
        <f t="shared" si="18"/>
        <v>350000</v>
      </c>
      <c r="BG10" s="495">
        <f t="shared" si="17"/>
        <v>0</v>
      </c>
      <c r="BH10" s="495"/>
      <c r="BI10" s="495"/>
      <c r="BJ10" s="495"/>
      <c r="BK10" s="495"/>
      <c r="BL10" s="495"/>
    </row>
    <row r="11" spans="1:64" s="5" customFormat="1" ht="30" customHeight="1">
      <c r="A11" s="3">
        <f t="shared" si="12"/>
        <v>6</v>
      </c>
      <c r="B11" s="3">
        <v>638</v>
      </c>
      <c r="C11" s="3" t="s">
        <v>1137</v>
      </c>
      <c r="D11" s="4">
        <v>4436000</v>
      </c>
      <c r="E11" s="4">
        <v>4436000</v>
      </c>
      <c r="F11" s="4">
        <f t="shared" si="0"/>
        <v>0</v>
      </c>
      <c r="G11" s="4">
        <v>4436000</v>
      </c>
      <c r="H11" s="4">
        <v>4253645</v>
      </c>
      <c r="I11" s="4"/>
      <c r="J11" s="4"/>
      <c r="K11" s="4">
        <f t="shared" si="1"/>
        <v>0</v>
      </c>
      <c r="L11" s="4">
        <f t="shared" si="2"/>
        <v>4253645</v>
      </c>
      <c r="M11" s="495">
        <f>P11+S11-182355</f>
        <v>0</v>
      </c>
      <c r="N11" s="4"/>
      <c r="O11" s="4">
        <f t="shared" si="3"/>
        <v>182355</v>
      </c>
      <c r="P11" s="4">
        <f t="shared" si="4"/>
        <v>182355</v>
      </c>
      <c r="Q11" s="4"/>
      <c r="R11" s="4"/>
      <c r="S11" s="4">
        <f t="shared" si="5"/>
        <v>0</v>
      </c>
      <c r="T11" s="495">
        <f t="shared" si="6"/>
        <v>182355</v>
      </c>
      <c r="U11" s="4">
        <f t="shared" si="7"/>
        <v>-182355</v>
      </c>
      <c r="V11" s="4">
        <f t="shared" si="8"/>
        <v>-182355</v>
      </c>
      <c r="W11" s="4"/>
      <c r="X11" s="4"/>
      <c r="Y11" s="4"/>
      <c r="Z11" s="4"/>
      <c r="AA11" s="3"/>
      <c r="AB11" s="3" t="s">
        <v>923</v>
      </c>
      <c r="AC11" s="3">
        <v>742000</v>
      </c>
      <c r="AD11" s="495">
        <v>-182355</v>
      </c>
      <c r="AE11" s="495"/>
      <c r="AF11" s="495"/>
      <c r="AG11" s="495"/>
      <c r="AH11" s="495"/>
      <c r="AI11" s="495"/>
      <c r="AJ11" s="495">
        <f t="shared" si="9"/>
        <v>-182355</v>
      </c>
      <c r="AK11" s="495">
        <f t="shared" si="13"/>
        <v>0</v>
      </c>
      <c r="AL11" s="495"/>
      <c r="AM11" s="42"/>
      <c r="AN11" s="495">
        <f t="shared" si="10"/>
        <v>0</v>
      </c>
      <c r="AO11" s="495">
        <f t="shared" si="14"/>
        <v>0</v>
      </c>
      <c r="AP11" s="495"/>
      <c r="AQ11" s="495"/>
      <c r="AR11" s="495"/>
      <c r="AS11" s="495"/>
      <c r="AT11" s="495"/>
      <c r="AU11" s="495"/>
      <c r="AV11" s="495"/>
      <c r="AW11" s="495"/>
      <c r="AX11" s="495">
        <f t="shared" si="11"/>
        <v>0</v>
      </c>
      <c r="AY11" s="495">
        <f t="shared" si="15"/>
        <v>0</v>
      </c>
      <c r="AZ11" s="495"/>
      <c r="BA11" s="495"/>
      <c r="BB11" s="495"/>
      <c r="BC11" s="495"/>
      <c r="BD11" s="495"/>
      <c r="BE11" s="495">
        <f t="shared" si="16"/>
        <v>-182355</v>
      </c>
      <c r="BF11" s="495">
        <f t="shared" si="18"/>
        <v>0</v>
      </c>
      <c r="BG11" s="495">
        <f t="shared" si="17"/>
        <v>-182355</v>
      </c>
      <c r="BH11" s="495"/>
      <c r="BI11" s="495"/>
      <c r="BJ11" s="495"/>
      <c r="BK11" s="495"/>
      <c r="BL11" s="495"/>
    </row>
    <row r="12" spans="1:64" s="5" customFormat="1" ht="30" customHeight="1">
      <c r="A12" s="3">
        <f t="shared" si="12"/>
        <v>7</v>
      </c>
      <c r="B12" s="3">
        <v>1018</v>
      </c>
      <c r="C12" s="3" t="s">
        <v>23</v>
      </c>
      <c r="D12" s="4">
        <v>31900000</v>
      </c>
      <c r="E12" s="4">
        <v>31900000</v>
      </c>
      <c r="F12" s="4">
        <f t="shared" si="0"/>
        <v>0</v>
      </c>
      <c r="G12" s="4">
        <v>3150000</v>
      </c>
      <c r="H12" s="4">
        <v>3059671</v>
      </c>
      <c r="I12" s="4">
        <v>84193</v>
      </c>
      <c r="J12" s="4"/>
      <c r="K12" s="4">
        <f t="shared" si="1"/>
        <v>84193</v>
      </c>
      <c r="L12" s="4">
        <f t="shared" si="2"/>
        <v>3143864</v>
      </c>
      <c r="M12" s="495">
        <f>P12+S12</f>
        <v>6136</v>
      </c>
      <c r="N12" s="4"/>
      <c r="O12" s="4">
        <f t="shared" si="3"/>
        <v>28750000</v>
      </c>
      <c r="P12" s="4">
        <f t="shared" si="4"/>
        <v>6136</v>
      </c>
      <c r="Q12" s="4"/>
      <c r="R12" s="4"/>
      <c r="S12" s="4">
        <f t="shared" si="5"/>
        <v>0</v>
      </c>
      <c r="T12" s="495">
        <f t="shared" si="6"/>
        <v>0</v>
      </c>
      <c r="U12" s="4">
        <f t="shared" si="7"/>
        <v>0</v>
      </c>
      <c r="V12" s="4">
        <f t="shared" si="8"/>
        <v>0</v>
      </c>
      <c r="W12" s="4"/>
      <c r="X12" s="4"/>
      <c r="Y12" s="4"/>
      <c r="Z12" s="4"/>
      <c r="AA12" s="3"/>
      <c r="AB12" s="3" t="s">
        <v>697</v>
      </c>
      <c r="AC12" s="3">
        <v>742000</v>
      </c>
      <c r="AD12" s="495"/>
      <c r="AE12" s="495"/>
      <c r="AF12" s="495"/>
      <c r="AG12" s="495"/>
      <c r="AH12" s="495"/>
      <c r="AI12" s="495"/>
      <c r="AJ12" s="495">
        <f t="shared" si="9"/>
        <v>0</v>
      </c>
      <c r="AK12" s="495">
        <f t="shared" si="13"/>
        <v>0</v>
      </c>
      <c r="AL12" s="495"/>
      <c r="AM12" s="42"/>
      <c r="AN12" s="495">
        <f t="shared" si="10"/>
        <v>0</v>
      </c>
      <c r="AO12" s="495">
        <f t="shared" si="14"/>
        <v>0</v>
      </c>
      <c r="AP12" s="495"/>
      <c r="AQ12" s="495"/>
      <c r="AR12" s="495"/>
      <c r="AS12" s="495"/>
      <c r="AT12" s="495"/>
      <c r="AU12" s="495"/>
      <c r="AV12" s="495"/>
      <c r="AW12" s="495"/>
      <c r="AX12" s="495">
        <f t="shared" si="11"/>
        <v>0</v>
      </c>
      <c r="AY12" s="495">
        <f t="shared" si="15"/>
        <v>0</v>
      </c>
      <c r="AZ12" s="495"/>
      <c r="BA12" s="495"/>
      <c r="BB12" s="495"/>
      <c r="BC12" s="495"/>
      <c r="BD12" s="495"/>
      <c r="BE12" s="495">
        <f t="shared" si="16"/>
        <v>0</v>
      </c>
      <c r="BF12" s="495">
        <f t="shared" si="18"/>
        <v>0</v>
      </c>
      <c r="BG12" s="495">
        <f t="shared" si="17"/>
        <v>0</v>
      </c>
      <c r="BH12" s="495"/>
      <c r="BI12" s="495"/>
      <c r="BJ12" s="495"/>
      <c r="BK12" s="495"/>
      <c r="BL12" s="495"/>
    </row>
    <row r="13" spans="1:64" s="5" customFormat="1" ht="30" customHeight="1">
      <c r="A13" s="3">
        <f t="shared" si="12"/>
        <v>8</v>
      </c>
      <c r="B13" s="3">
        <v>1100</v>
      </c>
      <c r="C13" s="3" t="s">
        <v>17</v>
      </c>
      <c r="D13" s="4">
        <v>6650000</v>
      </c>
      <c r="E13" s="4">
        <v>6650000</v>
      </c>
      <c r="F13" s="4">
        <f t="shared" si="0"/>
        <v>0</v>
      </c>
      <c r="G13" s="4">
        <v>6650000</v>
      </c>
      <c r="H13" s="4">
        <v>6636801</v>
      </c>
      <c r="I13" s="4"/>
      <c r="J13" s="4"/>
      <c r="K13" s="4">
        <f t="shared" si="1"/>
        <v>0</v>
      </c>
      <c r="L13" s="4">
        <f t="shared" si="2"/>
        <v>6636801</v>
      </c>
      <c r="M13" s="495">
        <f>P13+S13</f>
        <v>13199</v>
      </c>
      <c r="N13" s="4"/>
      <c r="O13" s="4">
        <f t="shared" si="3"/>
        <v>0</v>
      </c>
      <c r="P13" s="4">
        <f t="shared" si="4"/>
        <v>13199</v>
      </c>
      <c r="Q13" s="4"/>
      <c r="R13" s="4"/>
      <c r="S13" s="4">
        <f t="shared" si="5"/>
        <v>0</v>
      </c>
      <c r="T13" s="495">
        <f t="shared" si="6"/>
        <v>0</v>
      </c>
      <c r="U13" s="4">
        <f t="shared" si="7"/>
        <v>0</v>
      </c>
      <c r="V13" s="4">
        <f t="shared" si="8"/>
        <v>0</v>
      </c>
      <c r="W13" s="4"/>
      <c r="X13" s="4"/>
      <c r="Y13" s="4"/>
      <c r="Z13" s="4"/>
      <c r="AA13" s="3"/>
      <c r="AB13" s="3" t="s">
        <v>715</v>
      </c>
      <c r="AC13" s="3">
        <v>732000</v>
      </c>
      <c r="AD13" s="495"/>
      <c r="AE13" s="495"/>
      <c r="AF13" s="495"/>
      <c r="AG13" s="495"/>
      <c r="AH13" s="495"/>
      <c r="AI13" s="495"/>
      <c r="AJ13" s="495">
        <f t="shared" si="9"/>
        <v>0</v>
      </c>
      <c r="AK13" s="495">
        <f t="shared" si="13"/>
        <v>0</v>
      </c>
      <c r="AL13" s="495"/>
      <c r="AM13" s="42"/>
      <c r="AN13" s="495">
        <f t="shared" si="10"/>
        <v>0</v>
      </c>
      <c r="AO13" s="495">
        <f t="shared" si="14"/>
        <v>0</v>
      </c>
      <c r="AP13" s="495"/>
      <c r="AQ13" s="495"/>
      <c r="AR13" s="495"/>
      <c r="AS13" s="495"/>
      <c r="AT13" s="495"/>
      <c r="AU13" s="495"/>
      <c r="AV13" s="495">
        <v>-13000</v>
      </c>
      <c r="AW13" s="495"/>
      <c r="AX13" s="495">
        <f t="shared" si="11"/>
        <v>0</v>
      </c>
      <c r="AY13" s="495">
        <f t="shared" si="15"/>
        <v>0</v>
      </c>
      <c r="AZ13" s="495"/>
      <c r="BA13" s="495"/>
      <c r="BB13" s="495"/>
      <c r="BC13" s="495"/>
      <c r="BD13" s="495"/>
      <c r="BE13" s="495">
        <f t="shared" si="16"/>
        <v>0</v>
      </c>
      <c r="BF13" s="495">
        <f t="shared" si="18"/>
        <v>0</v>
      </c>
      <c r="BG13" s="495">
        <f t="shared" si="17"/>
        <v>0</v>
      </c>
      <c r="BH13" s="495"/>
      <c r="BI13" s="495"/>
      <c r="BJ13" s="495"/>
      <c r="BK13" s="495"/>
      <c r="BL13" s="495"/>
    </row>
    <row r="14" spans="1:64" s="6" customFormat="1" ht="30" customHeight="1">
      <c r="A14" s="3">
        <f t="shared" si="12"/>
        <v>9</v>
      </c>
      <c r="B14" s="3">
        <v>1129</v>
      </c>
      <c r="C14" s="3" t="s">
        <v>29</v>
      </c>
      <c r="D14" s="4">
        <f>7000000+3000000-2500000</f>
        <v>7500000</v>
      </c>
      <c r="E14" s="4">
        <v>7000000</v>
      </c>
      <c r="F14" s="4">
        <f t="shared" si="0"/>
        <v>500000</v>
      </c>
      <c r="G14" s="4">
        <v>6891771</v>
      </c>
      <c r="H14" s="4">
        <v>6201031</v>
      </c>
      <c r="I14" s="4"/>
      <c r="J14" s="4">
        <f>674374-397800</f>
        <v>276574</v>
      </c>
      <c r="K14" s="4">
        <f t="shared" si="1"/>
        <v>276574</v>
      </c>
      <c r="L14" s="4">
        <f t="shared" si="2"/>
        <v>6477605</v>
      </c>
      <c r="M14" s="495">
        <f>P14+S14-230000-180000</f>
        <v>4166</v>
      </c>
      <c r="N14" s="4">
        <f>500000-300000</f>
        <v>200000</v>
      </c>
      <c r="O14" s="4">
        <f t="shared" si="3"/>
        <v>818229</v>
      </c>
      <c r="P14" s="4">
        <f t="shared" si="4"/>
        <v>414166</v>
      </c>
      <c r="Q14" s="4"/>
      <c r="R14" s="4"/>
      <c r="S14" s="4">
        <f t="shared" si="5"/>
        <v>0</v>
      </c>
      <c r="T14" s="495">
        <f t="shared" si="6"/>
        <v>410000</v>
      </c>
      <c r="U14" s="4">
        <f t="shared" si="7"/>
        <v>-210000</v>
      </c>
      <c r="V14" s="4">
        <f t="shared" si="8"/>
        <v>-210000</v>
      </c>
      <c r="W14" s="4"/>
      <c r="X14" s="4"/>
      <c r="Y14" s="4"/>
      <c r="Z14" s="4"/>
      <c r="AA14" s="3"/>
      <c r="AB14" s="3" t="s">
        <v>261</v>
      </c>
      <c r="AC14" s="3">
        <v>742000</v>
      </c>
      <c r="AD14" s="495">
        <v>-210000</v>
      </c>
      <c r="AE14" s="495"/>
      <c r="AF14" s="495"/>
      <c r="AG14" s="495"/>
      <c r="AH14" s="495"/>
      <c r="AI14" s="495"/>
      <c r="AJ14" s="495">
        <f t="shared" si="9"/>
        <v>-210000</v>
      </c>
      <c r="AK14" s="495">
        <f t="shared" si="13"/>
        <v>0</v>
      </c>
      <c r="AL14" s="495"/>
      <c r="AM14" s="42"/>
      <c r="AN14" s="495">
        <f t="shared" si="10"/>
        <v>0</v>
      </c>
      <c r="AO14" s="495">
        <f t="shared" si="14"/>
        <v>0</v>
      </c>
      <c r="AP14" s="495"/>
      <c r="AQ14" s="495"/>
      <c r="AR14" s="495"/>
      <c r="AS14" s="495"/>
      <c r="AT14" s="495"/>
      <c r="AU14" s="495"/>
      <c r="AV14" s="495">
        <v>50000</v>
      </c>
      <c r="AW14" s="495"/>
      <c r="AX14" s="495">
        <f t="shared" si="11"/>
        <v>0</v>
      </c>
      <c r="AY14" s="495">
        <f t="shared" si="15"/>
        <v>0</v>
      </c>
      <c r="AZ14" s="495"/>
      <c r="BA14" s="495"/>
      <c r="BB14" s="495"/>
      <c r="BC14" s="495"/>
      <c r="BD14" s="495"/>
      <c r="BE14" s="495">
        <f t="shared" si="16"/>
        <v>-210000</v>
      </c>
      <c r="BF14" s="495">
        <f t="shared" si="18"/>
        <v>0</v>
      </c>
      <c r="BG14" s="495">
        <f t="shared" si="17"/>
        <v>-210000</v>
      </c>
      <c r="BH14" s="495"/>
      <c r="BI14" s="495"/>
      <c r="BJ14" s="495"/>
      <c r="BK14" s="495"/>
      <c r="BL14" s="495"/>
    </row>
    <row r="15" spans="1:64" s="5" customFormat="1" ht="30" customHeight="1">
      <c r="A15" s="3">
        <f t="shared" si="12"/>
        <v>10</v>
      </c>
      <c r="B15" s="3">
        <v>1220</v>
      </c>
      <c r="C15" s="3" t="s">
        <v>31</v>
      </c>
      <c r="D15" s="4">
        <f>7260000+2000000-2000000+200000-200000</f>
        <v>7260000</v>
      </c>
      <c r="E15" s="4">
        <v>7260000</v>
      </c>
      <c r="F15" s="4">
        <f t="shared" si="0"/>
        <v>0</v>
      </c>
      <c r="G15" s="4">
        <v>6760000</v>
      </c>
      <c r="H15" s="4">
        <v>6219405</v>
      </c>
      <c r="I15" s="4">
        <v>6436</v>
      </c>
      <c r="J15" s="4">
        <f>317137-16848-9660-46051</f>
        <v>244578</v>
      </c>
      <c r="K15" s="4">
        <f t="shared" si="1"/>
        <v>251014</v>
      </c>
      <c r="L15" s="4">
        <f t="shared" si="2"/>
        <v>6470419</v>
      </c>
      <c r="M15" s="495">
        <f>P15+S15-150000-230000+91000</f>
        <v>581</v>
      </c>
      <c r="N15" s="4">
        <f>700000+150000-550000-100000</f>
        <v>200000</v>
      </c>
      <c r="O15" s="4">
        <f t="shared" si="3"/>
        <v>589000</v>
      </c>
      <c r="P15" s="4">
        <f t="shared" si="4"/>
        <v>289581</v>
      </c>
      <c r="Q15" s="4"/>
      <c r="R15" s="4"/>
      <c r="S15" s="4">
        <f t="shared" si="5"/>
        <v>0</v>
      </c>
      <c r="T15" s="495">
        <f t="shared" si="6"/>
        <v>289000</v>
      </c>
      <c r="U15" s="4">
        <f t="shared" si="7"/>
        <v>-89000</v>
      </c>
      <c r="V15" s="4">
        <f t="shared" si="8"/>
        <v>-89000</v>
      </c>
      <c r="W15" s="4"/>
      <c r="X15" s="4"/>
      <c r="Y15" s="4"/>
      <c r="Z15" s="4"/>
      <c r="AA15" s="3"/>
      <c r="AB15" s="3" t="s">
        <v>479</v>
      </c>
      <c r="AC15" s="3">
        <v>732000</v>
      </c>
      <c r="AD15" s="495">
        <v>-89000</v>
      </c>
      <c r="AE15" s="495"/>
      <c r="AF15" s="495"/>
      <c r="AG15" s="495"/>
      <c r="AH15" s="495"/>
      <c r="AI15" s="495"/>
      <c r="AJ15" s="495">
        <f t="shared" si="9"/>
        <v>-89000</v>
      </c>
      <c r="AK15" s="495">
        <f t="shared" si="13"/>
        <v>0</v>
      </c>
      <c r="AL15" s="495"/>
      <c r="AM15" s="42"/>
      <c r="AN15" s="495">
        <f t="shared" si="10"/>
        <v>0</v>
      </c>
      <c r="AO15" s="495">
        <f t="shared" si="14"/>
        <v>0</v>
      </c>
      <c r="AP15" s="495"/>
      <c r="AQ15" s="495"/>
      <c r="AR15" s="495"/>
      <c r="AS15" s="495"/>
      <c r="AT15" s="495"/>
      <c r="AU15" s="495"/>
      <c r="AV15" s="495">
        <v>200000</v>
      </c>
      <c r="AW15" s="495"/>
      <c r="AX15" s="495">
        <f t="shared" si="11"/>
        <v>0</v>
      </c>
      <c r="AY15" s="495">
        <f t="shared" si="15"/>
        <v>0</v>
      </c>
      <c r="AZ15" s="495"/>
      <c r="BA15" s="495"/>
      <c r="BB15" s="495"/>
      <c r="BC15" s="495"/>
      <c r="BD15" s="495"/>
      <c r="BE15" s="495">
        <f t="shared" si="16"/>
        <v>-89000</v>
      </c>
      <c r="BF15" s="495">
        <f t="shared" si="18"/>
        <v>0</v>
      </c>
      <c r="BG15" s="495">
        <f t="shared" si="17"/>
        <v>-89000</v>
      </c>
      <c r="BH15" s="495"/>
      <c r="BI15" s="495"/>
      <c r="BJ15" s="495"/>
      <c r="BK15" s="495"/>
      <c r="BL15" s="495"/>
    </row>
    <row r="16" spans="1:64" s="6" customFormat="1" ht="30" customHeight="1">
      <c r="A16" s="3">
        <f t="shared" si="12"/>
        <v>11</v>
      </c>
      <c r="B16" s="3">
        <v>1366</v>
      </c>
      <c r="C16" s="3" t="s">
        <v>33</v>
      </c>
      <c r="D16" s="4">
        <f>1500000+76000</f>
        <v>1576000</v>
      </c>
      <c r="E16" s="4">
        <v>1500000</v>
      </c>
      <c r="F16" s="4">
        <f t="shared" si="0"/>
        <v>76000</v>
      </c>
      <c r="G16" s="4">
        <v>1376000</v>
      </c>
      <c r="H16" s="4">
        <v>1044273</v>
      </c>
      <c r="I16" s="4"/>
      <c r="J16" s="4">
        <v>131715</v>
      </c>
      <c r="K16" s="4">
        <f t="shared" si="1"/>
        <v>131715</v>
      </c>
      <c r="L16" s="4">
        <f t="shared" si="2"/>
        <v>1175988</v>
      </c>
      <c r="M16" s="495">
        <f>P16+S16-200000-20000+20000</f>
        <v>12</v>
      </c>
      <c r="N16" s="4">
        <f>200000+200000-200000+20000-20000</f>
        <v>200000</v>
      </c>
      <c r="O16" s="4">
        <f t="shared" si="3"/>
        <v>200000</v>
      </c>
      <c r="P16" s="4">
        <f t="shared" si="4"/>
        <v>200012</v>
      </c>
      <c r="Q16" s="4"/>
      <c r="R16" s="4"/>
      <c r="S16" s="4">
        <f t="shared" si="5"/>
        <v>0</v>
      </c>
      <c r="T16" s="495">
        <f t="shared" si="6"/>
        <v>200000</v>
      </c>
      <c r="U16" s="4">
        <f t="shared" si="7"/>
        <v>0</v>
      </c>
      <c r="V16" s="4">
        <f t="shared" si="8"/>
        <v>0</v>
      </c>
      <c r="W16" s="4"/>
      <c r="X16" s="4"/>
      <c r="Y16" s="4"/>
      <c r="Z16" s="4"/>
      <c r="AA16" s="3"/>
      <c r="AB16" s="3" t="s">
        <v>924</v>
      </c>
      <c r="AC16" s="3">
        <v>742000</v>
      </c>
      <c r="AD16" s="495"/>
      <c r="AE16" s="495"/>
      <c r="AF16" s="495"/>
      <c r="AG16" s="495"/>
      <c r="AH16" s="495"/>
      <c r="AI16" s="495"/>
      <c r="AJ16" s="495">
        <f t="shared" si="9"/>
        <v>0</v>
      </c>
      <c r="AK16" s="495">
        <f t="shared" si="13"/>
        <v>0</v>
      </c>
      <c r="AL16" s="495"/>
      <c r="AM16" s="42"/>
      <c r="AN16" s="495">
        <f t="shared" si="10"/>
        <v>0</v>
      </c>
      <c r="AO16" s="495">
        <f t="shared" si="14"/>
        <v>0</v>
      </c>
      <c r="AP16" s="495"/>
      <c r="AQ16" s="495"/>
      <c r="AR16" s="495"/>
      <c r="AS16" s="495"/>
      <c r="AT16" s="495"/>
      <c r="AU16" s="495"/>
      <c r="AV16" s="495"/>
      <c r="AW16" s="495"/>
      <c r="AX16" s="495">
        <f t="shared" si="11"/>
        <v>0</v>
      </c>
      <c r="AY16" s="495">
        <f t="shared" si="15"/>
        <v>0</v>
      </c>
      <c r="AZ16" s="495"/>
      <c r="BA16" s="495"/>
      <c r="BB16" s="495"/>
      <c r="BC16" s="495"/>
      <c r="BD16" s="495"/>
      <c r="BE16" s="495">
        <f t="shared" si="16"/>
        <v>0</v>
      </c>
      <c r="BF16" s="495">
        <f t="shared" si="18"/>
        <v>0</v>
      </c>
      <c r="BG16" s="495">
        <f t="shared" si="17"/>
        <v>0</v>
      </c>
      <c r="BH16" s="495"/>
      <c r="BI16" s="495"/>
      <c r="BJ16" s="495"/>
      <c r="BK16" s="495"/>
      <c r="BL16" s="495"/>
    </row>
    <row r="17" spans="1:64" s="6" customFormat="1" ht="30" customHeight="1">
      <c r="A17" s="3">
        <f t="shared" si="12"/>
        <v>12</v>
      </c>
      <c r="B17" s="3">
        <v>1406</v>
      </c>
      <c r="C17" s="3" t="s">
        <v>84</v>
      </c>
      <c r="D17" s="4">
        <v>1250000</v>
      </c>
      <c r="E17" s="4">
        <v>1250000</v>
      </c>
      <c r="F17" s="4">
        <f t="shared" si="0"/>
        <v>0</v>
      </c>
      <c r="G17" s="4">
        <v>1250000</v>
      </c>
      <c r="H17" s="4">
        <v>1225877</v>
      </c>
      <c r="I17" s="4"/>
      <c r="J17" s="4">
        <v>24123</v>
      </c>
      <c r="K17" s="4">
        <f t="shared" si="1"/>
        <v>24123</v>
      </c>
      <c r="L17" s="4">
        <f t="shared" si="2"/>
        <v>1250000</v>
      </c>
      <c r="M17" s="495">
        <f>P17+S17-28590+4466+24124</f>
        <v>0</v>
      </c>
      <c r="N17" s="4"/>
      <c r="O17" s="4">
        <f t="shared" si="3"/>
        <v>0</v>
      </c>
      <c r="P17" s="4">
        <f t="shared" si="4"/>
        <v>0</v>
      </c>
      <c r="Q17" s="4"/>
      <c r="R17" s="4"/>
      <c r="S17" s="4">
        <f t="shared" si="5"/>
        <v>0</v>
      </c>
      <c r="T17" s="495">
        <f t="shared" si="6"/>
        <v>0</v>
      </c>
      <c r="U17" s="4">
        <f t="shared" si="7"/>
        <v>0</v>
      </c>
      <c r="V17" s="4">
        <f t="shared" si="8"/>
        <v>0</v>
      </c>
      <c r="W17" s="4"/>
      <c r="X17" s="4"/>
      <c r="Y17" s="4"/>
      <c r="Z17" s="4"/>
      <c r="AA17" s="3"/>
      <c r="AB17" s="3" t="s">
        <v>669</v>
      </c>
      <c r="AC17" s="3">
        <v>732000</v>
      </c>
      <c r="AD17" s="495"/>
      <c r="AE17" s="495"/>
      <c r="AF17" s="495"/>
      <c r="AG17" s="495"/>
      <c r="AH17" s="495"/>
      <c r="AI17" s="495"/>
      <c r="AJ17" s="495">
        <f t="shared" si="9"/>
        <v>0</v>
      </c>
      <c r="AK17" s="495">
        <f t="shared" si="13"/>
        <v>0</v>
      </c>
      <c r="AL17" s="495"/>
      <c r="AM17" s="42"/>
      <c r="AN17" s="495">
        <f t="shared" si="10"/>
        <v>0</v>
      </c>
      <c r="AO17" s="495">
        <f t="shared" si="14"/>
        <v>0</v>
      </c>
      <c r="AP17" s="495"/>
      <c r="AQ17" s="495"/>
      <c r="AR17" s="495"/>
      <c r="AS17" s="495"/>
      <c r="AT17" s="495"/>
      <c r="AU17" s="495"/>
      <c r="AV17" s="495"/>
      <c r="AW17" s="495"/>
      <c r="AX17" s="495">
        <f t="shared" si="11"/>
        <v>0</v>
      </c>
      <c r="AY17" s="495">
        <f t="shared" si="15"/>
        <v>0</v>
      </c>
      <c r="AZ17" s="495"/>
      <c r="BA17" s="495"/>
      <c r="BB17" s="495"/>
      <c r="BC17" s="495"/>
      <c r="BD17" s="495"/>
      <c r="BE17" s="495">
        <f t="shared" si="16"/>
        <v>0</v>
      </c>
      <c r="BF17" s="495">
        <f t="shared" si="18"/>
        <v>0</v>
      </c>
      <c r="BG17" s="495">
        <f t="shared" si="17"/>
        <v>0</v>
      </c>
      <c r="BH17" s="495"/>
      <c r="BI17" s="495"/>
      <c r="BJ17" s="495"/>
      <c r="BK17" s="495"/>
      <c r="BL17" s="495"/>
    </row>
    <row r="18" spans="1:64" s="6" customFormat="1" ht="30" customHeight="1">
      <c r="A18" s="3">
        <f t="shared" si="12"/>
        <v>13</v>
      </c>
      <c r="B18" s="3">
        <v>1407</v>
      </c>
      <c r="C18" s="3" t="s">
        <v>18</v>
      </c>
      <c r="D18" s="4">
        <f>5295000+3000000-3000000</f>
        <v>5295000</v>
      </c>
      <c r="E18" s="4">
        <v>5295000</v>
      </c>
      <c r="F18" s="4">
        <f t="shared" si="0"/>
        <v>0</v>
      </c>
      <c r="G18" s="4">
        <v>4145000</v>
      </c>
      <c r="H18" s="4">
        <v>3138708</v>
      </c>
      <c r="I18" s="4">
        <v>6581</v>
      </c>
      <c r="J18" s="4">
        <f>926932-40154-257400-12870</f>
        <v>616508</v>
      </c>
      <c r="K18" s="4">
        <f t="shared" si="1"/>
        <v>623089</v>
      </c>
      <c r="L18" s="4">
        <f t="shared" si="2"/>
        <v>3761797</v>
      </c>
      <c r="M18" s="495">
        <f>P18+S18-300000-30000-50000</f>
        <v>3203</v>
      </c>
      <c r="N18" s="4">
        <f>700000-300000-200000</f>
        <v>200000</v>
      </c>
      <c r="O18" s="4">
        <f t="shared" si="3"/>
        <v>1330000</v>
      </c>
      <c r="P18" s="4">
        <f t="shared" si="4"/>
        <v>383203</v>
      </c>
      <c r="Q18" s="4"/>
      <c r="R18" s="4"/>
      <c r="S18" s="4">
        <f t="shared" si="5"/>
        <v>0</v>
      </c>
      <c r="T18" s="495">
        <f t="shared" si="6"/>
        <v>380000</v>
      </c>
      <c r="U18" s="4">
        <f t="shared" si="7"/>
        <v>-180000</v>
      </c>
      <c r="V18" s="4">
        <f t="shared" si="8"/>
        <v>-180000</v>
      </c>
      <c r="W18" s="4"/>
      <c r="X18" s="4"/>
      <c r="Y18" s="4"/>
      <c r="Z18" s="4"/>
      <c r="AA18" s="3"/>
      <c r="AB18" s="3" t="s">
        <v>386</v>
      </c>
      <c r="AC18" s="3">
        <v>732000</v>
      </c>
      <c r="AD18" s="495">
        <v>-180000</v>
      </c>
      <c r="AE18" s="495"/>
      <c r="AF18" s="495"/>
      <c r="AG18" s="495"/>
      <c r="AH18" s="495"/>
      <c r="AI18" s="495"/>
      <c r="AJ18" s="495">
        <f t="shared" si="9"/>
        <v>-180000</v>
      </c>
      <c r="AK18" s="495">
        <f t="shared" si="13"/>
        <v>0</v>
      </c>
      <c r="AL18" s="495"/>
      <c r="AM18" s="42"/>
      <c r="AN18" s="495">
        <f t="shared" si="10"/>
        <v>0</v>
      </c>
      <c r="AO18" s="495">
        <f t="shared" si="14"/>
        <v>0</v>
      </c>
      <c r="AP18" s="495"/>
      <c r="AQ18" s="495"/>
      <c r="AR18" s="495"/>
      <c r="AS18" s="495"/>
      <c r="AT18" s="495"/>
      <c r="AU18" s="495"/>
      <c r="AV18" s="495">
        <v>64000</v>
      </c>
      <c r="AW18" s="495"/>
      <c r="AX18" s="495">
        <f t="shared" si="11"/>
        <v>0</v>
      </c>
      <c r="AY18" s="495">
        <f t="shared" si="15"/>
        <v>0</v>
      </c>
      <c r="AZ18" s="495"/>
      <c r="BA18" s="495"/>
      <c r="BB18" s="495"/>
      <c r="BC18" s="495"/>
      <c r="BD18" s="495"/>
      <c r="BE18" s="495">
        <f t="shared" si="16"/>
        <v>-180000</v>
      </c>
      <c r="BF18" s="495">
        <f t="shared" si="18"/>
        <v>0</v>
      </c>
      <c r="BG18" s="495">
        <f t="shared" si="17"/>
        <v>-180000</v>
      </c>
      <c r="BH18" s="495"/>
      <c r="BI18" s="495"/>
      <c r="BJ18" s="495"/>
      <c r="BK18" s="495"/>
      <c r="BL18" s="495"/>
    </row>
    <row r="19" spans="1:64" s="5" customFormat="1" ht="30" customHeight="1">
      <c r="A19" s="3">
        <f t="shared" si="12"/>
        <v>14</v>
      </c>
      <c r="B19" s="3">
        <v>1409</v>
      </c>
      <c r="C19" s="19" t="s">
        <v>524</v>
      </c>
      <c r="D19" s="4">
        <v>7680000</v>
      </c>
      <c r="E19" s="4">
        <v>7680000</v>
      </c>
      <c r="F19" s="4">
        <f t="shared" si="0"/>
        <v>0</v>
      </c>
      <c r="G19" s="4">
        <v>6985000</v>
      </c>
      <c r="H19" s="4">
        <v>5099564</v>
      </c>
      <c r="I19" s="4">
        <v>1314720</v>
      </c>
      <c r="J19" s="4"/>
      <c r="K19" s="4">
        <f t="shared" si="1"/>
        <v>1314720</v>
      </c>
      <c r="L19" s="4">
        <f t="shared" si="2"/>
        <v>6414284</v>
      </c>
      <c r="M19" s="495">
        <f>P19+S19-570000</f>
        <v>716</v>
      </c>
      <c r="N19" s="4">
        <f>570000-270000-200000</f>
        <v>100000</v>
      </c>
      <c r="O19" s="4">
        <f t="shared" si="3"/>
        <v>1165000</v>
      </c>
      <c r="P19" s="4">
        <f t="shared" si="4"/>
        <v>570716</v>
      </c>
      <c r="Q19" s="4"/>
      <c r="R19" s="4"/>
      <c r="S19" s="4">
        <f t="shared" si="5"/>
        <v>0</v>
      </c>
      <c r="T19" s="495">
        <f t="shared" si="6"/>
        <v>570000</v>
      </c>
      <c r="U19" s="4">
        <f t="shared" si="7"/>
        <v>-470000</v>
      </c>
      <c r="V19" s="4">
        <f t="shared" si="8"/>
        <v>-470000</v>
      </c>
      <c r="W19" s="4"/>
      <c r="X19" s="4"/>
      <c r="Y19" s="4"/>
      <c r="Z19" s="4"/>
      <c r="AA19" s="3"/>
      <c r="AB19" s="3" t="s">
        <v>387</v>
      </c>
      <c r="AC19" s="3">
        <v>732000</v>
      </c>
      <c r="AD19" s="495">
        <v>-470000</v>
      </c>
      <c r="AE19" s="495"/>
      <c r="AF19" s="495"/>
      <c r="AG19" s="495"/>
      <c r="AH19" s="495"/>
      <c r="AI19" s="495"/>
      <c r="AJ19" s="495">
        <f t="shared" si="9"/>
        <v>-470000</v>
      </c>
      <c r="AK19" s="495">
        <f t="shared" si="13"/>
        <v>0</v>
      </c>
      <c r="AL19" s="495"/>
      <c r="AM19" s="42"/>
      <c r="AN19" s="495">
        <f t="shared" si="10"/>
        <v>0</v>
      </c>
      <c r="AO19" s="495">
        <f t="shared" si="14"/>
        <v>0</v>
      </c>
      <c r="AP19" s="495"/>
      <c r="AQ19" s="495"/>
      <c r="AR19" s="495"/>
      <c r="AS19" s="495"/>
      <c r="AT19" s="495"/>
      <c r="AU19" s="495"/>
      <c r="AV19" s="495"/>
      <c r="AW19" s="495"/>
      <c r="AX19" s="495">
        <f t="shared" si="11"/>
        <v>0</v>
      </c>
      <c r="AY19" s="495">
        <f t="shared" si="15"/>
        <v>0</v>
      </c>
      <c r="AZ19" s="495"/>
      <c r="BA19" s="495"/>
      <c r="BB19" s="495"/>
      <c r="BC19" s="495"/>
      <c r="BD19" s="495"/>
      <c r="BE19" s="495">
        <f t="shared" si="16"/>
        <v>-470000</v>
      </c>
      <c r="BF19" s="495">
        <f t="shared" si="18"/>
        <v>0</v>
      </c>
      <c r="BG19" s="495">
        <f t="shared" si="17"/>
        <v>-470000</v>
      </c>
      <c r="BH19" s="495"/>
      <c r="BI19" s="495"/>
      <c r="BJ19" s="495"/>
      <c r="BK19" s="495"/>
      <c r="BL19" s="495"/>
    </row>
    <row r="20" spans="1:64" s="5" customFormat="1" ht="30" customHeight="1">
      <c r="A20" s="3">
        <f t="shared" si="12"/>
        <v>15</v>
      </c>
      <c r="B20" s="3">
        <v>1466</v>
      </c>
      <c r="C20" s="3" t="s">
        <v>19</v>
      </c>
      <c r="D20" s="4">
        <v>2200000</v>
      </c>
      <c r="E20" s="4">
        <v>2200000</v>
      </c>
      <c r="F20" s="4">
        <f t="shared" si="0"/>
        <v>0</v>
      </c>
      <c r="G20" s="4">
        <v>1600000</v>
      </c>
      <c r="H20" s="4">
        <v>1352852</v>
      </c>
      <c r="I20" s="4"/>
      <c r="J20" s="4">
        <f>31636+194234</f>
        <v>225870</v>
      </c>
      <c r="K20" s="4">
        <f t="shared" si="1"/>
        <v>225870</v>
      </c>
      <c r="L20" s="4">
        <f t="shared" si="2"/>
        <v>1578722</v>
      </c>
      <c r="M20" s="495">
        <f>P20+S20-50000-160000+190000</f>
        <v>1278</v>
      </c>
      <c r="N20" s="4">
        <f>200000+50000-200000</f>
        <v>50000</v>
      </c>
      <c r="O20" s="4">
        <f t="shared" si="3"/>
        <v>570000</v>
      </c>
      <c r="P20" s="4">
        <f t="shared" si="4"/>
        <v>21278</v>
      </c>
      <c r="Q20" s="4"/>
      <c r="R20" s="4"/>
      <c r="S20" s="4">
        <f t="shared" si="5"/>
        <v>0</v>
      </c>
      <c r="T20" s="495">
        <f t="shared" si="6"/>
        <v>20000</v>
      </c>
      <c r="U20" s="4">
        <f t="shared" si="7"/>
        <v>30000</v>
      </c>
      <c r="V20" s="4">
        <f t="shared" si="8"/>
        <v>30000</v>
      </c>
      <c r="W20" s="4"/>
      <c r="X20" s="4"/>
      <c r="Y20" s="4"/>
      <c r="Z20" s="4"/>
      <c r="AA20" s="3"/>
      <c r="AB20" s="3" t="s">
        <v>480</v>
      </c>
      <c r="AC20" s="3">
        <v>732000</v>
      </c>
      <c r="AD20" s="495"/>
      <c r="AE20" s="495"/>
      <c r="AF20" s="495"/>
      <c r="AG20" s="495"/>
      <c r="AH20" s="495"/>
      <c r="AI20" s="495"/>
      <c r="AJ20" s="495">
        <f t="shared" si="9"/>
        <v>0</v>
      </c>
      <c r="AK20" s="495">
        <f t="shared" si="13"/>
        <v>30000</v>
      </c>
      <c r="AL20" s="495"/>
      <c r="AM20" s="42">
        <v>-30000</v>
      </c>
      <c r="AN20" s="495">
        <f t="shared" si="10"/>
        <v>0</v>
      </c>
      <c r="AO20" s="495">
        <f t="shared" si="14"/>
        <v>0</v>
      </c>
      <c r="AP20" s="495"/>
      <c r="AQ20" s="495"/>
      <c r="AR20" s="495"/>
      <c r="AS20" s="495"/>
      <c r="AT20" s="495"/>
      <c r="AU20" s="495"/>
      <c r="AV20" s="42">
        <v>-30000</v>
      </c>
      <c r="AW20" s="495"/>
      <c r="AX20" s="495">
        <f t="shared" si="11"/>
        <v>0</v>
      </c>
      <c r="AY20" s="495">
        <f t="shared" si="15"/>
        <v>0</v>
      </c>
      <c r="AZ20" s="495"/>
      <c r="BA20" s="495"/>
      <c r="BB20" s="495"/>
      <c r="BC20" s="495"/>
      <c r="BD20" s="495"/>
      <c r="BE20" s="495">
        <f t="shared" si="16"/>
        <v>0</v>
      </c>
      <c r="BF20" s="495">
        <f t="shared" si="18"/>
        <v>30000</v>
      </c>
      <c r="BG20" s="495">
        <f t="shared" si="17"/>
        <v>0</v>
      </c>
      <c r="BH20" s="495"/>
      <c r="BI20" s="495"/>
      <c r="BJ20" s="495"/>
      <c r="BK20" s="495"/>
      <c r="BL20" s="495"/>
    </row>
    <row r="21" spans="1:64" s="5" customFormat="1" ht="30" customHeight="1">
      <c r="A21" s="3">
        <f t="shared" si="12"/>
        <v>16</v>
      </c>
      <c r="B21" s="3">
        <v>1527</v>
      </c>
      <c r="C21" s="3" t="s">
        <v>1461</v>
      </c>
      <c r="D21" s="4">
        <v>3000000</v>
      </c>
      <c r="E21" s="4">
        <v>3000000</v>
      </c>
      <c r="F21" s="4">
        <f t="shared" si="0"/>
        <v>0</v>
      </c>
      <c r="G21" s="4">
        <v>1150000</v>
      </c>
      <c r="H21" s="4">
        <v>902305</v>
      </c>
      <c r="I21" s="4"/>
      <c r="J21" s="4"/>
      <c r="K21" s="4">
        <f t="shared" si="1"/>
        <v>0</v>
      </c>
      <c r="L21" s="4">
        <f t="shared" si="2"/>
        <v>902305</v>
      </c>
      <c r="M21" s="495">
        <f>P21+S21-245000</f>
        <v>2695</v>
      </c>
      <c r="N21" s="4">
        <f>245000-95000-100000</f>
        <v>50000</v>
      </c>
      <c r="O21" s="4">
        <f t="shared" si="3"/>
        <v>2045000</v>
      </c>
      <c r="P21" s="4">
        <f t="shared" si="4"/>
        <v>247695</v>
      </c>
      <c r="Q21" s="4"/>
      <c r="R21" s="4"/>
      <c r="S21" s="4">
        <f t="shared" si="5"/>
        <v>0</v>
      </c>
      <c r="T21" s="495">
        <f t="shared" si="6"/>
        <v>245000</v>
      </c>
      <c r="U21" s="4">
        <f t="shared" si="7"/>
        <v>-195000</v>
      </c>
      <c r="V21" s="4">
        <f t="shared" si="8"/>
        <v>-195000</v>
      </c>
      <c r="W21" s="4"/>
      <c r="X21" s="4"/>
      <c r="Y21" s="4"/>
      <c r="Z21" s="4"/>
      <c r="AA21" s="3"/>
      <c r="AB21" s="19" t="s">
        <v>925</v>
      </c>
      <c r="AC21" s="3">
        <v>732000</v>
      </c>
      <c r="AD21" s="495">
        <v>-195000</v>
      </c>
      <c r="AE21" s="495"/>
      <c r="AF21" s="495"/>
      <c r="AG21" s="495"/>
      <c r="AH21" s="495"/>
      <c r="AI21" s="495"/>
      <c r="AJ21" s="495">
        <f t="shared" si="9"/>
        <v>-195000</v>
      </c>
      <c r="AK21" s="495">
        <f t="shared" si="13"/>
        <v>0</v>
      </c>
      <c r="AL21" s="495"/>
      <c r="AM21" s="42"/>
      <c r="AN21" s="495">
        <f t="shared" si="10"/>
        <v>0</v>
      </c>
      <c r="AO21" s="495">
        <f t="shared" si="14"/>
        <v>0</v>
      </c>
      <c r="AP21" s="495"/>
      <c r="AQ21" s="495"/>
      <c r="AR21" s="495"/>
      <c r="AS21" s="495"/>
      <c r="AT21" s="495"/>
      <c r="AU21" s="495">
        <v>-11530</v>
      </c>
      <c r="AV21" s="495"/>
      <c r="AW21" s="495"/>
      <c r="AX21" s="495">
        <f t="shared" si="11"/>
        <v>0</v>
      </c>
      <c r="AY21" s="495">
        <f t="shared" si="15"/>
        <v>0</v>
      </c>
      <c r="AZ21" s="495"/>
      <c r="BA21" s="495"/>
      <c r="BB21" s="495"/>
      <c r="BC21" s="495"/>
      <c r="BD21" s="495"/>
      <c r="BE21" s="495">
        <f t="shared" si="16"/>
        <v>-195000</v>
      </c>
      <c r="BF21" s="495">
        <f t="shared" si="18"/>
        <v>0</v>
      </c>
      <c r="BG21" s="495">
        <f t="shared" si="17"/>
        <v>-195000</v>
      </c>
      <c r="BH21" s="495"/>
      <c r="BI21" s="495"/>
      <c r="BJ21" s="495"/>
      <c r="BK21" s="495"/>
      <c r="BL21" s="495"/>
    </row>
    <row r="22" spans="1:64" s="5" customFormat="1" ht="30" customHeight="1">
      <c r="A22" s="3">
        <f t="shared" si="12"/>
        <v>17</v>
      </c>
      <c r="B22" s="3">
        <v>1529</v>
      </c>
      <c r="C22" s="3" t="s">
        <v>38</v>
      </c>
      <c r="D22" s="4">
        <v>700000</v>
      </c>
      <c r="E22" s="4">
        <v>700000</v>
      </c>
      <c r="F22" s="4">
        <f t="shared" si="0"/>
        <v>0</v>
      </c>
      <c r="G22" s="4">
        <v>500000</v>
      </c>
      <c r="H22" s="4">
        <v>417794</v>
      </c>
      <c r="I22" s="4"/>
      <c r="J22" s="4"/>
      <c r="K22" s="4">
        <f t="shared" si="1"/>
        <v>0</v>
      </c>
      <c r="L22" s="4">
        <f t="shared" si="2"/>
        <v>417794</v>
      </c>
      <c r="M22" s="495">
        <f>P22+S22-70000-10000</f>
        <v>2206</v>
      </c>
      <c r="N22" s="4">
        <f>70000-30000</f>
        <v>40000</v>
      </c>
      <c r="O22" s="4">
        <f t="shared" si="3"/>
        <v>240000</v>
      </c>
      <c r="P22" s="4">
        <f t="shared" si="4"/>
        <v>82206</v>
      </c>
      <c r="Q22" s="4"/>
      <c r="R22" s="4"/>
      <c r="S22" s="4">
        <f t="shared" si="5"/>
        <v>0</v>
      </c>
      <c r="T22" s="495">
        <f t="shared" si="6"/>
        <v>80000</v>
      </c>
      <c r="U22" s="4">
        <f t="shared" si="7"/>
        <v>-40000</v>
      </c>
      <c r="V22" s="4">
        <f t="shared" si="8"/>
        <v>-40000</v>
      </c>
      <c r="W22" s="4"/>
      <c r="X22" s="4"/>
      <c r="Y22" s="4"/>
      <c r="Z22" s="4"/>
      <c r="AA22" s="3"/>
      <c r="AB22" s="3" t="s">
        <v>250</v>
      </c>
      <c r="AC22" s="3">
        <v>760000</v>
      </c>
      <c r="AD22" s="495"/>
      <c r="AE22" s="495">
        <v>-40000</v>
      </c>
      <c r="AF22" s="495"/>
      <c r="AG22" s="495"/>
      <c r="AH22" s="495"/>
      <c r="AI22" s="495"/>
      <c r="AJ22" s="495">
        <f t="shared" si="9"/>
        <v>-40000</v>
      </c>
      <c r="AK22" s="495">
        <f t="shared" si="13"/>
        <v>0</v>
      </c>
      <c r="AL22" s="495"/>
      <c r="AM22" s="42"/>
      <c r="AN22" s="495">
        <f t="shared" si="10"/>
        <v>0</v>
      </c>
      <c r="AO22" s="495">
        <f t="shared" si="14"/>
        <v>0</v>
      </c>
      <c r="AP22" s="495"/>
      <c r="AQ22" s="495"/>
      <c r="AR22" s="495"/>
      <c r="AS22" s="495"/>
      <c r="AT22" s="495"/>
      <c r="AU22" s="495"/>
      <c r="AV22" s="495"/>
      <c r="AW22" s="495"/>
      <c r="AX22" s="495">
        <f t="shared" si="11"/>
        <v>0</v>
      </c>
      <c r="AY22" s="495">
        <f t="shared" si="15"/>
        <v>0</v>
      </c>
      <c r="AZ22" s="495"/>
      <c r="BA22" s="495"/>
      <c r="BB22" s="495"/>
      <c r="BC22" s="495"/>
      <c r="BD22" s="495"/>
      <c r="BE22" s="495">
        <f t="shared" si="16"/>
        <v>-40000</v>
      </c>
      <c r="BF22" s="495">
        <f t="shared" si="18"/>
        <v>0</v>
      </c>
      <c r="BG22" s="495">
        <f t="shared" si="17"/>
        <v>-40000</v>
      </c>
      <c r="BH22" s="495"/>
      <c r="BI22" s="495"/>
      <c r="BJ22" s="495"/>
      <c r="BK22" s="495"/>
      <c r="BL22" s="495"/>
    </row>
    <row r="23" spans="1:64" s="5" customFormat="1" ht="30" customHeight="1">
      <c r="A23" s="3">
        <f t="shared" si="12"/>
        <v>18</v>
      </c>
      <c r="B23" s="3">
        <v>1551</v>
      </c>
      <c r="C23" s="3" t="s">
        <v>602</v>
      </c>
      <c r="D23" s="4">
        <v>525240</v>
      </c>
      <c r="E23" s="4">
        <v>525240</v>
      </c>
      <c r="F23" s="4">
        <f t="shared" si="0"/>
        <v>0</v>
      </c>
      <c r="G23" s="4">
        <v>375240</v>
      </c>
      <c r="H23" s="4">
        <v>237203</v>
      </c>
      <c r="I23" s="4">
        <v>7492</v>
      </c>
      <c r="J23" s="4"/>
      <c r="K23" s="4">
        <f t="shared" si="1"/>
        <v>7492</v>
      </c>
      <c r="L23" s="4">
        <f t="shared" si="2"/>
        <v>244695</v>
      </c>
      <c r="M23" s="495">
        <f>P23+S23-130000</f>
        <v>545</v>
      </c>
      <c r="N23" s="4">
        <f>130000-30000-70000</f>
        <v>30000</v>
      </c>
      <c r="O23" s="4">
        <f t="shared" si="3"/>
        <v>250000</v>
      </c>
      <c r="P23" s="4">
        <f t="shared" si="4"/>
        <v>130545</v>
      </c>
      <c r="Q23" s="4"/>
      <c r="R23" s="4"/>
      <c r="S23" s="4">
        <f t="shared" si="5"/>
        <v>0</v>
      </c>
      <c r="T23" s="495">
        <f t="shared" si="6"/>
        <v>130000</v>
      </c>
      <c r="U23" s="4">
        <f t="shared" si="7"/>
        <v>-100000</v>
      </c>
      <c r="V23" s="4">
        <f t="shared" si="8"/>
        <v>-100000</v>
      </c>
      <c r="W23" s="4"/>
      <c r="X23" s="4"/>
      <c r="Y23" s="4"/>
      <c r="Z23" s="4"/>
      <c r="AA23" s="3"/>
      <c r="AB23" s="3" t="s">
        <v>370</v>
      </c>
      <c r="AC23" s="3">
        <v>732000</v>
      </c>
      <c r="AD23" s="495">
        <v>-100000</v>
      </c>
      <c r="AE23" s="495"/>
      <c r="AF23" s="495"/>
      <c r="AG23" s="495"/>
      <c r="AH23" s="495"/>
      <c r="AI23" s="495"/>
      <c r="AJ23" s="495">
        <f t="shared" si="9"/>
        <v>-100000</v>
      </c>
      <c r="AK23" s="495">
        <f t="shared" si="13"/>
        <v>0</v>
      </c>
      <c r="AL23" s="495"/>
      <c r="AM23" s="42"/>
      <c r="AN23" s="495">
        <f t="shared" si="10"/>
        <v>0</v>
      </c>
      <c r="AO23" s="495">
        <f t="shared" si="14"/>
        <v>0</v>
      </c>
      <c r="AP23" s="495"/>
      <c r="AQ23" s="495"/>
      <c r="AR23" s="495"/>
      <c r="AS23" s="495"/>
      <c r="AT23" s="495"/>
      <c r="AU23" s="495"/>
      <c r="AV23" s="495"/>
      <c r="AW23" s="495"/>
      <c r="AX23" s="495">
        <f t="shared" si="11"/>
        <v>0</v>
      </c>
      <c r="AY23" s="495">
        <f t="shared" si="15"/>
        <v>0</v>
      </c>
      <c r="AZ23" s="495"/>
      <c r="BA23" s="495"/>
      <c r="BB23" s="495"/>
      <c r="BC23" s="495"/>
      <c r="BD23" s="495"/>
      <c r="BE23" s="495">
        <f t="shared" si="16"/>
        <v>-100000</v>
      </c>
      <c r="BF23" s="495">
        <f t="shared" si="18"/>
        <v>0</v>
      </c>
      <c r="BG23" s="495">
        <f t="shared" si="17"/>
        <v>-100000</v>
      </c>
      <c r="BH23" s="495"/>
      <c r="BI23" s="495"/>
      <c r="BJ23" s="495"/>
      <c r="BK23" s="495"/>
      <c r="BL23" s="495"/>
    </row>
    <row r="24" spans="1:64" s="5" customFormat="1" ht="30" customHeight="1">
      <c r="A24" s="3">
        <f t="shared" si="12"/>
        <v>19</v>
      </c>
      <c r="B24" s="3">
        <v>1576</v>
      </c>
      <c r="C24" s="3" t="s">
        <v>1138</v>
      </c>
      <c r="D24" s="4">
        <v>1000000</v>
      </c>
      <c r="E24" s="4">
        <v>1000000</v>
      </c>
      <c r="F24" s="4">
        <f t="shared" si="0"/>
        <v>0</v>
      </c>
      <c r="G24" s="4">
        <v>450000</v>
      </c>
      <c r="H24" s="4">
        <v>376310</v>
      </c>
      <c r="I24" s="4"/>
      <c r="J24" s="4"/>
      <c r="K24" s="4">
        <f t="shared" si="1"/>
        <v>0</v>
      </c>
      <c r="L24" s="4">
        <f t="shared" si="2"/>
        <v>376310</v>
      </c>
      <c r="M24" s="495">
        <f>P24+S24-70000</f>
        <v>3690</v>
      </c>
      <c r="N24" s="4">
        <f>70000-20000</f>
        <v>50000</v>
      </c>
      <c r="O24" s="4">
        <f t="shared" si="3"/>
        <v>570000</v>
      </c>
      <c r="P24" s="4">
        <f t="shared" si="4"/>
        <v>73690</v>
      </c>
      <c r="Q24" s="4"/>
      <c r="R24" s="4"/>
      <c r="S24" s="4">
        <f t="shared" si="5"/>
        <v>0</v>
      </c>
      <c r="T24" s="495">
        <f t="shared" si="6"/>
        <v>70000</v>
      </c>
      <c r="U24" s="4">
        <f t="shared" si="7"/>
        <v>-20000</v>
      </c>
      <c r="V24" s="4">
        <f t="shared" si="8"/>
        <v>-20000</v>
      </c>
      <c r="W24" s="4"/>
      <c r="X24" s="4"/>
      <c r="Y24" s="4"/>
      <c r="Z24" s="4"/>
      <c r="AA24" s="3"/>
      <c r="AB24" s="3" t="s">
        <v>926</v>
      </c>
      <c r="AC24" s="3">
        <v>732000</v>
      </c>
      <c r="AD24" s="495"/>
      <c r="AE24" s="495">
        <v>-20000</v>
      </c>
      <c r="AF24" s="495"/>
      <c r="AG24" s="495"/>
      <c r="AH24" s="495"/>
      <c r="AI24" s="495"/>
      <c r="AJ24" s="495">
        <f t="shared" si="9"/>
        <v>-20000</v>
      </c>
      <c r="AK24" s="495">
        <f t="shared" si="13"/>
        <v>0</v>
      </c>
      <c r="AL24" s="495"/>
      <c r="AM24" s="42"/>
      <c r="AN24" s="495">
        <f t="shared" si="10"/>
        <v>0</v>
      </c>
      <c r="AO24" s="495">
        <f t="shared" si="14"/>
        <v>0</v>
      </c>
      <c r="AP24" s="495"/>
      <c r="AQ24" s="495"/>
      <c r="AR24" s="495"/>
      <c r="AS24" s="495"/>
      <c r="AT24" s="495"/>
      <c r="AU24" s="495"/>
      <c r="AV24" s="495"/>
      <c r="AW24" s="495"/>
      <c r="AX24" s="495">
        <f t="shared" si="11"/>
        <v>0</v>
      </c>
      <c r="AY24" s="495">
        <f t="shared" si="15"/>
        <v>0</v>
      </c>
      <c r="AZ24" s="495"/>
      <c r="BA24" s="495"/>
      <c r="BB24" s="495"/>
      <c r="BC24" s="495"/>
      <c r="BD24" s="495"/>
      <c r="BE24" s="495">
        <f t="shared" si="16"/>
        <v>-20000</v>
      </c>
      <c r="BF24" s="495">
        <f t="shared" si="18"/>
        <v>0</v>
      </c>
      <c r="BG24" s="495">
        <f t="shared" si="17"/>
        <v>-20000</v>
      </c>
      <c r="BH24" s="495"/>
      <c r="BI24" s="495"/>
      <c r="BJ24" s="495"/>
      <c r="BK24" s="495"/>
      <c r="BL24" s="495"/>
    </row>
    <row r="25" spans="1:64" s="6" customFormat="1" ht="30" customHeight="1">
      <c r="A25" s="3">
        <f t="shared" si="12"/>
        <v>20</v>
      </c>
      <c r="B25" s="3">
        <v>1587</v>
      </c>
      <c r="C25" s="3" t="s">
        <v>77</v>
      </c>
      <c r="D25" s="4">
        <v>34200000</v>
      </c>
      <c r="E25" s="4">
        <v>34200000</v>
      </c>
      <c r="F25" s="4">
        <f t="shared" si="0"/>
        <v>0</v>
      </c>
      <c r="G25" s="4">
        <v>15110000</v>
      </c>
      <c r="H25" s="4">
        <v>10204546</v>
      </c>
      <c r="I25" s="4">
        <v>1002050</v>
      </c>
      <c r="J25" s="4">
        <v>2328138</v>
      </c>
      <c r="K25" s="4">
        <f t="shared" si="1"/>
        <v>3330188</v>
      </c>
      <c r="L25" s="4">
        <f t="shared" si="2"/>
        <v>13534734</v>
      </c>
      <c r="M25" s="4">
        <f>P25+S25-1500000</f>
        <v>75266</v>
      </c>
      <c r="N25" s="4">
        <f>4500000+8800000+1500000-7400000-4400000-500000</f>
        <v>2500000</v>
      </c>
      <c r="O25" s="4">
        <f t="shared" si="3"/>
        <v>18090000</v>
      </c>
      <c r="P25" s="4">
        <f t="shared" si="4"/>
        <v>1575266</v>
      </c>
      <c r="Q25" s="4"/>
      <c r="R25" s="4"/>
      <c r="S25" s="4">
        <f t="shared" si="5"/>
        <v>0</v>
      </c>
      <c r="T25" s="495">
        <f t="shared" si="6"/>
        <v>1500000</v>
      </c>
      <c r="U25" s="4">
        <f t="shared" si="7"/>
        <v>1000000</v>
      </c>
      <c r="V25" s="4">
        <f t="shared" si="8"/>
        <v>1000000</v>
      </c>
      <c r="W25" s="4"/>
      <c r="X25" s="4"/>
      <c r="Y25" s="4"/>
      <c r="Z25" s="4"/>
      <c r="AA25" s="3"/>
      <c r="AB25" s="3" t="s">
        <v>927</v>
      </c>
      <c r="AC25" s="3">
        <v>742000</v>
      </c>
      <c r="AD25" s="495"/>
      <c r="AE25" s="495"/>
      <c r="AF25" s="495"/>
      <c r="AG25" s="495"/>
      <c r="AH25" s="495"/>
      <c r="AI25" s="495"/>
      <c r="AJ25" s="495">
        <f t="shared" si="9"/>
        <v>0</v>
      </c>
      <c r="AK25" s="42">
        <f t="shared" si="13"/>
        <v>1000000</v>
      </c>
      <c r="AL25" s="495"/>
      <c r="AM25" s="42">
        <v>-1000000</v>
      </c>
      <c r="AN25" s="495">
        <f t="shared" si="10"/>
        <v>0</v>
      </c>
      <c r="AO25" s="495">
        <f t="shared" si="14"/>
        <v>0</v>
      </c>
      <c r="AP25" s="495"/>
      <c r="AQ25" s="495"/>
      <c r="AR25" s="495"/>
      <c r="AS25" s="495"/>
      <c r="AT25" s="495"/>
      <c r="AU25" s="495">
        <v>-1200000</v>
      </c>
      <c r="AV25" s="495">
        <v>-400000</v>
      </c>
      <c r="AW25" s="495"/>
      <c r="AX25" s="495">
        <f t="shared" si="11"/>
        <v>0</v>
      </c>
      <c r="AY25" s="495">
        <f t="shared" si="15"/>
        <v>0</v>
      </c>
      <c r="AZ25" s="495"/>
      <c r="BA25" s="495"/>
      <c r="BB25" s="495"/>
      <c r="BC25" s="495"/>
      <c r="BD25" s="495"/>
      <c r="BE25" s="495">
        <f t="shared" si="16"/>
        <v>0</v>
      </c>
      <c r="BF25" s="495">
        <f t="shared" si="18"/>
        <v>1000000</v>
      </c>
      <c r="BG25" s="495">
        <f t="shared" si="17"/>
        <v>0</v>
      </c>
      <c r="BH25" s="495"/>
      <c r="BI25" s="495"/>
      <c r="BJ25" s="495"/>
      <c r="BK25" s="495"/>
      <c r="BL25" s="495"/>
    </row>
    <row r="26" spans="1:64" s="5" customFormat="1" ht="30" customHeight="1">
      <c r="A26" s="3">
        <f t="shared" si="12"/>
        <v>21</v>
      </c>
      <c r="B26" s="3">
        <v>1601</v>
      </c>
      <c r="C26" s="3" t="s">
        <v>34</v>
      </c>
      <c r="D26" s="4">
        <v>700000</v>
      </c>
      <c r="E26" s="4">
        <v>700000</v>
      </c>
      <c r="F26" s="4">
        <f t="shared" si="0"/>
        <v>0</v>
      </c>
      <c r="G26" s="4">
        <v>600000</v>
      </c>
      <c r="H26" s="4">
        <v>563211</v>
      </c>
      <c r="I26" s="4"/>
      <c r="J26" s="4"/>
      <c r="K26" s="4">
        <f t="shared" si="1"/>
        <v>0</v>
      </c>
      <c r="L26" s="4">
        <f t="shared" si="2"/>
        <v>563211</v>
      </c>
      <c r="M26" s="495">
        <f>P26+S26-30000</f>
        <v>6789</v>
      </c>
      <c r="N26" s="4">
        <v>50000</v>
      </c>
      <c r="O26" s="4">
        <f t="shared" si="3"/>
        <v>80000</v>
      </c>
      <c r="P26" s="4">
        <f t="shared" si="4"/>
        <v>36789</v>
      </c>
      <c r="Q26" s="4"/>
      <c r="R26" s="4"/>
      <c r="S26" s="4">
        <f t="shared" si="5"/>
        <v>0</v>
      </c>
      <c r="T26" s="495">
        <f t="shared" si="6"/>
        <v>30000</v>
      </c>
      <c r="U26" s="4">
        <f t="shared" si="7"/>
        <v>20000</v>
      </c>
      <c r="V26" s="4">
        <f t="shared" si="8"/>
        <v>20000</v>
      </c>
      <c r="W26" s="4"/>
      <c r="X26" s="4"/>
      <c r="Y26" s="4"/>
      <c r="Z26" s="4"/>
      <c r="AA26" s="3"/>
      <c r="AB26" s="3" t="s">
        <v>396</v>
      </c>
      <c r="AC26" s="3">
        <v>742000</v>
      </c>
      <c r="AD26" s="495"/>
      <c r="AE26" s="495"/>
      <c r="AF26" s="495"/>
      <c r="AG26" s="495"/>
      <c r="AH26" s="495"/>
      <c r="AI26" s="495"/>
      <c r="AJ26" s="495">
        <f t="shared" si="9"/>
        <v>0</v>
      </c>
      <c r="AK26" s="495">
        <f t="shared" si="13"/>
        <v>20000</v>
      </c>
      <c r="AL26" s="495"/>
      <c r="AM26" s="42">
        <v>-20000</v>
      </c>
      <c r="AN26" s="495">
        <f t="shared" si="10"/>
        <v>0</v>
      </c>
      <c r="AO26" s="495">
        <f t="shared" si="14"/>
        <v>0</v>
      </c>
      <c r="AP26" s="495"/>
      <c r="AQ26" s="495"/>
      <c r="AR26" s="495"/>
      <c r="AS26" s="495"/>
      <c r="AT26" s="495"/>
      <c r="AU26" s="495"/>
      <c r="AV26" s="42">
        <v>-20000</v>
      </c>
      <c r="AW26" s="495"/>
      <c r="AX26" s="495">
        <f t="shared" si="11"/>
        <v>0</v>
      </c>
      <c r="AY26" s="495">
        <f t="shared" si="15"/>
        <v>0</v>
      </c>
      <c r="AZ26" s="495"/>
      <c r="BA26" s="495"/>
      <c r="BB26" s="495"/>
      <c r="BC26" s="495"/>
      <c r="BD26" s="495"/>
      <c r="BE26" s="495">
        <f t="shared" si="16"/>
        <v>0</v>
      </c>
      <c r="BF26" s="495">
        <f t="shared" si="18"/>
        <v>20000</v>
      </c>
      <c r="BG26" s="495">
        <f t="shared" si="17"/>
        <v>0</v>
      </c>
      <c r="BH26" s="495"/>
      <c r="BI26" s="495"/>
      <c r="BJ26" s="495"/>
      <c r="BK26" s="495"/>
      <c r="BL26" s="495"/>
    </row>
    <row r="27" spans="1:64" s="6" customFormat="1" ht="30" customHeight="1">
      <c r="A27" s="3">
        <f t="shared" si="12"/>
        <v>22</v>
      </c>
      <c r="B27" s="3">
        <v>1660</v>
      </c>
      <c r="C27" s="3" t="s">
        <v>20</v>
      </c>
      <c r="D27" s="4">
        <v>2000000</v>
      </c>
      <c r="E27" s="4">
        <v>2000000</v>
      </c>
      <c r="F27" s="4">
        <f t="shared" si="0"/>
        <v>0</v>
      </c>
      <c r="G27" s="4">
        <v>1300000</v>
      </c>
      <c r="H27" s="4">
        <v>425092</v>
      </c>
      <c r="I27" s="4">
        <f>173160-70200</f>
        <v>102960</v>
      </c>
      <c r="J27" s="4">
        <v>553295</v>
      </c>
      <c r="K27" s="4">
        <f t="shared" si="1"/>
        <v>656255</v>
      </c>
      <c r="L27" s="4">
        <f t="shared" si="2"/>
        <v>1081347</v>
      </c>
      <c r="M27" s="4">
        <f>P27+S27-100000-430000+382000-70000</f>
        <v>653</v>
      </c>
      <c r="N27" s="4">
        <f>400000+100000-300000-100000</f>
        <v>100000</v>
      </c>
      <c r="O27" s="4">
        <f t="shared" si="3"/>
        <v>818000</v>
      </c>
      <c r="P27" s="4">
        <f t="shared" si="4"/>
        <v>218653</v>
      </c>
      <c r="Q27" s="4"/>
      <c r="R27" s="4"/>
      <c r="S27" s="4">
        <f t="shared" si="5"/>
        <v>0</v>
      </c>
      <c r="T27" s="495">
        <f t="shared" si="6"/>
        <v>218000</v>
      </c>
      <c r="U27" s="4">
        <f t="shared" si="7"/>
        <v>-118000</v>
      </c>
      <c r="V27" s="4">
        <f t="shared" si="8"/>
        <v>-118000</v>
      </c>
      <c r="W27" s="4"/>
      <c r="X27" s="4"/>
      <c r="Y27" s="4"/>
      <c r="Z27" s="4"/>
      <c r="AA27" s="3"/>
      <c r="AB27" s="3" t="s">
        <v>1153</v>
      </c>
      <c r="AC27" s="3">
        <v>732000</v>
      </c>
      <c r="AD27" s="495">
        <v>-118000</v>
      </c>
      <c r="AE27" s="495"/>
      <c r="AF27" s="495"/>
      <c r="AG27" s="495"/>
      <c r="AH27" s="495"/>
      <c r="AI27" s="495"/>
      <c r="AJ27" s="495">
        <f t="shared" si="9"/>
        <v>-118000</v>
      </c>
      <c r="AK27" s="495">
        <f t="shared" si="13"/>
        <v>0</v>
      </c>
      <c r="AL27" s="495"/>
      <c r="AM27" s="42"/>
      <c r="AN27" s="495">
        <f t="shared" si="10"/>
        <v>0</v>
      </c>
      <c r="AO27" s="495">
        <f t="shared" si="14"/>
        <v>0</v>
      </c>
      <c r="AP27" s="495"/>
      <c r="AQ27" s="495"/>
      <c r="AR27" s="495"/>
      <c r="AS27" s="495"/>
      <c r="AT27" s="495"/>
      <c r="AU27" s="495"/>
      <c r="AV27" s="495">
        <v>150000</v>
      </c>
      <c r="AW27" s="495"/>
      <c r="AX27" s="495">
        <f t="shared" si="11"/>
        <v>0</v>
      </c>
      <c r="AY27" s="495">
        <f t="shared" si="15"/>
        <v>0</v>
      </c>
      <c r="AZ27" s="495"/>
      <c r="BA27" s="495"/>
      <c r="BB27" s="495"/>
      <c r="BC27" s="495"/>
      <c r="BD27" s="495"/>
      <c r="BE27" s="495">
        <f t="shared" si="16"/>
        <v>-118000</v>
      </c>
      <c r="BF27" s="495">
        <f t="shared" si="18"/>
        <v>0</v>
      </c>
      <c r="BG27" s="495">
        <f t="shared" si="17"/>
        <v>-118000</v>
      </c>
      <c r="BH27" s="495"/>
      <c r="BI27" s="495"/>
      <c r="BJ27" s="495"/>
      <c r="BK27" s="495"/>
      <c r="BL27" s="495"/>
    </row>
    <row r="28" spans="1:64" s="5" customFormat="1" ht="30" customHeight="1">
      <c r="A28" s="3">
        <f t="shared" si="12"/>
        <v>23</v>
      </c>
      <c r="B28" s="3">
        <v>1692</v>
      </c>
      <c r="C28" s="3" t="s">
        <v>1462</v>
      </c>
      <c r="D28" s="4">
        <v>2450000</v>
      </c>
      <c r="E28" s="4">
        <v>2450000</v>
      </c>
      <c r="F28" s="4">
        <f t="shared" si="0"/>
        <v>0</v>
      </c>
      <c r="G28" s="4">
        <v>1746509</v>
      </c>
      <c r="H28" s="4">
        <v>578671</v>
      </c>
      <c r="I28" s="4">
        <v>128716</v>
      </c>
      <c r="J28" s="4"/>
      <c r="K28" s="4">
        <f t="shared" si="1"/>
        <v>128716</v>
      </c>
      <c r="L28" s="4">
        <f t="shared" si="2"/>
        <v>707387</v>
      </c>
      <c r="M28" s="495">
        <f>P28+S28-1030000</f>
        <v>9122</v>
      </c>
      <c r="N28" s="4">
        <v>1030000</v>
      </c>
      <c r="O28" s="4">
        <f t="shared" si="3"/>
        <v>703491</v>
      </c>
      <c r="P28" s="4">
        <f t="shared" si="4"/>
        <v>1039122</v>
      </c>
      <c r="Q28" s="4"/>
      <c r="R28" s="4"/>
      <c r="S28" s="4">
        <f t="shared" si="5"/>
        <v>0</v>
      </c>
      <c r="T28" s="495">
        <f t="shared" si="6"/>
        <v>1030000</v>
      </c>
      <c r="U28" s="4">
        <f t="shared" si="7"/>
        <v>0</v>
      </c>
      <c r="V28" s="4">
        <f t="shared" si="8"/>
        <v>0</v>
      </c>
      <c r="W28" s="4"/>
      <c r="X28" s="4"/>
      <c r="Y28" s="4"/>
      <c r="Z28" s="4"/>
      <c r="AA28" s="3"/>
      <c r="AB28" s="3" t="s">
        <v>719</v>
      </c>
      <c r="AC28" s="3">
        <v>732000</v>
      </c>
      <c r="AD28" s="495"/>
      <c r="AE28" s="495"/>
      <c r="AF28" s="495"/>
      <c r="AG28" s="495"/>
      <c r="AH28" s="495"/>
      <c r="AI28" s="495"/>
      <c r="AJ28" s="495">
        <f t="shared" si="9"/>
        <v>0</v>
      </c>
      <c r="AK28" s="495">
        <f t="shared" si="13"/>
        <v>0</v>
      </c>
      <c r="AL28" s="495"/>
      <c r="AM28" s="42"/>
      <c r="AN28" s="495">
        <f t="shared" si="10"/>
        <v>0</v>
      </c>
      <c r="AO28" s="495">
        <f t="shared" si="14"/>
        <v>0</v>
      </c>
      <c r="AP28" s="495"/>
      <c r="AQ28" s="495"/>
      <c r="AR28" s="495"/>
      <c r="AS28" s="495"/>
      <c r="AT28" s="495"/>
      <c r="AU28" s="495">
        <v>-427498</v>
      </c>
      <c r="AV28" s="495"/>
      <c r="AW28" s="495"/>
      <c r="AX28" s="495">
        <f t="shared" si="11"/>
        <v>0</v>
      </c>
      <c r="AY28" s="495">
        <f t="shared" si="15"/>
        <v>0</v>
      </c>
      <c r="AZ28" s="495"/>
      <c r="BA28" s="495"/>
      <c r="BB28" s="495"/>
      <c r="BC28" s="495"/>
      <c r="BD28" s="495"/>
      <c r="BE28" s="495">
        <f t="shared" si="16"/>
        <v>0</v>
      </c>
      <c r="BF28" s="495">
        <f t="shared" si="18"/>
        <v>0</v>
      </c>
      <c r="BG28" s="495">
        <f t="shared" si="17"/>
        <v>0</v>
      </c>
      <c r="BH28" s="495"/>
      <c r="BI28" s="495"/>
      <c r="BJ28" s="495"/>
      <c r="BK28" s="495"/>
      <c r="BL28" s="495"/>
    </row>
    <row r="29" spans="1:64" s="5" customFormat="1" ht="30" customHeight="1">
      <c r="A29" s="3">
        <f t="shared" si="12"/>
        <v>24</v>
      </c>
      <c r="B29" s="3">
        <v>1701</v>
      </c>
      <c r="C29" s="3" t="s">
        <v>928</v>
      </c>
      <c r="D29" s="4">
        <v>1250000</v>
      </c>
      <c r="E29" s="4">
        <v>1250000</v>
      </c>
      <c r="F29" s="4">
        <f t="shared" si="0"/>
        <v>0</v>
      </c>
      <c r="G29" s="4">
        <v>570000</v>
      </c>
      <c r="H29" s="4">
        <v>149316</v>
      </c>
      <c r="I29" s="4">
        <v>75117</v>
      </c>
      <c r="J29" s="4"/>
      <c r="K29" s="4">
        <f t="shared" si="1"/>
        <v>75117</v>
      </c>
      <c r="L29" s="4">
        <f t="shared" si="2"/>
        <v>224433</v>
      </c>
      <c r="M29" s="495">
        <f>P29+S29-200000-145000</f>
        <v>567</v>
      </c>
      <c r="N29" s="4">
        <f>200000-100000-70000</f>
        <v>30000</v>
      </c>
      <c r="O29" s="4">
        <f t="shared" si="3"/>
        <v>995000</v>
      </c>
      <c r="P29" s="4">
        <f t="shared" si="4"/>
        <v>345567</v>
      </c>
      <c r="Q29" s="4"/>
      <c r="R29" s="4"/>
      <c r="S29" s="4">
        <f t="shared" si="5"/>
        <v>0</v>
      </c>
      <c r="T29" s="495">
        <f t="shared" si="6"/>
        <v>345000</v>
      </c>
      <c r="U29" s="4">
        <f t="shared" si="7"/>
        <v>-315000</v>
      </c>
      <c r="V29" s="4">
        <f t="shared" si="8"/>
        <v>-315000</v>
      </c>
      <c r="W29" s="4"/>
      <c r="X29" s="4"/>
      <c r="Y29" s="4"/>
      <c r="Z29" s="4"/>
      <c r="AA29" s="3"/>
      <c r="AB29" s="3" t="s">
        <v>371</v>
      </c>
      <c r="AC29" s="3">
        <v>732000</v>
      </c>
      <c r="AD29" s="495">
        <v>-302000</v>
      </c>
      <c r="AE29" s="495"/>
      <c r="AF29" s="495"/>
      <c r="AG29" s="495"/>
      <c r="AH29" s="495"/>
      <c r="AI29" s="495"/>
      <c r="AJ29" s="495">
        <f t="shared" si="9"/>
        <v>-302000</v>
      </c>
      <c r="AK29" s="495">
        <f t="shared" si="13"/>
        <v>-13000</v>
      </c>
      <c r="AL29" s="495"/>
      <c r="AM29" s="42"/>
      <c r="AN29" s="495">
        <f t="shared" si="10"/>
        <v>-13000</v>
      </c>
      <c r="AO29" s="495">
        <f t="shared" si="14"/>
        <v>-13000</v>
      </c>
      <c r="AP29" s="495"/>
      <c r="AQ29" s="495"/>
      <c r="AR29" s="495"/>
      <c r="AS29" s="495"/>
      <c r="AT29" s="495"/>
      <c r="AU29" s="495"/>
      <c r="AV29" s="495"/>
      <c r="AW29" s="495">
        <v>-13000</v>
      </c>
      <c r="AX29" s="495">
        <f t="shared" si="11"/>
        <v>0</v>
      </c>
      <c r="AY29" s="495">
        <f t="shared" si="15"/>
        <v>0</v>
      </c>
      <c r="AZ29" s="495"/>
      <c r="BA29" s="495"/>
      <c r="BB29" s="495"/>
      <c r="BC29" s="495"/>
      <c r="BD29" s="495"/>
      <c r="BE29" s="495">
        <f t="shared" si="16"/>
        <v>-302000</v>
      </c>
      <c r="BF29" s="495">
        <f t="shared" si="18"/>
        <v>-13000</v>
      </c>
      <c r="BG29" s="495">
        <f t="shared" si="17"/>
        <v>-302000</v>
      </c>
      <c r="BH29" s="495"/>
      <c r="BI29" s="495"/>
      <c r="BJ29" s="495"/>
      <c r="BK29" s="495"/>
      <c r="BL29" s="495"/>
    </row>
    <row r="30" spans="1:64" s="5" customFormat="1" ht="30" customHeight="1">
      <c r="A30" s="3">
        <f t="shared" si="12"/>
        <v>25</v>
      </c>
      <c r="B30" s="3">
        <v>1722</v>
      </c>
      <c r="C30" s="3" t="s">
        <v>1139</v>
      </c>
      <c r="D30" s="4">
        <f>2400000-2239000-2000</f>
        <v>159000</v>
      </c>
      <c r="E30" s="4">
        <v>2400000</v>
      </c>
      <c r="F30" s="4">
        <f t="shared" si="0"/>
        <v>-2241000</v>
      </c>
      <c r="G30" s="4">
        <v>300000</v>
      </c>
      <c r="H30" s="4">
        <v>108736</v>
      </c>
      <c r="I30" s="4">
        <f>67053-67053</f>
        <v>0</v>
      </c>
      <c r="J30" s="4"/>
      <c r="K30" s="4">
        <f t="shared" si="1"/>
        <v>0</v>
      </c>
      <c r="L30" s="4">
        <f t="shared" si="2"/>
        <v>108736</v>
      </c>
      <c r="M30" s="495">
        <f>P30+S30-120000-69000-2000</f>
        <v>264</v>
      </c>
      <c r="N30" s="4">
        <f>120000-70000</f>
        <v>50000</v>
      </c>
      <c r="O30" s="4">
        <f t="shared" si="3"/>
        <v>0</v>
      </c>
      <c r="P30" s="4">
        <f t="shared" si="4"/>
        <v>191264</v>
      </c>
      <c r="Q30" s="4"/>
      <c r="R30" s="4"/>
      <c r="S30" s="4">
        <f t="shared" si="5"/>
        <v>0</v>
      </c>
      <c r="T30" s="495">
        <f t="shared" si="6"/>
        <v>191000</v>
      </c>
      <c r="U30" s="4">
        <f t="shared" si="7"/>
        <v>-141000</v>
      </c>
      <c r="V30" s="4">
        <f t="shared" si="8"/>
        <v>-141000</v>
      </c>
      <c r="W30" s="4"/>
      <c r="X30" s="4"/>
      <c r="Y30" s="4"/>
      <c r="Z30" s="4"/>
      <c r="AA30" s="3"/>
      <c r="AB30" s="3" t="s">
        <v>929</v>
      </c>
      <c r="AC30" s="3">
        <v>742000</v>
      </c>
      <c r="AD30" s="495">
        <v>-141000</v>
      </c>
      <c r="AE30" s="495"/>
      <c r="AF30" s="495"/>
      <c r="AG30" s="495"/>
      <c r="AH30" s="495"/>
      <c r="AI30" s="495"/>
      <c r="AJ30" s="495">
        <f t="shared" si="9"/>
        <v>-141000</v>
      </c>
      <c r="AK30" s="495">
        <f t="shared" si="13"/>
        <v>0</v>
      </c>
      <c r="AL30" s="495"/>
      <c r="AM30" s="42"/>
      <c r="AN30" s="495">
        <f t="shared" si="10"/>
        <v>0</v>
      </c>
      <c r="AO30" s="495">
        <f t="shared" si="14"/>
        <v>0</v>
      </c>
      <c r="AP30" s="495"/>
      <c r="AQ30" s="495"/>
      <c r="AR30" s="495"/>
      <c r="AS30" s="495"/>
      <c r="AT30" s="495"/>
      <c r="AU30" s="495"/>
      <c r="AV30" s="495"/>
      <c r="AW30" s="495"/>
      <c r="AX30" s="495">
        <f t="shared" si="11"/>
        <v>0</v>
      </c>
      <c r="AY30" s="495">
        <f t="shared" si="15"/>
        <v>0</v>
      </c>
      <c r="AZ30" s="495"/>
      <c r="BA30" s="495"/>
      <c r="BB30" s="495"/>
      <c r="BC30" s="495"/>
      <c r="BD30" s="495"/>
      <c r="BE30" s="495">
        <f t="shared" si="16"/>
        <v>-141000</v>
      </c>
      <c r="BF30" s="495">
        <f t="shared" si="18"/>
        <v>0</v>
      </c>
      <c r="BG30" s="495">
        <f t="shared" si="17"/>
        <v>-141000</v>
      </c>
      <c r="BH30" s="495"/>
      <c r="BI30" s="495"/>
      <c r="BJ30" s="495"/>
      <c r="BK30" s="495"/>
      <c r="BL30" s="495"/>
    </row>
    <row r="31" spans="1:64" s="6" customFormat="1" ht="30" customHeight="1">
      <c r="A31" s="3">
        <f t="shared" si="12"/>
        <v>26</v>
      </c>
      <c r="B31" s="3">
        <v>1744</v>
      </c>
      <c r="C31" s="3" t="s">
        <v>35</v>
      </c>
      <c r="D31" s="4">
        <v>13000000</v>
      </c>
      <c r="E31" s="4">
        <v>13000000</v>
      </c>
      <c r="F31" s="4">
        <f t="shared" si="0"/>
        <v>0</v>
      </c>
      <c r="G31" s="4">
        <v>7200000</v>
      </c>
      <c r="H31" s="4">
        <v>6067198</v>
      </c>
      <c r="I31" s="4"/>
      <c r="J31" s="4">
        <v>674849</v>
      </c>
      <c r="K31" s="4">
        <f t="shared" si="1"/>
        <v>674849</v>
      </c>
      <c r="L31" s="4">
        <f t="shared" si="2"/>
        <v>6742047</v>
      </c>
      <c r="M31" s="495">
        <f>P31+S31-450000</f>
        <v>7953</v>
      </c>
      <c r="N31" s="4">
        <f>450000-250000</f>
        <v>200000</v>
      </c>
      <c r="O31" s="4">
        <f t="shared" si="3"/>
        <v>6050000</v>
      </c>
      <c r="P31" s="4">
        <f t="shared" si="4"/>
        <v>457953</v>
      </c>
      <c r="Q31" s="4"/>
      <c r="R31" s="4"/>
      <c r="S31" s="4">
        <f t="shared" si="5"/>
        <v>0</v>
      </c>
      <c r="T31" s="495">
        <f t="shared" si="6"/>
        <v>450000</v>
      </c>
      <c r="U31" s="4">
        <f t="shared" si="7"/>
        <v>-250000</v>
      </c>
      <c r="V31" s="4">
        <f t="shared" si="8"/>
        <v>-250000</v>
      </c>
      <c r="W31" s="4"/>
      <c r="X31" s="4"/>
      <c r="Y31" s="4"/>
      <c r="Z31" s="4"/>
      <c r="AA31" s="3"/>
      <c r="AB31" s="3" t="s">
        <v>514</v>
      </c>
      <c r="AC31" s="3">
        <v>742000</v>
      </c>
      <c r="AD31" s="495">
        <v>-250000</v>
      </c>
      <c r="AE31" s="495"/>
      <c r="AF31" s="495"/>
      <c r="AG31" s="495"/>
      <c r="AH31" s="495"/>
      <c r="AI31" s="495"/>
      <c r="AJ31" s="495">
        <f t="shared" si="9"/>
        <v>-250000</v>
      </c>
      <c r="AK31" s="495">
        <f t="shared" si="13"/>
        <v>0</v>
      </c>
      <c r="AL31" s="495"/>
      <c r="AM31" s="42"/>
      <c r="AN31" s="495">
        <f t="shared" si="10"/>
        <v>0</v>
      </c>
      <c r="AO31" s="495">
        <f t="shared" si="14"/>
        <v>0</v>
      </c>
      <c r="AP31" s="495"/>
      <c r="AQ31" s="495"/>
      <c r="AR31" s="495"/>
      <c r="AS31" s="495"/>
      <c r="AT31" s="495"/>
      <c r="AU31" s="495"/>
      <c r="AV31" s="495">
        <v>200000</v>
      </c>
      <c r="AW31" s="495"/>
      <c r="AX31" s="495">
        <f t="shared" si="11"/>
        <v>0</v>
      </c>
      <c r="AY31" s="495">
        <f t="shared" si="15"/>
        <v>0</v>
      </c>
      <c r="AZ31" s="495"/>
      <c r="BA31" s="495"/>
      <c r="BB31" s="495"/>
      <c r="BC31" s="495"/>
      <c r="BD31" s="495"/>
      <c r="BE31" s="495">
        <f t="shared" si="16"/>
        <v>-250000</v>
      </c>
      <c r="BF31" s="495">
        <f t="shared" si="18"/>
        <v>0</v>
      </c>
      <c r="BG31" s="495">
        <f t="shared" si="17"/>
        <v>-250000</v>
      </c>
      <c r="BH31" s="495"/>
      <c r="BI31" s="495"/>
      <c r="BJ31" s="495"/>
      <c r="BK31" s="495"/>
      <c r="BL31" s="495"/>
    </row>
    <row r="32" spans="1:64" s="5" customFormat="1" ht="60">
      <c r="A32" s="3">
        <f t="shared" si="12"/>
        <v>27</v>
      </c>
      <c r="B32" s="3">
        <v>1756</v>
      </c>
      <c r="C32" s="3" t="s">
        <v>345</v>
      </c>
      <c r="D32" s="4">
        <v>1700000</v>
      </c>
      <c r="E32" s="4">
        <v>1700000</v>
      </c>
      <c r="F32" s="4">
        <f t="shared" si="0"/>
        <v>0</v>
      </c>
      <c r="G32" s="4">
        <v>955000</v>
      </c>
      <c r="H32" s="4">
        <v>511535</v>
      </c>
      <c r="I32" s="4"/>
      <c r="J32" s="4">
        <v>119855</v>
      </c>
      <c r="K32" s="4">
        <f t="shared" si="1"/>
        <v>119855</v>
      </c>
      <c r="L32" s="4">
        <f t="shared" si="2"/>
        <v>631390</v>
      </c>
      <c r="M32" s="495">
        <f>P32+S32-320000</f>
        <v>3610</v>
      </c>
      <c r="N32" s="4">
        <f>320000-200000-50000+5000</f>
        <v>75000</v>
      </c>
      <c r="O32" s="4">
        <f t="shared" si="3"/>
        <v>990000</v>
      </c>
      <c r="P32" s="4">
        <f t="shared" si="4"/>
        <v>323610</v>
      </c>
      <c r="Q32" s="4"/>
      <c r="R32" s="4"/>
      <c r="S32" s="4">
        <f t="shared" si="5"/>
        <v>0</v>
      </c>
      <c r="T32" s="495">
        <f t="shared" si="6"/>
        <v>320000</v>
      </c>
      <c r="U32" s="4">
        <f t="shared" si="7"/>
        <v>-245000</v>
      </c>
      <c r="V32" s="4">
        <f t="shared" si="8"/>
        <v>-245000</v>
      </c>
      <c r="W32" s="4"/>
      <c r="X32" s="4"/>
      <c r="Y32" s="4"/>
      <c r="Z32" s="4"/>
      <c r="AA32" s="3"/>
      <c r="AB32" s="19" t="s">
        <v>930</v>
      </c>
      <c r="AC32" s="3">
        <v>732000</v>
      </c>
      <c r="AD32" s="495">
        <v>-245000</v>
      </c>
      <c r="AE32" s="495"/>
      <c r="AF32" s="495"/>
      <c r="AG32" s="495"/>
      <c r="AH32" s="495"/>
      <c r="AI32" s="495"/>
      <c r="AJ32" s="495">
        <f t="shared" si="9"/>
        <v>-245000</v>
      </c>
      <c r="AK32" s="495">
        <f t="shared" si="13"/>
        <v>0</v>
      </c>
      <c r="AL32" s="495"/>
      <c r="AM32" s="42"/>
      <c r="AN32" s="495">
        <f t="shared" si="10"/>
        <v>0</v>
      </c>
      <c r="AO32" s="495">
        <f t="shared" si="14"/>
        <v>0</v>
      </c>
      <c r="AP32" s="495"/>
      <c r="AQ32" s="495"/>
      <c r="AR32" s="495"/>
      <c r="AS32" s="495"/>
      <c r="AT32" s="495"/>
      <c r="AU32" s="495"/>
      <c r="AV32" s="495"/>
      <c r="AW32" s="495"/>
      <c r="AX32" s="495">
        <f t="shared" si="11"/>
        <v>0</v>
      </c>
      <c r="AY32" s="495">
        <f t="shared" si="15"/>
        <v>0</v>
      </c>
      <c r="AZ32" s="495"/>
      <c r="BA32" s="495"/>
      <c r="BB32" s="495"/>
      <c r="BC32" s="495"/>
      <c r="BD32" s="495"/>
      <c r="BE32" s="495">
        <f t="shared" si="16"/>
        <v>-245000</v>
      </c>
      <c r="BF32" s="495">
        <f t="shared" si="18"/>
        <v>0</v>
      </c>
      <c r="BG32" s="495">
        <f t="shared" si="17"/>
        <v>-245000</v>
      </c>
      <c r="BH32" s="495"/>
      <c r="BI32" s="495"/>
      <c r="BJ32" s="495"/>
      <c r="BK32" s="495"/>
      <c r="BL32" s="495"/>
    </row>
    <row r="33" spans="1:64" s="499" customFormat="1" ht="30" customHeight="1">
      <c r="A33" s="3">
        <f t="shared" si="12"/>
        <v>28</v>
      </c>
      <c r="B33" s="3">
        <v>1843</v>
      </c>
      <c r="C33" s="3" t="s">
        <v>1464</v>
      </c>
      <c r="D33" s="4">
        <v>380000</v>
      </c>
      <c r="E33" s="4">
        <v>380000</v>
      </c>
      <c r="F33" s="4">
        <f t="shared" si="0"/>
        <v>0</v>
      </c>
      <c r="G33" s="4">
        <v>0</v>
      </c>
      <c r="H33" s="4"/>
      <c r="I33" s="4"/>
      <c r="J33" s="4"/>
      <c r="K33" s="4">
        <f t="shared" si="1"/>
        <v>0</v>
      </c>
      <c r="L33" s="4">
        <f t="shared" si="2"/>
        <v>0</v>
      </c>
      <c r="M33" s="495">
        <f>P33+S33</f>
        <v>0</v>
      </c>
      <c r="N33" s="4"/>
      <c r="O33" s="4">
        <f t="shared" si="3"/>
        <v>380000</v>
      </c>
      <c r="P33" s="4">
        <f t="shared" si="4"/>
        <v>0</v>
      </c>
      <c r="Q33" s="4"/>
      <c r="R33" s="4"/>
      <c r="S33" s="4">
        <f t="shared" si="5"/>
        <v>0</v>
      </c>
      <c r="T33" s="495">
        <f t="shared" si="6"/>
        <v>0</v>
      </c>
      <c r="U33" s="4">
        <f t="shared" si="7"/>
        <v>0</v>
      </c>
      <c r="V33" s="4">
        <f t="shared" si="8"/>
        <v>0</v>
      </c>
      <c r="W33" s="4"/>
      <c r="X33" s="4"/>
      <c r="Y33" s="4"/>
      <c r="Z33" s="4"/>
      <c r="AA33" s="3"/>
      <c r="AB33" s="3" t="s">
        <v>417</v>
      </c>
      <c r="AC33" s="3">
        <v>732000</v>
      </c>
      <c r="AD33" s="495"/>
      <c r="AE33" s="495"/>
      <c r="AF33" s="495"/>
      <c r="AG33" s="495"/>
      <c r="AH33" s="495"/>
      <c r="AI33" s="495"/>
      <c r="AJ33" s="495">
        <f t="shared" si="9"/>
        <v>0</v>
      </c>
      <c r="AK33" s="495">
        <f t="shared" si="13"/>
        <v>0</v>
      </c>
      <c r="AL33" s="495"/>
      <c r="AM33" s="42"/>
      <c r="AN33" s="495">
        <f t="shared" si="10"/>
        <v>0</v>
      </c>
      <c r="AO33" s="495">
        <f t="shared" si="14"/>
        <v>0</v>
      </c>
      <c r="AP33" s="495"/>
      <c r="AQ33" s="495"/>
      <c r="AR33" s="495"/>
      <c r="AS33" s="495"/>
      <c r="AT33" s="495"/>
      <c r="AU33" s="495"/>
      <c r="AV33" s="495"/>
      <c r="AW33" s="495"/>
      <c r="AX33" s="495">
        <f t="shared" si="11"/>
        <v>0</v>
      </c>
      <c r="AY33" s="495">
        <f t="shared" si="15"/>
        <v>0</v>
      </c>
      <c r="AZ33" s="495"/>
      <c r="BA33" s="495"/>
      <c r="BB33" s="495"/>
      <c r="BC33" s="495"/>
      <c r="BD33" s="495"/>
      <c r="BE33" s="495">
        <f t="shared" si="16"/>
        <v>0</v>
      </c>
      <c r="BF33" s="495">
        <f t="shared" si="18"/>
        <v>0</v>
      </c>
      <c r="BG33" s="495">
        <f t="shared" si="17"/>
        <v>0</v>
      </c>
      <c r="BH33" s="495"/>
      <c r="BI33" s="495"/>
      <c r="BJ33" s="495"/>
      <c r="BK33" s="495"/>
      <c r="BL33" s="495"/>
    </row>
    <row r="34" spans="1:64" s="6" customFormat="1" ht="30" customHeight="1">
      <c r="A34" s="3">
        <f t="shared" si="12"/>
        <v>29</v>
      </c>
      <c r="B34" s="3">
        <v>1937</v>
      </c>
      <c r="C34" s="3" t="s">
        <v>1140</v>
      </c>
      <c r="D34" s="4">
        <f>1050000-590000-395765</f>
        <v>64235</v>
      </c>
      <c r="E34" s="4">
        <v>1050000</v>
      </c>
      <c r="F34" s="4">
        <f t="shared" si="0"/>
        <v>-985765</v>
      </c>
      <c r="G34" s="4">
        <v>650000</v>
      </c>
      <c r="H34" s="4">
        <v>64235</v>
      </c>
      <c r="I34" s="4">
        <f>244936-244936</f>
        <v>0</v>
      </c>
      <c r="J34" s="4"/>
      <c r="K34" s="4">
        <f t="shared" si="1"/>
        <v>0</v>
      </c>
      <c r="L34" s="4">
        <f t="shared" si="2"/>
        <v>64235</v>
      </c>
      <c r="M34" s="495">
        <f>P34+S34-190000-395765</f>
        <v>0</v>
      </c>
      <c r="N34" s="4">
        <f>190000-190000</f>
        <v>0</v>
      </c>
      <c r="O34" s="4">
        <f t="shared" si="3"/>
        <v>0</v>
      </c>
      <c r="P34" s="4">
        <f t="shared" si="4"/>
        <v>585765</v>
      </c>
      <c r="Q34" s="4"/>
      <c r="R34" s="4"/>
      <c r="S34" s="4">
        <f t="shared" si="5"/>
        <v>0</v>
      </c>
      <c r="T34" s="495">
        <f t="shared" si="6"/>
        <v>585765</v>
      </c>
      <c r="U34" s="4">
        <f t="shared" si="7"/>
        <v>-585765</v>
      </c>
      <c r="V34" s="4">
        <f t="shared" si="8"/>
        <v>-585765</v>
      </c>
      <c r="W34" s="4"/>
      <c r="X34" s="4"/>
      <c r="Y34" s="4"/>
      <c r="Z34" s="4"/>
      <c r="AA34" s="3"/>
      <c r="AB34" s="3" t="s">
        <v>931</v>
      </c>
      <c r="AC34" s="3">
        <v>732000</v>
      </c>
      <c r="AD34" s="495">
        <v>-585765</v>
      </c>
      <c r="AE34" s="495"/>
      <c r="AF34" s="495"/>
      <c r="AG34" s="495"/>
      <c r="AH34" s="495"/>
      <c r="AI34" s="495"/>
      <c r="AJ34" s="495">
        <f t="shared" si="9"/>
        <v>-585765</v>
      </c>
      <c r="AK34" s="495">
        <f t="shared" si="13"/>
        <v>0</v>
      </c>
      <c r="AL34" s="495"/>
      <c r="AM34" s="42"/>
      <c r="AN34" s="495">
        <f t="shared" si="10"/>
        <v>0</v>
      </c>
      <c r="AO34" s="495">
        <f t="shared" si="14"/>
        <v>0</v>
      </c>
      <c r="AP34" s="495"/>
      <c r="AQ34" s="495"/>
      <c r="AR34" s="495"/>
      <c r="AS34" s="495"/>
      <c r="AT34" s="495"/>
      <c r="AU34" s="495"/>
      <c r="AV34" s="495"/>
      <c r="AW34" s="495"/>
      <c r="AX34" s="495">
        <f t="shared" si="11"/>
        <v>0</v>
      </c>
      <c r="AY34" s="495">
        <f t="shared" si="15"/>
        <v>0</v>
      </c>
      <c r="AZ34" s="495"/>
      <c r="BA34" s="495"/>
      <c r="BB34" s="495"/>
      <c r="BC34" s="495"/>
      <c r="BD34" s="495"/>
      <c r="BE34" s="495">
        <f t="shared" si="16"/>
        <v>-585765</v>
      </c>
      <c r="BF34" s="495">
        <f t="shared" si="18"/>
        <v>0</v>
      </c>
      <c r="BG34" s="495">
        <f t="shared" si="17"/>
        <v>-585765</v>
      </c>
      <c r="BH34" s="495"/>
      <c r="BI34" s="495"/>
      <c r="BJ34" s="495"/>
      <c r="BK34" s="495"/>
      <c r="BL34" s="495"/>
    </row>
    <row r="35" spans="1:64" s="6" customFormat="1" ht="30" customHeight="1">
      <c r="A35" s="3">
        <f t="shared" si="12"/>
        <v>30</v>
      </c>
      <c r="B35" s="19">
        <v>2105</v>
      </c>
      <c r="C35" s="3" t="s">
        <v>262</v>
      </c>
      <c r="D35" s="4">
        <v>60000000</v>
      </c>
      <c r="E35" s="4">
        <v>60000000</v>
      </c>
      <c r="F35" s="4">
        <f t="shared" si="0"/>
        <v>0</v>
      </c>
      <c r="G35" s="4">
        <v>400000</v>
      </c>
      <c r="H35" s="4">
        <v>49428</v>
      </c>
      <c r="I35" s="4"/>
      <c r="J35" s="4">
        <v>217768</v>
      </c>
      <c r="K35" s="4">
        <f t="shared" si="1"/>
        <v>217768</v>
      </c>
      <c r="L35" s="4">
        <f t="shared" si="2"/>
        <v>267196</v>
      </c>
      <c r="M35" s="495">
        <f>P35+S35-100000-140000+108000</f>
        <v>804</v>
      </c>
      <c r="N35" s="4">
        <f>5000000-1500000+200000-2600000-1100000</f>
        <v>0</v>
      </c>
      <c r="O35" s="4">
        <f t="shared" si="3"/>
        <v>59732000</v>
      </c>
      <c r="P35" s="4">
        <f t="shared" si="4"/>
        <v>132804</v>
      </c>
      <c r="Q35" s="4"/>
      <c r="R35" s="4"/>
      <c r="S35" s="4">
        <f t="shared" si="5"/>
        <v>0</v>
      </c>
      <c r="T35" s="495">
        <f t="shared" si="6"/>
        <v>132000</v>
      </c>
      <c r="U35" s="4">
        <f t="shared" si="7"/>
        <v>-132000</v>
      </c>
      <c r="V35" s="4">
        <f t="shared" si="8"/>
        <v>-132000</v>
      </c>
      <c r="W35" s="4"/>
      <c r="X35" s="4"/>
      <c r="Y35" s="4"/>
      <c r="Z35" s="4"/>
      <c r="AA35" s="3"/>
      <c r="AB35" s="19" t="s">
        <v>713</v>
      </c>
      <c r="AC35" s="3">
        <v>742000</v>
      </c>
      <c r="AD35" s="495">
        <v>-132000</v>
      </c>
      <c r="AE35" s="495"/>
      <c r="AF35" s="495"/>
      <c r="AG35" s="495"/>
      <c r="AH35" s="495"/>
      <c r="AI35" s="495"/>
      <c r="AJ35" s="495">
        <f t="shared" si="9"/>
        <v>-132000</v>
      </c>
      <c r="AK35" s="495">
        <f t="shared" si="13"/>
        <v>0</v>
      </c>
      <c r="AL35" s="495"/>
      <c r="AM35" s="42"/>
      <c r="AN35" s="495">
        <f t="shared" si="10"/>
        <v>0</v>
      </c>
      <c r="AO35" s="495">
        <f t="shared" si="14"/>
        <v>0</v>
      </c>
      <c r="AP35" s="495"/>
      <c r="AQ35" s="495"/>
      <c r="AR35" s="495"/>
      <c r="AS35" s="495"/>
      <c r="AT35" s="495"/>
      <c r="AU35" s="495"/>
      <c r="AV35" s="495"/>
      <c r="AW35" s="495"/>
      <c r="AX35" s="495">
        <f t="shared" si="11"/>
        <v>0</v>
      </c>
      <c r="AY35" s="495">
        <f t="shared" si="15"/>
        <v>0</v>
      </c>
      <c r="AZ35" s="495"/>
      <c r="BA35" s="495"/>
      <c r="BB35" s="495"/>
      <c r="BC35" s="495"/>
      <c r="BD35" s="495"/>
      <c r="BE35" s="495">
        <f t="shared" si="16"/>
        <v>-132000</v>
      </c>
      <c r="BF35" s="495">
        <f t="shared" si="18"/>
        <v>0</v>
      </c>
      <c r="BG35" s="495">
        <f t="shared" si="17"/>
        <v>-132000</v>
      </c>
      <c r="BH35" s="495"/>
      <c r="BI35" s="495"/>
      <c r="BJ35" s="495"/>
      <c r="BK35" s="495"/>
      <c r="BL35" s="495"/>
    </row>
    <row r="36" spans="1:64" s="5" customFormat="1" ht="30" customHeight="1">
      <c r="A36" s="3">
        <f t="shared" si="12"/>
        <v>31</v>
      </c>
      <c r="B36" s="3">
        <v>2112</v>
      </c>
      <c r="C36" s="3" t="s">
        <v>294</v>
      </c>
      <c r="D36" s="4">
        <v>7650000</v>
      </c>
      <c r="E36" s="4">
        <v>7650000</v>
      </c>
      <c r="F36" s="4">
        <f t="shared" si="0"/>
        <v>0</v>
      </c>
      <c r="G36" s="4">
        <v>1230000</v>
      </c>
      <c r="H36" s="4">
        <v>508427</v>
      </c>
      <c r="I36" s="4"/>
      <c r="J36" s="4"/>
      <c r="K36" s="4">
        <f t="shared" si="1"/>
        <v>0</v>
      </c>
      <c r="L36" s="4">
        <f t="shared" si="2"/>
        <v>508427</v>
      </c>
      <c r="M36" s="495">
        <f>P36+S36-500000-220000</f>
        <v>1573</v>
      </c>
      <c r="N36" s="4">
        <v>50000</v>
      </c>
      <c r="O36" s="4">
        <f t="shared" si="3"/>
        <v>7090000</v>
      </c>
      <c r="P36" s="4">
        <f t="shared" si="4"/>
        <v>721573</v>
      </c>
      <c r="Q36" s="4"/>
      <c r="R36" s="4"/>
      <c r="S36" s="4">
        <f t="shared" si="5"/>
        <v>0</v>
      </c>
      <c r="T36" s="495">
        <f t="shared" si="6"/>
        <v>720000</v>
      </c>
      <c r="U36" s="4">
        <f t="shared" si="7"/>
        <v>-670000</v>
      </c>
      <c r="V36" s="4">
        <f t="shared" si="8"/>
        <v>0</v>
      </c>
      <c r="W36" s="4">
        <v>-670000</v>
      </c>
      <c r="X36" s="4"/>
      <c r="Y36" s="4"/>
      <c r="Z36" s="4"/>
      <c r="AA36" s="3"/>
      <c r="AB36" s="202" t="s">
        <v>932</v>
      </c>
      <c r="AC36" s="3">
        <v>732000</v>
      </c>
      <c r="AD36" s="495">
        <v>-670000</v>
      </c>
      <c r="AE36" s="495"/>
      <c r="AF36" s="495"/>
      <c r="AG36" s="495"/>
      <c r="AH36" s="495"/>
      <c r="AI36" s="495"/>
      <c r="AJ36" s="495">
        <f t="shared" si="9"/>
        <v>-670000</v>
      </c>
      <c r="AK36" s="495">
        <f t="shared" si="13"/>
        <v>0</v>
      </c>
      <c r="AL36" s="495"/>
      <c r="AM36" s="42"/>
      <c r="AN36" s="495">
        <f t="shared" si="10"/>
        <v>0</v>
      </c>
      <c r="AO36" s="495">
        <f t="shared" si="14"/>
        <v>0</v>
      </c>
      <c r="AP36" s="495"/>
      <c r="AQ36" s="495"/>
      <c r="AR36" s="495"/>
      <c r="AS36" s="495"/>
      <c r="AT36" s="495"/>
      <c r="AU36" s="495"/>
      <c r="AV36" s="495"/>
      <c r="AW36" s="495"/>
      <c r="AX36" s="495">
        <f t="shared" si="11"/>
        <v>0</v>
      </c>
      <c r="AY36" s="495">
        <f t="shared" si="15"/>
        <v>0</v>
      </c>
      <c r="AZ36" s="495"/>
      <c r="BA36" s="495"/>
      <c r="BB36" s="495"/>
      <c r="BC36" s="495"/>
      <c r="BD36" s="495"/>
      <c r="BE36" s="495">
        <f t="shared" si="16"/>
        <v>-670000</v>
      </c>
      <c r="BF36" s="495">
        <f t="shared" si="18"/>
        <v>0</v>
      </c>
      <c r="BG36" s="495">
        <f t="shared" si="17"/>
        <v>0</v>
      </c>
      <c r="BH36" s="495">
        <v>-670000</v>
      </c>
      <c r="BI36" s="495"/>
      <c r="BJ36" s="495"/>
      <c r="BK36" s="495"/>
      <c r="BL36" s="495"/>
    </row>
    <row r="37" spans="1:64" s="6" customFormat="1" ht="30" customHeight="1">
      <c r="A37" s="3">
        <f t="shared" si="12"/>
        <v>32</v>
      </c>
      <c r="B37" s="3">
        <v>2113</v>
      </c>
      <c r="C37" s="3" t="s">
        <v>213</v>
      </c>
      <c r="D37" s="4">
        <v>2550000</v>
      </c>
      <c r="E37" s="4">
        <v>2550000</v>
      </c>
      <c r="F37" s="4">
        <f t="shared" si="0"/>
        <v>0</v>
      </c>
      <c r="G37" s="4">
        <v>200000</v>
      </c>
      <c r="H37" s="4">
        <v>116513</v>
      </c>
      <c r="I37" s="4"/>
      <c r="J37" s="4"/>
      <c r="K37" s="4">
        <f t="shared" si="1"/>
        <v>0</v>
      </c>
      <c r="L37" s="4">
        <f t="shared" si="2"/>
        <v>116513</v>
      </c>
      <c r="M37" s="495">
        <f>P37+S37-150000-30000</f>
        <v>3487</v>
      </c>
      <c r="N37" s="4">
        <f>250000+150000-250000-50000</f>
        <v>100000</v>
      </c>
      <c r="O37" s="4">
        <f t="shared" si="3"/>
        <v>2330000</v>
      </c>
      <c r="P37" s="4">
        <f t="shared" si="4"/>
        <v>83487</v>
      </c>
      <c r="Q37" s="4">
        <v>100000</v>
      </c>
      <c r="R37" s="4"/>
      <c r="S37" s="4">
        <f t="shared" si="5"/>
        <v>100000</v>
      </c>
      <c r="T37" s="495">
        <f t="shared" si="6"/>
        <v>180000</v>
      </c>
      <c r="U37" s="4">
        <f t="shared" si="7"/>
        <v>-80000</v>
      </c>
      <c r="V37" s="4">
        <f t="shared" si="8"/>
        <v>0</v>
      </c>
      <c r="W37" s="4">
        <v>-80000</v>
      </c>
      <c r="X37" s="4"/>
      <c r="Y37" s="4"/>
      <c r="Z37" s="4"/>
      <c r="AA37" s="3"/>
      <c r="AB37" s="202" t="s">
        <v>397</v>
      </c>
      <c r="AC37" s="3">
        <v>732000</v>
      </c>
      <c r="AD37" s="495">
        <v>-80000</v>
      </c>
      <c r="AE37" s="495"/>
      <c r="AF37" s="495"/>
      <c r="AG37" s="495"/>
      <c r="AH37" s="495"/>
      <c r="AI37" s="495"/>
      <c r="AJ37" s="495">
        <f t="shared" si="9"/>
        <v>-80000</v>
      </c>
      <c r="AK37" s="495">
        <f t="shared" si="13"/>
        <v>0</v>
      </c>
      <c r="AL37" s="495"/>
      <c r="AM37" s="42"/>
      <c r="AN37" s="495">
        <f t="shared" si="10"/>
        <v>0</v>
      </c>
      <c r="AO37" s="495">
        <f t="shared" si="14"/>
        <v>0</v>
      </c>
      <c r="AP37" s="495"/>
      <c r="AQ37" s="495"/>
      <c r="AR37" s="495"/>
      <c r="AS37" s="495"/>
      <c r="AT37" s="495"/>
      <c r="AU37" s="495"/>
      <c r="AV37" s="495"/>
      <c r="AW37" s="495"/>
      <c r="AX37" s="495">
        <f t="shared" si="11"/>
        <v>0</v>
      </c>
      <c r="AY37" s="495">
        <f t="shared" si="15"/>
        <v>0</v>
      </c>
      <c r="AZ37" s="495"/>
      <c r="BA37" s="495"/>
      <c r="BB37" s="495"/>
      <c r="BC37" s="495"/>
      <c r="BD37" s="495"/>
      <c r="BE37" s="495">
        <f t="shared" si="16"/>
        <v>-80000</v>
      </c>
      <c r="BF37" s="495">
        <f t="shared" si="18"/>
        <v>0</v>
      </c>
      <c r="BG37" s="495">
        <f t="shared" si="17"/>
        <v>0</v>
      </c>
      <c r="BH37" s="495">
        <v>-80000</v>
      </c>
      <c r="BI37" s="495"/>
      <c r="BJ37" s="495"/>
      <c r="BK37" s="495"/>
      <c r="BL37" s="495"/>
    </row>
    <row r="38" spans="1:64" s="6" customFormat="1" ht="45">
      <c r="A38" s="3">
        <f t="shared" si="12"/>
        <v>33</v>
      </c>
      <c r="B38" s="3">
        <v>2114</v>
      </c>
      <c r="C38" s="3" t="s">
        <v>1141</v>
      </c>
      <c r="D38" s="4">
        <f>1450000-1366000-44500-7471</f>
        <v>32029</v>
      </c>
      <c r="E38" s="4">
        <v>1450000</v>
      </c>
      <c r="F38" s="4">
        <f t="shared" si="0"/>
        <v>-1417971</v>
      </c>
      <c r="G38" s="4">
        <v>84000</v>
      </c>
      <c r="H38" s="4">
        <v>32029</v>
      </c>
      <c r="I38" s="4"/>
      <c r="J38" s="4"/>
      <c r="K38" s="4">
        <f t="shared" ref="K38:K61" si="19">SUM(I38:J38)</f>
        <v>0</v>
      </c>
      <c r="L38" s="4">
        <f t="shared" si="2"/>
        <v>32029</v>
      </c>
      <c r="M38" s="495">
        <f>P38+S38-44500-7471</f>
        <v>0</v>
      </c>
      <c r="N38" s="4"/>
      <c r="O38" s="4">
        <f t="shared" si="3"/>
        <v>0</v>
      </c>
      <c r="P38" s="4">
        <f t="shared" si="4"/>
        <v>51971</v>
      </c>
      <c r="Q38" s="4"/>
      <c r="R38" s="4"/>
      <c r="S38" s="4">
        <f t="shared" si="5"/>
        <v>0</v>
      </c>
      <c r="T38" s="495">
        <f t="shared" si="6"/>
        <v>51971</v>
      </c>
      <c r="U38" s="4">
        <f t="shared" si="7"/>
        <v>-51971</v>
      </c>
      <c r="V38" s="4">
        <f t="shared" si="8"/>
        <v>-51971</v>
      </c>
      <c r="W38" s="4"/>
      <c r="X38" s="4"/>
      <c r="Y38" s="4"/>
      <c r="Z38" s="4"/>
      <c r="AA38" s="3"/>
      <c r="AB38" s="3" t="s">
        <v>933</v>
      </c>
      <c r="AC38" s="3">
        <v>732000</v>
      </c>
      <c r="AD38" s="495">
        <v>-51971</v>
      </c>
      <c r="AE38" s="495"/>
      <c r="AF38" s="495"/>
      <c r="AG38" s="495"/>
      <c r="AH38" s="495"/>
      <c r="AI38" s="495"/>
      <c r="AJ38" s="495">
        <f t="shared" ref="AJ38:AJ65" si="20">SUM(AD38:AI38)+AL38</f>
        <v>-51971</v>
      </c>
      <c r="AK38" s="495">
        <f t="shared" si="13"/>
        <v>0</v>
      </c>
      <c r="AL38" s="495"/>
      <c r="AM38" s="42"/>
      <c r="AN38" s="495">
        <f t="shared" ref="AN38:AN65" si="21">AK38+AM38</f>
        <v>0</v>
      </c>
      <c r="AO38" s="495">
        <f t="shared" si="14"/>
        <v>0</v>
      </c>
      <c r="AP38" s="495"/>
      <c r="AQ38" s="495"/>
      <c r="AR38" s="495"/>
      <c r="AS38" s="495"/>
      <c r="AT38" s="495"/>
      <c r="AU38" s="495"/>
      <c r="AV38" s="495"/>
      <c r="AW38" s="495"/>
      <c r="AX38" s="495">
        <f t="shared" si="11"/>
        <v>0</v>
      </c>
      <c r="AY38" s="495">
        <f t="shared" si="15"/>
        <v>0</v>
      </c>
      <c r="AZ38" s="495"/>
      <c r="BA38" s="495"/>
      <c r="BB38" s="495"/>
      <c r="BC38" s="495"/>
      <c r="BD38" s="495"/>
      <c r="BE38" s="495">
        <f t="shared" si="16"/>
        <v>-51971</v>
      </c>
      <c r="BF38" s="495">
        <f t="shared" si="18"/>
        <v>0</v>
      </c>
      <c r="BG38" s="495">
        <f t="shared" si="17"/>
        <v>-51971</v>
      </c>
      <c r="BH38" s="495"/>
      <c r="BI38" s="495"/>
      <c r="BJ38" s="495"/>
      <c r="BK38" s="495"/>
      <c r="BL38" s="495"/>
    </row>
    <row r="39" spans="1:64" s="6" customFormat="1" ht="30" customHeight="1">
      <c r="A39" s="3">
        <f t="shared" si="12"/>
        <v>34</v>
      </c>
      <c r="B39" s="3">
        <v>2117</v>
      </c>
      <c r="C39" s="3" t="s">
        <v>372</v>
      </c>
      <c r="D39" s="4">
        <v>750000</v>
      </c>
      <c r="E39" s="4">
        <v>750000</v>
      </c>
      <c r="F39" s="4">
        <f t="shared" si="0"/>
        <v>0</v>
      </c>
      <c r="G39" s="4">
        <v>350000</v>
      </c>
      <c r="H39" s="4">
        <v>80553</v>
      </c>
      <c r="I39" s="4"/>
      <c r="J39" s="4">
        <v>131985</v>
      </c>
      <c r="K39" s="4">
        <f t="shared" si="19"/>
        <v>131985</v>
      </c>
      <c r="L39" s="4">
        <f t="shared" si="2"/>
        <v>212538</v>
      </c>
      <c r="M39" s="495">
        <f>P39+S39-130000</f>
        <v>7462</v>
      </c>
      <c r="N39" s="4">
        <f>130000-80000</f>
        <v>50000</v>
      </c>
      <c r="O39" s="4">
        <f t="shared" si="3"/>
        <v>480000</v>
      </c>
      <c r="P39" s="4">
        <f t="shared" si="4"/>
        <v>137462</v>
      </c>
      <c r="Q39" s="4"/>
      <c r="R39" s="4"/>
      <c r="S39" s="4">
        <f t="shared" si="5"/>
        <v>0</v>
      </c>
      <c r="T39" s="495">
        <f t="shared" si="6"/>
        <v>130000</v>
      </c>
      <c r="U39" s="4">
        <f t="shared" si="7"/>
        <v>-80000</v>
      </c>
      <c r="V39" s="4">
        <f t="shared" si="8"/>
        <v>-80000</v>
      </c>
      <c r="W39" s="4"/>
      <c r="X39" s="4"/>
      <c r="Y39" s="4"/>
      <c r="Z39" s="4"/>
      <c r="AA39" s="3"/>
      <c r="AB39" s="3" t="s">
        <v>373</v>
      </c>
      <c r="AC39" s="3">
        <v>732000</v>
      </c>
      <c r="AD39" s="495">
        <v>-80000</v>
      </c>
      <c r="AE39" s="495"/>
      <c r="AF39" s="495"/>
      <c r="AG39" s="495"/>
      <c r="AH39" s="495"/>
      <c r="AI39" s="495"/>
      <c r="AJ39" s="495">
        <f t="shared" si="20"/>
        <v>-80000</v>
      </c>
      <c r="AK39" s="495">
        <f t="shared" si="13"/>
        <v>0</v>
      </c>
      <c r="AL39" s="495"/>
      <c r="AM39" s="42"/>
      <c r="AN39" s="495">
        <f t="shared" si="21"/>
        <v>0</v>
      </c>
      <c r="AO39" s="495">
        <f t="shared" si="14"/>
        <v>0</v>
      </c>
      <c r="AP39" s="495"/>
      <c r="AQ39" s="495"/>
      <c r="AR39" s="495"/>
      <c r="AS39" s="495"/>
      <c r="AT39" s="495"/>
      <c r="AU39" s="495"/>
      <c r="AV39" s="495"/>
      <c r="AW39" s="495"/>
      <c r="AX39" s="495">
        <f t="shared" si="11"/>
        <v>0</v>
      </c>
      <c r="AY39" s="495">
        <f t="shared" si="15"/>
        <v>0</v>
      </c>
      <c r="AZ39" s="495"/>
      <c r="BA39" s="495"/>
      <c r="BB39" s="495"/>
      <c r="BC39" s="495"/>
      <c r="BD39" s="495"/>
      <c r="BE39" s="495">
        <f t="shared" si="16"/>
        <v>-80000</v>
      </c>
      <c r="BF39" s="495">
        <f t="shared" si="18"/>
        <v>0</v>
      </c>
      <c r="BG39" s="495">
        <f t="shared" si="17"/>
        <v>-80000</v>
      </c>
      <c r="BH39" s="495"/>
      <c r="BI39" s="495"/>
      <c r="BJ39" s="495"/>
      <c r="BK39" s="495"/>
      <c r="BL39" s="495"/>
    </row>
    <row r="40" spans="1:64" s="5" customFormat="1" ht="30" customHeight="1">
      <c r="A40" s="3">
        <f t="shared" si="12"/>
        <v>35</v>
      </c>
      <c r="B40" s="19">
        <v>2121</v>
      </c>
      <c r="C40" s="3" t="s">
        <v>263</v>
      </c>
      <c r="D40" s="4">
        <v>1290000</v>
      </c>
      <c r="E40" s="4">
        <v>1290000</v>
      </c>
      <c r="F40" s="4">
        <f t="shared" si="0"/>
        <v>0</v>
      </c>
      <c r="G40" s="4">
        <v>1100000</v>
      </c>
      <c r="H40" s="4">
        <v>158135</v>
      </c>
      <c r="I40" s="4"/>
      <c r="J40" s="4">
        <v>147859</v>
      </c>
      <c r="K40" s="4">
        <f t="shared" si="19"/>
        <v>147859</v>
      </c>
      <c r="L40" s="4">
        <f t="shared" si="2"/>
        <v>305994</v>
      </c>
      <c r="M40" s="495">
        <f>P40+S40-790000</f>
        <v>4006</v>
      </c>
      <c r="N40" s="4">
        <f>790000+190000-100000</f>
        <v>880000</v>
      </c>
      <c r="O40" s="4">
        <f t="shared" si="3"/>
        <v>100000</v>
      </c>
      <c r="P40" s="4">
        <f t="shared" si="4"/>
        <v>794006</v>
      </c>
      <c r="Q40" s="4"/>
      <c r="R40" s="4"/>
      <c r="S40" s="4">
        <f t="shared" si="5"/>
        <v>0</v>
      </c>
      <c r="T40" s="495">
        <f t="shared" si="6"/>
        <v>790000</v>
      </c>
      <c r="U40" s="4">
        <f t="shared" si="7"/>
        <v>90000</v>
      </c>
      <c r="V40" s="4">
        <f t="shared" si="8"/>
        <v>90000</v>
      </c>
      <c r="W40" s="4"/>
      <c r="X40" s="4"/>
      <c r="Y40" s="4"/>
      <c r="Z40" s="4"/>
      <c r="AA40" s="495"/>
      <c r="AB40" s="3" t="s">
        <v>720</v>
      </c>
      <c r="AC40" s="3">
        <v>742000</v>
      </c>
      <c r="AD40" s="495"/>
      <c r="AE40" s="495"/>
      <c r="AF40" s="495"/>
      <c r="AG40" s="495"/>
      <c r="AH40" s="495"/>
      <c r="AI40" s="495"/>
      <c r="AJ40" s="495">
        <f t="shared" si="20"/>
        <v>0</v>
      </c>
      <c r="AK40" s="495">
        <f t="shared" si="13"/>
        <v>90000</v>
      </c>
      <c r="AL40" s="495"/>
      <c r="AM40" s="42"/>
      <c r="AN40" s="495">
        <f t="shared" si="21"/>
        <v>90000</v>
      </c>
      <c r="AO40" s="495">
        <f t="shared" si="14"/>
        <v>90000</v>
      </c>
      <c r="AP40" s="495"/>
      <c r="AQ40" s="495"/>
      <c r="AR40" s="495"/>
      <c r="AS40" s="495"/>
      <c r="AT40" s="495"/>
      <c r="AU40" s="495"/>
      <c r="AV40" s="495"/>
      <c r="AW40" s="495">
        <v>90000</v>
      </c>
      <c r="AX40" s="495">
        <f t="shared" si="11"/>
        <v>0</v>
      </c>
      <c r="AY40" s="495">
        <f t="shared" si="15"/>
        <v>0</v>
      </c>
      <c r="AZ40" s="495"/>
      <c r="BA40" s="495"/>
      <c r="BB40" s="495"/>
      <c r="BC40" s="495"/>
      <c r="BD40" s="495"/>
      <c r="BE40" s="495">
        <f t="shared" si="16"/>
        <v>0</v>
      </c>
      <c r="BF40" s="495">
        <f t="shared" si="18"/>
        <v>90000</v>
      </c>
      <c r="BG40" s="495">
        <f t="shared" si="17"/>
        <v>0</v>
      </c>
      <c r="BH40" s="495"/>
      <c r="BI40" s="495"/>
      <c r="BJ40" s="495"/>
      <c r="BK40" s="495"/>
      <c r="BL40" s="495"/>
    </row>
    <row r="41" spans="1:64" s="5" customFormat="1" ht="30" customHeight="1">
      <c r="A41" s="3">
        <f t="shared" si="12"/>
        <v>36</v>
      </c>
      <c r="B41" s="3">
        <v>2142</v>
      </c>
      <c r="C41" s="3" t="s">
        <v>1142</v>
      </c>
      <c r="D41" s="4">
        <f>2250000-269000</f>
        <v>1981000</v>
      </c>
      <c r="E41" s="4">
        <v>2250000</v>
      </c>
      <c r="F41" s="4">
        <f t="shared" si="0"/>
        <v>-269000</v>
      </c>
      <c r="G41" s="4">
        <v>2250000</v>
      </c>
      <c r="H41" s="4">
        <v>1975860</v>
      </c>
      <c r="I41" s="4"/>
      <c r="J41" s="4">
        <v>1475</v>
      </c>
      <c r="K41" s="4">
        <f t="shared" si="19"/>
        <v>1475</v>
      </c>
      <c r="L41" s="4">
        <f t="shared" si="2"/>
        <v>1977335</v>
      </c>
      <c r="M41" s="495">
        <f>P41+S41-265000-4000</f>
        <v>3665</v>
      </c>
      <c r="N41" s="4"/>
      <c r="O41" s="4">
        <f t="shared" si="3"/>
        <v>0</v>
      </c>
      <c r="P41" s="4">
        <f t="shared" si="4"/>
        <v>272665</v>
      </c>
      <c r="Q41" s="4"/>
      <c r="R41" s="4"/>
      <c r="S41" s="4">
        <f t="shared" si="5"/>
        <v>0</v>
      </c>
      <c r="T41" s="495">
        <f t="shared" si="6"/>
        <v>269000</v>
      </c>
      <c r="U41" s="4">
        <f t="shared" si="7"/>
        <v>-269000</v>
      </c>
      <c r="V41" s="4">
        <f t="shared" si="8"/>
        <v>-269000</v>
      </c>
      <c r="W41" s="4"/>
      <c r="X41" s="4"/>
      <c r="Y41" s="4"/>
      <c r="Z41" s="4"/>
      <c r="AA41" s="3"/>
      <c r="AB41" s="3" t="s">
        <v>934</v>
      </c>
      <c r="AC41" s="3">
        <v>742000</v>
      </c>
      <c r="AD41" s="495">
        <v>-269000</v>
      </c>
      <c r="AE41" s="495"/>
      <c r="AF41" s="495"/>
      <c r="AG41" s="495"/>
      <c r="AH41" s="495"/>
      <c r="AI41" s="495"/>
      <c r="AJ41" s="495">
        <f t="shared" si="20"/>
        <v>-269000</v>
      </c>
      <c r="AK41" s="495">
        <f t="shared" si="13"/>
        <v>0</v>
      </c>
      <c r="AL41" s="495"/>
      <c r="AM41" s="42"/>
      <c r="AN41" s="495">
        <f t="shared" si="21"/>
        <v>0</v>
      </c>
      <c r="AO41" s="495">
        <f t="shared" si="14"/>
        <v>0</v>
      </c>
      <c r="AP41" s="495"/>
      <c r="AQ41" s="495"/>
      <c r="AR41" s="495"/>
      <c r="AS41" s="495"/>
      <c r="AT41" s="495"/>
      <c r="AU41" s="495"/>
      <c r="AV41" s="495"/>
      <c r="AW41" s="495"/>
      <c r="AX41" s="495">
        <f t="shared" si="11"/>
        <v>0</v>
      </c>
      <c r="AY41" s="495">
        <f t="shared" si="15"/>
        <v>0</v>
      </c>
      <c r="AZ41" s="495"/>
      <c r="BA41" s="495"/>
      <c r="BB41" s="495"/>
      <c r="BC41" s="495"/>
      <c r="BD41" s="495"/>
      <c r="BE41" s="495">
        <f t="shared" si="16"/>
        <v>-269000</v>
      </c>
      <c r="BF41" s="495">
        <f t="shared" si="18"/>
        <v>0</v>
      </c>
      <c r="BG41" s="495">
        <f t="shared" si="17"/>
        <v>-269000</v>
      </c>
      <c r="BH41" s="495"/>
      <c r="BI41" s="495"/>
      <c r="BJ41" s="495"/>
      <c r="BK41" s="495"/>
      <c r="BL41" s="495"/>
    </row>
    <row r="42" spans="1:64" s="5" customFormat="1" ht="30" customHeight="1">
      <c r="A42" s="3">
        <f t="shared" si="12"/>
        <v>37</v>
      </c>
      <c r="B42" s="19">
        <v>2143</v>
      </c>
      <c r="C42" s="3" t="s">
        <v>323</v>
      </c>
      <c r="D42" s="4">
        <v>850000</v>
      </c>
      <c r="E42" s="4">
        <v>850000</v>
      </c>
      <c r="F42" s="4">
        <f t="shared" si="0"/>
        <v>0</v>
      </c>
      <c r="G42" s="4">
        <v>650000</v>
      </c>
      <c r="H42" s="4">
        <v>642993</v>
      </c>
      <c r="I42" s="4"/>
      <c r="J42" s="4">
        <v>5270</v>
      </c>
      <c r="K42" s="4">
        <f t="shared" si="19"/>
        <v>5270</v>
      </c>
      <c r="L42" s="4">
        <f t="shared" si="2"/>
        <v>648263</v>
      </c>
      <c r="M42" s="4">
        <f>P42+S42</f>
        <v>1737</v>
      </c>
      <c r="N42" s="4">
        <v>200000</v>
      </c>
      <c r="O42" s="4">
        <f t="shared" si="3"/>
        <v>0</v>
      </c>
      <c r="P42" s="4">
        <f t="shared" si="4"/>
        <v>1737</v>
      </c>
      <c r="Q42" s="4"/>
      <c r="R42" s="4"/>
      <c r="S42" s="4">
        <f t="shared" si="5"/>
        <v>0</v>
      </c>
      <c r="T42" s="495">
        <f t="shared" si="6"/>
        <v>0</v>
      </c>
      <c r="U42" s="4">
        <f t="shared" si="7"/>
        <v>200000</v>
      </c>
      <c r="V42" s="4">
        <f t="shared" si="8"/>
        <v>200000</v>
      </c>
      <c r="W42" s="4"/>
      <c r="X42" s="4"/>
      <c r="Y42" s="4"/>
      <c r="Z42" s="4"/>
      <c r="AA42" s="3"/>
      <c r="AB42" s="3" t="s">
        <v>611</v>
      </c>
      <c r="AC42" s="3">
        <v>732000</v>
      </c>
      <c r="AD42" s="495"/>
      <c r="AE42" s="495">
        <v>200000</v>
      </c>
      <c r="AF42" s="495"/>
      <c r="AG42" s="495"/>
      <c r="AH42" s="495"/>
      <c r="AI42" s="495"/>
      <c r="AJ42" s="495">
        <f t="shared" si="20"/>
        <v>200000</v>
      </c>
      <c r="AK42" s="495">
        <f t="shared" si="13"/>
        <v>0</v>
      </c>
      <c r="AL42" s="495"/>
      <c r="AM42" s="42"/>
      <c r="AN42" s="495">
        <f t="shared" si="21"/>
        <v>0</v>
      </c>
      <c r="AO42" s="495">
        <f t="shared" si="14"/>
        <v>0</v>
      </c>
      <c r="AP42" s="495"/>
      <c r="AQ42" s="495"/>
      <c r="AR42" s="495"/>
      <c r="AS42" s="495"/>
      <c r="AT42" s="495"/>
      <c r="AU42" s="495"/>
      <c r="AV42" s="495"/>
      <c r="AW42" s="495"/>
      <c r="AX42" s="495">
        <f t="shared" si="11"/>
        <v>0</v>
      </c>
      <c r="AY42" s="495">
        <f t="shared" si="15"/>
        <v>0</v>
      </c>
      <c r="AZ42" s="495"/>
      <c r="BA42" s="495"/>
      <c r="BB42" s="495"/>
      <c r="BC42" s="495"/>
      <c r="BD42" s="495"/>
      <c r="BE42" s="495">
        <f t="shared" si="16"/>
        <v>200000</v>
      </c>
      <c r="BF42" s="495">
        <f t="shared" si="18"/>
        <v>0</v>
      </c>
      <c r="BG42" s="495">
        <f t="shared" si="17"/>
        <v>200000</v>
      </c>
      <c r="BH42" s="495"/>
      <c r="BI42" s="495"/>
      <c r="BJ42" s="495"/>
      <c r="BK42" s="495"/>
      <c r="BL42" s="495"/>
    </row>
    <row r="43" spans="1:64" s="5" customFormat="1" ht="30" customHeight="1">
      <c r="A43" s="3">
        <f t="shared" si="12"/>
        <v>38</v>
      </c>
      <c r="B43" s="19">
        <v>2190</v>
      </c>
      <c r="C43" s="3" t="s">
        <v>374</v>
      </c>
      <c r="D43" s="4">
        <f>250000-207382</f>
        <v>42618</v>
      </c>
      <c r="E43" s="4">
        <v>250000</v>
      </c>
      <c r="F43" s="4">
        <f t="shared" si="0"/>
        <v>-207382</v>
      </c>
      <c r="G43" s="4">
        <v>250000</v>
      </c>
      <c r="H43" s="4">
        <v>42618</v>
      </c>
      <c r="I43" s="4"/>
      <c r="J43" s="4"/>
      <c r="K43" s="4">
        <f t="shared" si="19"/>
        <v>0</v>
      </c>
      <c r="L43" s="4">
        <f t="shared" si="2"/>
        <v>42618</v>
      </c>
      <c r="M43" s="495">
        <f>P43+S43-207382</f>
        <v>0</v>
      </c>
      <c r="N43" s="4"/>
      <c r="O43" s="4">
        <f t="shared" si="3"/>
        <v>0</v>
      </c>
      <c r="P43" s="4">
        <f t="shared" si="4"/>
        <v>207382</v>
      </c>
      <c r="Q43" s="4"/>
      <c r="R43" s="4"/>
      <c r="S43" s="4">
        <f t="shared" si="5"/>
        <v>0</v>
      </c>
      <c r="T43" s="495">
        <f t="shared" si="6"/>
        <v>207382</v>
      </c>
      <c r="U43" s="4">
        <f t="shared" si="7"/>
        <v>-207382</v>
      </c>
      <c r="V43" s="4">
        <f t="shared" si="8"/>
        <v>-62215</v>
      </c>
      <c r="W43" s="4"/>
      <c r="X43" s="4"/>
      <c r="Y43" s="4"/>
      <c r="Z43" s="4"/>
      <c r="AA43" s="4">
        <v>-145167</v>
      </c>
      <c r="AB43" s="3" t="s">
        <v>724</v>
      </c>
      <c r="AC43" s="3">
        <v>742000</v>
      </c>
      <c r="AD43" s="495">
        <v>-207382</v>
      </c>
      <c r="AE43" s="495"/>
      <c r="AF43" s="495"/>
      <c r="AG43" s="495"/>
      <c r="AH43" s="495"/>
      <c r="AI43" s="495"/>
      <c r="AJ43" s="495">
        <f t="shared" si="20"/>
        <v>-207382</v>
      </c>
      <c r="AK43" s="495">
        <f t="shared" si="13"/>
        <v>0</v>
      </c>
      <c r="AL43" s="495"/>
      <c r="AM43" s="42"/>
      <c r="AN43" s="495">
        <f t="shared" si="21"/>
        <v>0</v>
      </c>
      <c r="AO43" s="495">
        <f t="shared" si="14"/>
        <v>0</v>
      </c>
      <c r="AP43" s="495"/>
      <c r="AQ43" s="495"/>
      <c r="AR43" s="495"/>
      <c r="AS43" s="495"/>
      <c r="AT43" s="495"/>
      <c r="AU43" s="495"/>
      <c r="AV43" s="495"/>
      <c r="AW43" s="495"/>
      <c r="AX43" s="495">
        <f t="shared" si="11"/>
        <v>0</v>
      </c>
      <c r="AY43" s="495">
        <f t="shared" si="15"/>
        <v>0</v>
      </c>
      <c r="AZ43" s="495"/>
      <c r="BA43" s="495"/>
      <c r="BB43" s="495"/>
      <c r="BC43" s="495"/>
      <c r="BD43" s="495"/>
      <c r="BE43" s="495">
        <f t="shared" si="16"/>
        <v>-207382</v>
      </c>
      <c r="BF43" s="495">
        <f t="shared" si="18"/>
        <v>0</v>
      </c>
      <c r="BG43" s="495">
        <f t="shared" si="17"/>
        <v>-62215</v>
      </c>
      <c r="BH43" s="495"/>
      <c r="BI43" s="495"/>
      <c r="BJ43" s="495"/>
      <c r="BK43" s="495"/>
      <c r="BL43" s="495">
        <v>-145167</v>
      </c>
    </row>
    <row r="44" spans="1:64" s="5" customFormat="1" ht="30" customHeight="1">
      <c r="A44" s="3">
        <f t="shared" si="12"/>
        <v>39</v>
      </c>
      <c r="B44" s="19">
        <v>2192</v>
      </c>
      <c r="C44" s="3" t="s">
        <v>1465</v>
      </c>
      <c r="D44" s="4">
        <v>20400000</v>
      </c>
      <c r="E44" s="4">
        <v>20400000</v>
      </c>
      <c r="F44" s="4">
        <f t="shared" si="0"/>
        <v>0</v>
      </c>
      <c r="G44" s="4">
        <v>100000</v>
      </c>
      <c r="H44" s="4"/>
      <c r="I44" s="4"/>
      <c r="J44" s="4"/>
      <c r="K44" s="4">
        <f t="shared" si="19"/>
        <v>0</v>
      </c>
      <c r="L44" s="4">
        <f t="shared" si="2"/>
        <v>0</v>
      </c>
      <c r="M44" s="4">
        <f>P44+S44-100000</f>
        <v>0</v>
      </c>
      <c r="N44" s="4">
        <f>100000-50000</f>
        <v>50000</v>
      </c>
      <c r="O44" s="4">
        <f t="shared" si="3"/>
        <v>20350000</v>
      </c>
      <c r="P44" s="4">
        <f t="shared" si="4"/>
        <v>100000</v>
      </c>
      <c r="Q44" s="4"/>
      <c r="R44" s="4"/>
      <c r="S44" s="4">
        <f t="shared" si="5"/>
        <v>0</v>
      </c>
      <c r="T44" s="495">
        <f t="shared" si="6"/>
        <v>100000</v>
      </c>
      <c r="U44" s="4">
        <f t="shared" si="7"/>
        <v>-50000</v>
      </c>
      <c r="V44" s="4">
        <f t="shared" si="8"/>
        <v>-50000</v>
      </c>
      <c r="W44" s="4"/>
      <c r="X44" s="4"/>
      <c r="Y44" s="4"/>
      <c r="Z44" s="4"/>
      <c r="AA44" s="3"/>
      <c r="AB44" s="3" t="s">
        <v>388</v>
      </c>
      <c r="AC44" s="3">
        <v>742000</v>
      </c>
      <c r="AD44" s="495">
        <v>-50000</v>
      </c>
      <c r="AE44" s="495"/>
      <c r="AF44" s="495"/>
      <c r="AG44" s="495"/>
      <c r="AH44" s="495"/>
      <c r="AI44" s="495"/>
      <c r="AJ44" s="495">
        <f t="shared" si="20"/>
        <v>-50000</v>
      </c>
      <c r="AK44" s="495">
        <f t="shared" si="13"/>
        <v>0</v>
      </c>
      <c r="AL44" s="495"/>
      <c r="AM44" s="42"/>
      <c r="AN44" s="495">
        <f t="shared" si="21"/>
        <v>0</v>
      </c>
      <c r="AO44" s="495">
        <f t="shared" si="14"/>
        <v>0</v>
      </c>
      <c r="AP44" s="495"/>
      <c r="AQ44" s="495"/>
      <c r="AR44" s="495"/>
      <c r="AS44" s="495"/>
      <c r="AT44" s="495"/>
      <c r="AU44" s="495"/>
      <c r="AV44" s="495"/>
      <c r="AW44" s="495"/>
      <c r="AX44" s="495">
        <f t="shared" si="11"/>
        <v>0</v>
      </c>
      <c r="AY44" s="495">
        <f t="shared" si="15"/>
        <v>0</v>
      </c>
      <c r="AZ44" s="495"/>
      <c r="BA44" s="495"/>
      <c r="BB44" s="495"/>
      <c r="BC44" s="495"/>
      <c r="BD44" s="495"/>
      <c r="BE44" s="495">
        <f t="shared" si="16"/>
        <v>-50000</v>
      </c>
      <c r="BF44" s="495">
        <f t="shared" si="18"/>
        <v>0</v>
      </c>
      <c r="BG44" s="495">
        <f t="shared" si="17"/>
        <v>-50000</v>
      </c>
      <c r="BH44" s="495"/>
      <c r="BI44" s="495"/>
      <c r="BJ44" s="495"/>
      <c r="BK44" s="495"/>
      <c r="BL44" s="495"/>
    </row>
    <row r="45" spans="1:64" s="5" customFormat="1" ht="30" customHeight="1">
      <c r="A45" s="3">
        <f t="shared" si="12"/>
        <v>40</v>
      </c>
      <c r="B45" s="19">
        <v>2193</v>
      </c>
      <c r="C45" s="3" t="s">
        <v>376</v>
      </c>
      <c r="D45" s="4">
        <v>500000</v>
      </c>
      <c r="E45" s="4">
        <v>500000</v>
      </c>
      <c r="F45" s="4">
        <f t="shared" si="0"/>
        <v>0</v>
      </c>
      <c r="G45" s="4">
        <v>200000</v>
      </c>
      <c r="H45" s="4">
        <v>10489</v>
      </c>
      <c r="I45" s="4"/>
      <c r="J45" s="4">
        <v>75007</v>
      </c>
      <c r="K45" s="4">
        <f t="shared" si="19"/>
        <v>75007</v>
      </c>
      <c r="L45" s="4">
        <f t="shared" si="2"/>
        <v>85496</v>
      </c>
      <c r="M45" s="495">
        <f>P45+S45-100000</f>
        <v>14504</v>
      </c>
      <c r="N45" s="4">
        <f>200000+100000-100000-50000</f>
        <v>150000</v>
      </c>
      <c r="O45" s="4">
        <f t="shared" si="3"/>
        <v>250000</v>
      </c>
      <c r="P45" s="4">
        <f t="shared" si="4"/>
        <v>114504</v>
      </c>
      <c r="Q45" s="4"/>
      <c r="R45" s="4"/>
      <c r="S45" s="4">
        <f t="shared" si="5"/>
        <v>0</v>
      </c>
      <c r="T45" s="495">
        <f t="shared" si="6"/>
        <v>100000</v>
      </c>
      <c r="U45" s="4">
        <f t="shared" si="7"/>
        <v>50000</v>
      </c>
      <c r="V45" s="4">
        <f t="shared" si="8"/>
        <v>50000</v>
      </c>
      <c r="W45" s="4"/>
      <c r="X45" s="4"/>
      <c r="Y45" s="4"/>
      <c r="Z45" s="4"/>
      <c r="AA45" s="3"/>
      <c r="AB45" s="3" t="s">
        <v>725</v>
      </c>
      <c r="AC45" s="3">
        <v>742000</v>
      </c>
      <c r="AD45" s="495"/>
      <c r="AE45" s="495"/>
      <c r="AF45" s="495"/>
      <c r="AG45" s="495"/>
      <c r="AH45" s="495">
        <v>50000</v>
      </c>
      <c r="AI45" s="495"/>
      <c r="AJ45" s="495">
        <f t="shared" si="20"/>
        <v>50000</v>
      </c>
      <c r="AK45" s="495">
        <f t="shared" si="13"/>
        <v>0</v>
      </c>
      <c r="AL45" s="495"/>
      <c r="AM45" s="42"/>
      <c r="AN45" s="495">
        <f t="shared" si="21"/>
        <v>0</v>
      </c>
      <c r="AO45" s="495">
        <f t="shared" si="14"/>
        <v>0</v>
      </c>
      <c r="AP45" s="495"/>
      <c r="AQ45" s="495"/>
      <c r="AR45" s="495"/>
      <c r="AS45" s="495"/>
      <c r="AT45" s="495"/>
      <c r="AU45" s="495"/>
      <c r="AV45" s="495"/>
      <c r="AW45" s="495"/>
      <c r="AX45" s="495">
        <f t="shared" si="11"/>
        <v>0</v>
      </c>
      <c r="AY45" s="495">
        <f t="shared" si="15"/>
        <v>0</v>
      </c>
      <c r="AZ45" s="495"/>
      <c r="BA45" s="495"/>
      <c r="BB45" s="495"/>
      <c r="BC45" s="495"/>
      <c r="BD45" s="495"/>
      <c r="BE45" s="495">
        <f t="shared" si="16"/>
        <v>50000</v>
      </c>
      <c r="BF45" s="495">
        <f t="shared" si="18"/>
        <v>0</v>
      </c>
      <c r="BG45" s="495">
        <f t="shared" si="17"/>
        <v>50000</v>
      </c>
      <c r="BH45" s="495"/>
      <c r="BI45" s="495"/>
      <c r="BJ45" s="495"/>
      <c r="BK45" s="495"/>
      <c r="BL45" s="495"/>
    </row>
    <row r="46" spans="1:64" s="5" customFormat="1" ht="30" customHeight="1">
      <c r="A46" s="3">
        <f t="shared" si="12"/>
        <v>41</v>
      </c>
      <c r="B46" s="19">
        <v>2199</v>
      </c>
      <c r="C46" s="3" t="s">
        <v>382</v>
      </c>
      <c r="D46" s="4">
        <v>1000000</v>
      </c>
      <c r="E46" s="4">
        <v>1000000</v>
      </c>
      <c r="F46" s="4">
        <f t="shared" si="0"/>
        <v>0</v>
      </c>
      <c r="G46" s="4">
        <v>150000</v>
      </c>
      <c r="H46" s="4">
        <v>58970</v>
      </c>
      <c r="I46" s="4"/>
      <c r="J46" s="4"/>
      <c r="K46" s="4">
        <f t="shared" si="19"/>
        <v>0</v>
      </c>
      <c r="L46" s="4">
        <f t="shared" si="2"/>
        <v>58970</v>
      </c>
      <c r="M46" s="495">
        <f>P46+S46-135000+44000</f>
        <v>30</v>
      </c>
      <c r="N46" s="4">
        <f>135000-35000-50000</f>
        <v>50000</v>
      </c>
      <c r="O46" s="4">
        <f t="shared" si="3"/>
        <v>891000</v>
      </c>
      <c r="P46" s="4">
        <f t="shared" si="4"/>
        <v>91030</v>
      </c>
      <c r="Q46" s="4"/>
      <c r="R46" s="4"/>
      <c r="S46" s="4">
        <f t="shared" si="5"/>
        <v>0</v>
      </c>
      <c r="T46" s="495">
        <f t="shared" si="6"/>
        <v>91000</v>
      </c>
      <c r="U46" s="4">
        <f t="shared" si="7"/>
        <v>-41000</v>
      </c>
      <c r="V46" s="4">
        <f t="shared" si="8"/>
        <v>-41000</v>
      </c>
      <c r="W46" s="4"/>
      <c r="X46" s="4"/>
      <c r="Y46" s="4"/>
      <c r="Z46" s="4"/>
      <c r="AA46" s="3"/>
      <c r="AB46" s="3" t="s">
        <v>462</v>
      </c>
      <c r="AC46" s="3">
        <v>732000</v>
      </c>
      <c r="AD46" s="495">
        <v>-41000</v>
      </c>
      <c r="AE46" s="495"/>
      <c r="AF46" s="495"/>
      <c r="AG46" s="495"/>
      <c r="AH46" s="495"/>
      <c r="AI46" s="495"/>
      <c r="AJ46" s="495">
        <f t="shared" si="20"/>
        <v>-41000</v>
      </c>
      <c r="AK46" s="495">
        <f t="shared" si="13"/>
        <v>0</v>
      </c>
      <c r="AL46" s="495"/>
      <c r="AM46" s="42"/>
      <c r="AN46" s="495">
        <f t="shared" si="21"/>
        <v>0</v>
      </c>
      <c r="AO46" s="495">
        <f t="shared" si="14"/>
        <v>0</v>
      </c>
      <c r="AP46" s="495"/>
      <c r="AQ46" s="495"/>
      <c r="AR46" s="495"/>
      <c r="AS46" s="495"/>
      <c r="AT46" s="495"/>
      <c r="AU46" s="495"/>
      <c r="AV46" s="495"/>
      <c r="AW46" s="495"/>
      <c r="AX46" s="495">
        <f t="shared" si="11"/>
        <v>0</v>
      </c>
      <c r="AY46" s="495">
        <f t="shared" si="15"/>
        <v>0</v>
      </c>
      <c r="AZ46" s="495"/>
      <c r="BA46" s="495"/>
      <c r="BB46" s="495"/>
      <c r="BC46" s="495"/>
      <c r="BD46" s="495"/>
      <c r="BE46" s="495">
        <f t="shared" si="16"/>
        <v>-41000</v>
      </c>
      <c r="BF46" s="495">
        <f t="shared" si="18"/>
        <v>0</v>
      </c>
      <c r="BG46" s="495">
        <f t="shared" si="17"/>
        <v>-41000</v>
      </c>
      <c r="BH46" s="495"/>
      <c r="BI46" s="495"/>
      <c r="BJ46" s="495"/>
      <c r="BK46" s="495"/>
      <c r="BL46" s="495"/>
    </row>
    <row r="47" spans="1:64" s="5" customFormat="1" ht="30" customHeight="1">
      <c r="A47" s="3">
        <f t="shared" si="12"/>
        <v>42</v>
      </c>
      <c r="B47" s="19">
        <v>2200</v>
      </c>
      <c r="C47" s="3" t="s">
        <v>383</v>
      </c>
      <c r="D47" s="4">
        <v>1700000</v>
      </c>
      <c r="E47" s="4">
        <v>1700000</v>
      </c>
      <c r="F47" s="4">
        <f t="shared" si="0"/>
        <v>0</v>
      </c>
      <c r="G47" s="4">
        <v>150000</v>
      </c>
      <c r="H47" s="4">
        <v>19086</v>
      </c>
      <c r="I47" s="4"/>
      <c r="J47" s="4">
        <v>53381</v>
      </c>
      <c r="K47" s="4">
        <f t="shared" si="19"/>
        <v>53381</v>
      </c>
      <c r="L47" s="4">
        <f t="shared" si="2"/>
        <v>72467</v>
      </c>
      <c r="M47" s="495">
        <f>P47+S47-50000-55000+28000</f>
        <v>533</v>
      </c>
      <c r="N47" s="4">
        <f>400000-200000-100000</f>
        <v>100000</v>
      </c>
      <c r="O47" s="4">
        <f t="shared" si="3"/>
        <v>1527000</v>
      </c>
      <c r="P47" s="4">
        <f t="shared" si="4"/>
        <v>77533</v>
      </c>
      <c r="Q47" s="4"/>
      <c r="R47" s="4"/>
      <c r="S47" s="4">
        <f t="shared" si="5"/>
        <v>0</v>
      </c>
      <c r="T47" s="495">
        <f t="shared" si="6"/>
        <v>77000</v>
      </c>
      <c r="U47" s="4">
        <f t="shared" si="7"/>
        <v>23000</v>
      </c>
      <c r="V47" s="4">
        <f t="shared" si="8"/>
        <v>23000</v>
      </c>
      <c r="W47" s="4"/>
      <c r="X47" s="4"/>
      <c r="Y47" s="4"/>
      <c r="Z47" s="4"/>
      <c r="AA47" s="3"/>
      <c r="AB47" s="3" t="s">
        <v>686</v>
      </c>
      <c r="AC47" s="3">
        <v>732000</v>
      </c>
      <c r="AD47" s="495"/>
      <c r="AE47" s="495"/>
      <c r="AF47" s="495"/>
      <c r="AG47" s="495"/>
      <c r="AH47" s="495">
        <v>23000</v>
      </c>
      <c r="AI47" s="495"/>
      <c r="AJ47" s="495">
        <f t="shared" si="20"/>
        <v>23000</v>
      </c>
      <c r="AK47" s="495">
        <f t="shared" si="13"/>
        <v>0</v>
      </c>
      <c r="AL47" s="495"/>
      <c r="AM47" s="42"/>
      <c r="AN47" s="495">
        <f t="shared" si="21"/>
        <v>0</v>
      </c>
      <c r="AO47" s="495">
        <f t="shared" si="14"/>
        <v>0</v>
      </c>
      <c r="AP47" s="495"/>
      <c r="AQ47" s="495"/>
      <c r="AR47" s="495"/>
      <c r="AS47" s="495"/>
      <c r="AT47" s="495"/>
      <c r="AU47" s="495"/>
      <c r="AV47" s="495"/>
      <c r="AW47" s="495"/>
      <c r="AX47" s="495">
        <f t="shared" si="11"/>
        <v>0</v>
      </c>
      <c r="AY47" s="495">
        <f t="shared" si="15"/>
        <v>0</v>
      </c>
      <c r="AZ47" s="495"/>
      <c r="BA47" s="495"/>
      <c r="BB47" s="495"/>
      <c r="BC47" s="495"/>
      <c r="BD47" s="495"/>
      <c r="BE47" s="495">
        <f t="shared" si="16"/>
        <v>23000</v>
      </c>
      <c r="BF47" s="495">
        <f t="shared" si="18"/>
        <v>0</v>
      </c>
      <c r="BG47" s="495">
        <f t="shared" si="17"/>
        <v>23000</v>
      </c>
      <c r="BH47" s="495"/>
      <c r="BI47" s="495"/>
      <c r="BJ47" s="495"/>
      <c r="BK47" s="495"/>
      <c r="BL47" s="495"/>
    </row>
    <row r="48" spans="1:64" s="5" customFormat="1" ht="30" customHeight="1">
      <c r="A48" s="3">
        <f t="shared" si="12"/>
        <v>43</v>
      </c>
      <c r="B48" s="19">
        <v>20000</v>
      </c>
      <c r="C48" s="3" t="s">
        <v>418</v>
      </c>
      <c r="D48" s="4">
        <v>2500000</v>
      </c>
      <c r="E48" s="4">
        <v>2500000</v>
      </c>
      <c r="F48" s="4">
        <f t="shared" si="0"/>
        <v>0</v>
      </c>
      <c r="G48" s="4">
        <v>0</v>
      </c>
      <c r="H48" s="4"/>
      <c r="I48" s="4"/>
      <c r="J48" s="4"/>
      <c r="K48" s="4">
        <f t="shared" si="19"/>
        <v>0</v>
      </c>
      <c r="L48" s="4">
        <f t="shared" si="2"/>
        <v>0</v>
      </c>
      <c r="M48" s="495">
        <f>P48+S48</f>
        <v>0</v>
      </c>
      <c r="N48" s="4">
        <f>400000-150000-150000</f>
        <v>100000</v>
      </c>
      <c r="O48" s="4">
        <f t="shared" si="3"/>
        <v>2400000</v>
      </c>
      <c r="P48" s="4">
        <f t="shared" si="4"/>
        <v>0</v>
      </c>
      <c r="Q48" s="4"/>
      <c r="R48" s="4"/>
      <c r="S48" s="4">
        <f t="shared" si="5"/>
        <v>0</v>
      </c>
      <c r="T48" s="495">
        <f t="shared" si="6"/>
        <v>0</v>
      </c>
      <c r="U48" s="4">
        <f t="shared" si="7"/>
        <v>100000</v>
      </c>
      <c r="V48" s="4">
        <f t="shared" si="8"/>
        <v>100000</v>
      </c>
      <c r="W48" s="4"/>
      <c r="X48" s="4"/>
      <c r="Y48" s="4"/>
      <c r="Z48" s="4"/>
      <c r="AA48" s="3"/>
      <c r="AB48" s="3" t="s">
        <v>689</v>
      </c>
      <c r="AC48" s="3">
        <v>732000</v>
      </c>
      <c r="AD48" s="495"/>
      <c r="AE48" s="495"/>
      <c r="AF48" s="495"/>
      <c r="AG48" s="495"/>
      <c r="AH48" s="495">
        <v>100000</v>
      </c>
      <c r="AI48" s="495"/>
      <c r="AJ48" s="495">
        <f t="shared" si="20"/>
        <v>100000</v>
      </c>
      <c r="AK48" s="495">
        <f t="shared" si="13"/>
        <v>0</v>
      </c>
      <c r="AL48" s="495"/>
      <c r="AM48" s="42"/>
      <c r="AN48" s="495">
        <f t="shared" si="21"/>
        <v>0</v>
      </c>
      <c r="AO48" s="495">
        <f t="shared" si="14"/>
        <v>0</v>
      </c>
      <c r="AP48" s="495"/>
      <c r="AQ48" s="495"/>
      <c r="AR48" s="495"/>
      <c r="AS48" s="495"/>
      <c r="AT48" s="495"/>
      <c r="AU48" s="495"/>
      <c r="AV48" s="495"/>
      <c r="AW48" s="495"/>
      <c r="AX48" s="495">
        <f t="shared" si="11"/>
        <v>0</v>
      </c>
      <c r="AY48" s="495">
        <f t="shared" si="15"/>
        <v>0</v>
      </c>
      <c r="AZ48" s="495"/>
      <c r="BA48" s="495"/>
      <c r="BB48" s="495"/>
      <c r="BC48" s="495"/>
      <c r="BD48" s="495"/>
      <c r="BE48" s="495">
        <f t="shared" si="16"/>
        <v>100000</v>
      </c>
      <c r="BF48" s="495">
        <f t="shared" si="18"/>
        <v>0</v>
      </c>
      <c r="BG48" s="495">
        <f t="shared" si="17"/>
        <v>100000</v>
      </c>
      <c r="BH48" s="495"/>
      <c r="BI48" s="495"/>
      <c r="BJ48" s="495"/>
      <c r="BK48" s="495"/>
      <c r="BL48" s="495"/>
    </row>
    <row r="49" spans="1:66" s="5" customFormat="1" ht="30" customHeight="1">
      <c r="A49" s="3">
        <f t="shared" si="12"/>
        <v>44</v>
      </c>
      <c r="B49" s="19">
        <v>20001</v>
      </c>
      <c r="C49" s="3" t="s">
        <v>453</v>
      </c>
      <c r="D49" s="4">
        <v>3200000</v>
      </c>
      <c r="E49" s="4">
        <v>3200000</v>
      </c>
      <c r="F49" s="4">
        <f t="shared" si="0"/>
        <v>0</v>
      </c>
      <c r="G49" s="4">
        <v>150000</v>
      </c>
      <c r="H49" s="4">
        <v>7728</v>
      </c>
      <c r="I49" s="4"/>
      <c r="J49" s="4">
        <v>101040</v>
      </c>
      <c r="K49" s="4">
        <f t="shared" si="19"/>
        <v>101040</v>
      </c>
      <c r="L49" s="4">
        <f t="shared" si="2"/>
        <v>108768</v>
      </c>
      <c r="M49" s="495">
        <f>P49+S49</f>
        <v>41232</v>
      </c>
      <c r="N49" s="4">
        <f>3050000-3050000</f>
        <v>0</v>
      </c>
      <c r="O49" s="4">
        <f t="shared" si="3"/>
        <v>3050000</v>
      </c>
      <c r="P49" s="4">
        <f t="shared" si="4"/>
        <v>41232</v>
      </c>
      <c r="Q49" s="4"/>
      <c r="R49" s="4"/>
      <c r="S49" s="4">
        <f t="shared" si="5"/>
        <v>0</v>
      </c>
      <c r="T49" s="495">
        <f t="shared" si="6"/>
        <v>0</v>
      </c>
      <c r="U49" s="4">
        <f t="shared" si="7"/>
        <v>0</v>
      </c>
      <c r="V49" s="4">
        <f t="shared" si="8"/>
        <v>0</v>
      </c>
      <c r="W49" s="4"/>
      <c r="X49" s="4"/>
      <c r="Y49" s="4"/>
      <c r="Z49" s="4"/>
      <c r="AA49" s="3"/>
      <c r="AB49" s="3" t="s">
        <v>612</v>
      </c>
      <c r="AC49" s="3">
        <v>742000</v>
      </c>
      <c r="AD49" s="495"/>
      <c r="AE49" s="495"/>
      <c r="AF49" s="495"/>
      <c r="AG49" s="495"/>
      <c r="AH49" s="495"/>
      <c r="AI49" s="495"/>
      <c r="AJ49" s="495">
        <f t="shared" si="20"/>
        <v>0</v>
      </c>
      <c r="AK49" s="495">
        <f t="shared" si="13"/>
        <v>0</v>
      </c>
      <c r="AL49" s="495"/>
      <c r="AM49" s="42"/>
      <c r="AN49" s="495">
        <f t="shared" si="21"/>
        <v>0</v>
      </c>
      <c r="AO49" s="495">
        <f t="shared" si="14"/>
        <v>0</v>
      </c>
      <c r="AP49" s="495"/>
      <c r="AQ49" s="495"/>
      <c r="AR49" s="495"/>
      <c r="AS49" s="495"/>
      <c r="AT49" s="495"/>
      <c r="AU49" s="495"/>
      <c r="AV49" s="495">
        <v>-40000</v>
      </c>
      <c r="AW49" s="495"/>
      <c r="AX49" s="495">
        <f t="shared" si="11"/>
        <v>0</v>
      </c>
      <c r="AY49" s="495">
        <f t="shared" si="15"/>
        <v>0</v>
      </c>
      <c r="AZ49" s="495"/>
      <c r="BA49" s="495"/>
      <c r="BB49" s="495"/>
      <c r="BC49" s="495"/>
      <c r="BD49" s="495"/>
      <c r="BE49" s="495">
        <f t="shared" si="16"/>
        <v>0</v>
      </c>
      <c r="BF49" s="495">
        <f t="shared" si="18"/>
        <v>0</v>
      </c>
      <c r="BG49" s="495">
        <f t="shared" si="17"/>
        <v>0</v>
      </c>
      <c r="BH49" s="495"/>
      <c r="BI49" s="495"/>
      <c r="BJ49" s="495"/>
      <c r="BK49" s="495"/>
      <c r="BL49" s="495"/>
    </row>
    <row r="50" spans="1:66" s="5" customFormat="1" ht="30" customHeight="1">
      <c r="A50" s="3">
        <f t="shared" si="12"/>
        <v>45</v>
      </c>
      <c r="B50" s="19">
        <v>20002</v>
      </c>
      <c r="C50" s="3" t="s">
        <v>419</v>
      </c>
      <c r="D50" s="4">
        <v>5800000</v>
      </c>
      <c r="E50" s="4">
        <v>5800000</v>
      </c>
      <c r="F50" s="4">
        <f t="shared" si="0"/>
        <v>0</v>
      </c>
      <c r="G50" s="4">
        <f>500000+2500000</f>
        <v>3000000</v>
      </c>
      <c r="H50" s="4">
        <v>2653536</v>
      </c>
      <c r="I50" s="4"/>
      <c r="J50" s="4">
        <f>341657-46800</f>
        <v>294857</v>
      </c>
      <c r="K50" s="4">
        <f t="shared" si="19"/>
        <v>294857</v>
      </c>
      <c r="L50" s="4">
        <f t="shared" si="2"/>
        <v>2948393</v>
      </c>
      <c r="M50" s="495">
        <f>P50+S50-50000</f>
        <v>1607</v>
      </c>
      <c r="N50" s="4">
        <f>5000000-2200000-800000</f>
        <v>2000000</v>
      </c>
      <c r="O50" s="4">
        <f t="shared" si="3"/>
        <v>850000</v>
      </c>
      <c r="P50" s="4">
        <f t="shared" si="4"/>
        <v>51607</v>
      </c>
      <c r="Q50" s="4"/>
      <c r="R50" s="4"/>
      <c r="S50" s="4">
        <f t="shared" si="5"/>
        <v>0</v>
      </c>
      <c r="T50" s="495">
        <f t="shared" si="6"/>
        <v>50000</v>
      </c>
      <c r="U50" s="4">
        <f t="shared" si="7"/>
        <v>1950000</v>
      </c>
      <c r="V50" s="4">
        <f t="shared" si="8"/>
        <v>1950000</v>
      </c>
      <c r="W50" s="4"/>
      <c r="X50" s="4"/>
      <c r="Y50" s="4"/>
      <c r="Z50" s="4"/>
      <c r="AA50" s="3"/>
      <c r="AB50" s="3" t="s">
        <v>454</v>
      </c>
      <c r="AC50" s="3">
        <v>742000</v>
      </c>
      <c r="AD50" s="495"/>
      <c r="AE50" s="495">
        <v>1950000</v>
      </c>
      <c r="AF50" s="495"/>
      <c r="AG50" s="495"/>
      <c r="AH50" s="495"/>
      <c r="AI50" s="495"/>
      <c r="AJ50" s="495">
        <f t="shared" si="20"/>
        <v>1950000</v>
      </c>
      <c r="AK50" s="495">
        <f t="shared" si="13"/>
        <v>0</v>
      </c>
      <c r="AL50" s="495"/>
      <c r="AM50" s="42"/>
      <c r="AN50" s="495">
        <f t="shared" si="21"/>
        <v>0</v>
      </c>
      <c r="AO50" s="495">
        <f t="shared" si="14"/>
        <v>0</v>
      </c>
      <c r="AP50" s="495"/>
      <c r="AQ50" s="495"/>
      <c r="AR50" s="495"/>
      <c r="AS50" s="495"/>
      <c r="AT50" s="495"/>
      <c r="AU50" s="495"/>
      <c r="AV50" s="495">
        <v>2510000</v>
      </c>
      <c r="AW50" s="495"/>
      <c r="AX50" s="495">
        <f t="shared" si="11"/>
        <v>0</v>
      </c>
      <c r="AY50" s="495">
        <f t="shared" si="15"/>
        <v>0</v>
      </c>
      <c r="AZ50" s="495"/>
      <c r="BA50" s="495"/>
      <c r="BB50" s="495"/>
      <c r="BC50" s="495"/>
      <c r="BD50" s="495"/>
      <c r="BE50" s="495">
        <f t="shared" si="16"/>
        <v>1950000</v>
      </c>
      <c r="BF50" s="495">
        <f t="shared" si="18"/>
        <v>0</v>
      </c>
      <c r="BG50" s="495">
        <f t="shared" si="17"/>
        <v>1950000</v>
      </c>
      <c r="BH50" s="495"/>
      <c r="BI50" s="495"/>
      <c r="BJ50" s="495"/>
      <c r="BK50" s="495"/>
      <c r="BL50" s="495"/>
    </row>
    <row r="51" spans="1:66" s="5" customFormat="1" ht="30" customHeight="1">
      <c r="A51" s="3">
        <f t="shared" si="12"/>
        <v>46</v>
      </c>
      <c r="B51" s="19">
        <v>20005</v>
      </c>
      <c r="C51" s="3" t="s">
        <v>421</v>
      </c>
      <c r="D51" s="4">
        <v>1685000</v>
      </c>
      <c r="E51" s="4">
        <v>1685000</v>
      </c>
      <c r="F51" s="4">
        <f t="shared" si="0"/>
        <v>0</v>
      </c>
      <c r="G51" s="4">
        <v>0</v>
      </c>
      <c r="H51" s="4"/>
      <c r="I51" s="4"/>
      <c r="J51" s="4"/>
      <c r="K51" s="4">
        <f t="shared" si="19"/>
        <v>0</v>
      </c>
      <c r="L51" s="4">
        <f t="shared" si="2"/>
        <v>0</v>
      </c>
      <c r="M51" s="495">
        <f>P51+S51</f>
        <v>0</v>
      </c>
      <c r="N51" s="4"/>
      <c r="O51" s="4">
        <f t="shared" si="3"/>
        <v>1685000</v>
      </c>
      <c r="P51" s="4">
        <f t="shared" si="4"/>
        <v>0</v>
      </c>
      <c r="Q51" s="4"/>
      <c r="R51" s="4"/>
      <c r="S51" s="4">
        <f t="shared" si="5"/>
        <v>0</v>
      </c>
      <c r="T51" s="495">
        <f t="shared" si="6"/>
        <v>0</v>
      </c>
      <c r="U51" s="4">
        <f t="shared" si="7"/>
        <v>0</v>
      </c>
      <c r="V51" s="4">
        <f t="shared" si="8"/>
        <v>0</v>
      </c>
      <c r="W51" s="4"/>
      <c r="X51" s="4"/>
      <c r="Y51" s="4"/>
      <c r="Z51" s="4"/>
      <c r="AA51" s="3"/>
      <c r="AB51" s="3" t="s">
        <v>422</v>
      </c>
      <c r="AC51" s="3">
        <v>746000</v>
      </c>
      <c r="AD51" s="495"/>
      <c r="AE51" s="495"/>
      <c r="AF51" s="495"/>
      <c r="AG51" s="495"/>
      <c r="AH51" s="495"/>
      <c r="AI51" s="495"/>
      <c r="AJ51" s="495">
        <f t="shared" si="20"/>
        <v>0</v>
      </c>
      <c r="AK51" s="495">
        <f t="shared" si="13"/>
        <v>0</v>
      </c>
      <c r="AL51" s="495"/>
      <c r="AM51" s="42"/>
      <c r="AN51" s="495">
        <f t="shared" si="21"/>
        <v>0</v>
      </c>
      <c r="AO51" s="495">
        <f t="shared" si="14"/>
        <v>0</v>
      </c>
      <c r="AP51" s="495"/>
      <c r="AQ51" s="495"/>
      <c r="AR51" s="495"/>
      <c r="AS51" s="495"/>
      <c r="AT51" s="495"/>
      <c r="AU51" s="495"/>
      <c r="AV51" s="495"/>
      <c r="AW51" s="495"/>
      <c r="AX51" s="495">
        <f t="shared" si="11"/>
        <v>0</v>
      </c>
      <c r="AY51" s="495">
        <f t="shared" si="15"/>
        <v>0</v>
      </c>
      <c r="AZ51" s="495"/>
      <c r="BA51" s="495"/>
      <c r="BB51" s="495"/>
      <c r="BC51" s="495"/>
      <c r="BD51" s="495"/>
      <c r="BE51" s="495">
        <f t="shared" si="16"/>
        <v>0</v>
      </c>
      <c r="BF51" s="495">
        <f t="shared" si="18"/>
        <v>0</v>
      </c>
      <c r="BG51" s="495">
        <f t="shared" si="17"/>
        <v>0</v>
      </c>
      <c r="BH51" s="495"/>
      <c r="BI51" s="495"/>
      <c r="BJ51" s="495"/>
      <c r="BK51" s="495"/>
      <c r="BL51" s="495"/>
    </row>
    <row r="52" spans="1:66" s="5" customFormat="1" ht="30" customHeight="1">
      <c r="A52" s="3">
        <f t="shared" si="12"/>
        <v>47</v>
      </c>
      <c r="B52" s="19">
        <v>20006</v>
      </c>
      <c r="C52" s="3" t="s">
        <v>423</v>
      </c>
      <c r="D52" s="4">
        <v>4000000</v>
      </c>
      <c r="E52" s="4">
        <v>4000000</v>
      </c>
      <c r="F52" s="4">
        <f t="shared" si="0"/>
        <v>0</v>
      </c>
      <c r="G52" s="4">
        <v>0</v>
      </c>
      <c r="H52" s="4"/>
      <c r="I52" s="4"/>
      <c r="J52" s="4"/>
      <c r="K52" s="4">
        <f t="shared" si="19"/>
        <v>0</v>
      </c>
      <c r="L52" s="4">
        <f t="shared" si="2"/>
        <v>0</v>
      </c>
      <c r="M52" s="495">
        <f>P52+S52</f>
        <v>0</v>
      </c>
      <c r="N52" s="4"/>
      <c r="O52" s="4">
        <f t="shared" si="3"/>
        <v>4000000</v>
      </c>
      <c r="P52" s="4">
        <f t="shared" si="4"/>
        <v>0</v>
      </c>
      <c r="Q52" s="4"/>
      <c r="R52" s="4"/>
      <c r="S52" s="4">
        <f t="shared" si="5"/>
        <v>0</v>
      </c>
      <c r="T52" s="495">
        <f t="shared" si="6"/>
        <v>0</v>
      </c>
      <c r="U52" s="4">
        <f t="shared" si="7"/>
        <v>0</v>
      </c>
      <c r="V52" s="4">
        <f t="shared" si="8"/>
        <v>0</v>
      </c>
      <c r="W52" s="4"/>
      <c r="X52" s="4"/>
      <c r="Y52" s="4"/>
      <c r="Z52" s="4"/>
      <c r="AA52" s="3"/>
      <c r="AB52" s="3" t="s">
        <v>424</v>
      </c>
      <c r="AC52" s="3">
        <v>746000</v>
      </c>
      <c r="AD52" s="495"/>
      <c r="AE52" s="495"/>
      <c r="AF52" s="495"/>
      <c r="AG52" s="495"/>
      <c r="AH52" s="495"/>
      <c r="AI52" s="495"/>
      <c r="AJ52" s="495">
        <f t="shared" si="20"/>
        <v>0</v>
      </c>
      <c r="AK52" s="495">
        <f t="shared" si="13"/>
        <v>0</v>
      </c>
      <c r="AL52" s="495"/>
      <c r="AM52" s="42"/>
      <c r="AN52" s="495">
        <f t="shared" si="21"/>
        <v>0</v>
      </c>
      <c r="AO52" s="495">
        <f t="shared" si="14"/>
        <v>0</v>
      </c>
      <c r="AP52" s="495"/>
      <c r="AQ52" s="495"/>
      <c r="AR52" s="495"/>
      <c r="AS52" s="495"/>
      <c r="AT52" s="495"/>
      <c r="AU52" s="495"/>
      <c r="AV52" s="495"/>
      <c r="AW52" s="495"/>
      <c r="AX52" s="495">
        <f t="shared" si="11"/>
        <v>0</v>
      </c>
      <c r="AY52" s="495">
        <f t="shared" si="15"/>
        <v>0</v>
      </c>
      <c r="AZ52" s="495"/>
      <c r="BA52" s="495"/>
      <c r="BB52" s="495"/>
      <c r="BC52" s="495"/>
      <c r="BD52" s="495"/>
      <c r="BE52" s="495">
        <f t="shared" si="16"/>
        <v>0</v>
      </c>
      <c r="BF52" s="495">
        <f t="shared" si="18"/>
        <v>0</v>
      </c>
      <c r="BG52" s="495">
        <f t="shared" si="17"/>
        <v>0</v>
      </c>
      <c r="BH52" s="495"/>
      <c r="BI52" s="495"/>
      <c r="BJ52" s="495"/>
      <c r="BK52" s="495"/>
      <c r="BL52" s="495"/>
    </row>
    <row r="53" spans="1:66" s="5" customFormat="1" ht="30" customHeight="1">
      <c r="A53" s="3">
        <f t="shared" si="12"/>
        <v>48</v>
      </c>
      <c r="B53" s="19">
        <v>20007</v>
      </c>
      <c r="C53" s="3" t="s">
        <v>1154</v>
      </c>
      <c r="D53" s="4">
        <v>700000</v>
      </c>
      <c r="E53" s="4">
        <v>700000</v>
      </c>
      <c r="F53" s="4">
        <f t="shared" si="0"/>
        <v>0</v>
      </c>
      <c r="G53" s="4">
        <v>0</v>
      </c>
      <c r="H53" s="4"/>
      <c r="I53" s="4"/>
      <c r="J53" s="4"/>
      <c r="K53" s="4">
        <f t="shared" si="19"/>
        <v>0</v>
      </c>
      <c r="L53" s="4">
        <f t="shared" si="2"/>
        <v>0</v>
      </c>
      <c r="M53" s="495">
        <f>P53+S53</f>
        <v>0</v>
      </c>
      <c r="N53" s="4"/>
      <c r="O53" s="4">
        <f t="shared" si="3"/>
        <v>700000</v>
      </c>
      <c r="P53" s="4">
        <f t="shared" si="4"/>
        <v>0</v>
      </c>
      <c r="Q53" s="4"/>
      <c r="R53" s="4"/>
      <c r="S53" s="4">
        <f t="shared" si="5"/>
        <v>0</v>
      </c>
      <c r="T53" s="495">
        <f t="shared" si="6"/>
        <v>0</v>
      </c>
      <c r="U53" s="4">
        <f t="shared" si="7"/>
        <v>0</v>
      </c>
      <c r="V53" s="4">
        <f t="shared" si="8"/>
        <v>0</v>
      </c>
      <c r="W53" s="4"/>
      <c r="X53" s="4"/>
      <c r="Y53" s="4"/>
      <c r="Z53" s="4"/>
      <c r="AA53" s="3"/>
      <c r="AB53" s="3" t="s">
        <v>935</v>
      </c>
      <c r="AC53" s="3">
        <v>746000</v>
      </c>
      <c r="AD53" s="495"/>
      <c r="AE53" s="495"/>
      <c r="AF53" s="495"/>
      <c r="AG53" s="495"/>
      <c r="AH53" s="495"/>
      <c r="AI53" s="495"/>
      <c r="AJ53" s="495">
        <f t="shared" si="20"/>
        <v>0</v>
      </c>
      <c r="AK53" s="495">
        <f t="shared" si="13"/>
        <v>0</v>
      </c>
      <c r="AL53" s="495"/>
      <c r="AM53" s="42"/>
      <c r="AN53" s="495">
        <f t="shared" si="21"/>
        <v>0</v>
      </c>
      <c r="AO53" s="495">
        <f t="shared" si="14"/>
        <v>0</v>
      </c>
      <c r="AP53" s="495"/>
      <c r="AQ53" s="495"/>
      <c r="AR53" s="495"/>
      <c r="AS53" s="495"/>
      <c r="AT53" s="495"/>
      <c r="AU53" s="495"/>
      <c r="AV53" s="495"/>
      <c r="AW53" s="495"/>
      <c r="AX53" s="495">
        <f t="shared" si="11"/>
        <v>0</v>
      </c>
      <c r="AY53" s="495">
        <f t="shared" si="15"/>
        <v>0</v>
      </c>
      <c r="AZ53" s="495"/>
      <c r="BA53" s="495"/>
      <c r="BB53" s="495"/>
      <c r="BC53" s="495"/>
      <c r="BD53" s="495"/>
      <c r="BE53" s="495">
        <f t="shared" si="16"/>
        <v>0</v>
      </c>
      <c r="BF53" s="495">
        <f t="shared" si="18"/>
        <v>0</v>
      </c>
      <c r="BG53" s="495">
        <f t="shared" si="17"/>
        <v>0</v>
      </c>
      <c r="BH53" s="495"/>
      <c r="BI53" s="495"/>
      <c r="BJ53" s="495"/>
      <c r="BK53" s="495"/>
      <c r="BL53" s="495"/>
    </row>
    <row r="54" spans="1:66" s="5" customFormat="1" ht="30" customHeight="1">
      <c r="A54" s="3">
        <f t="shared" si="12"/>
        <v>49</v>
      </c>
      <c r="B54" s="19">
        <v>20008</v>
      </c>
      <c r="C54" s="3" t="s">
        <v>1466</v>
      </c>
      <c r="D54" s="4">
        <v>1900000</v>
      </c>
      <c r="E54" s="4">
        <v>1900000</v>
      </c>
      <c r="F54" s="4">
        <f t="shared" si="0"/>
        <v>0</v>
      </c>
      <c r="G54" s="4">
        <v>0</v>
      </c>
      <c r="H54" s="4"/>
      <c r="I54" s="4"/>
      <c r="J54" s="4"/>
      <c r="K54" s="4">
        <f t="shared" si="19"/>
        <v>0</v>
      </c>
      <c r="L54" s="4">
        <f t="shared" si="2"/>
        <v>0</v>
      </c>
      <c r="M54" s="495">
        <f>P54+S54</f>
        <v>0</v>
      </c>
      <c r="N54" s="4">
        <f>400000-400000</f>
        <v>0</v>
      </c>
      <c r="O54" s="4">
        <f t="shared" si="3"/>
        <v>1900000</v>
      </c>
      <c r="P54" s="4">
        <f t="shared" si="4"/>
        <v>0</v>
      </c>
      <c r="Q54" s="4"/>
      <c r="R54" s="4"/>
      <c r="S54" s="4">
        <f t="shared" si="5"/>
        <v>0</v>
      </c>
      <c r="T54" s="495">
        <f t="shared" si="6"/>
        <v>0</v>
      </c>
      <c r="U54" s="4">
        <f t="shared" si="7"/>
        <v>0</v>
      </c>
      <c r="V54" s="4">
        <f t="shared" si="8"/>
        <v>0</v>
      </c>
      <c r="W54" s="4"/>
      <c r="X54" s="4"/>
      <c r="Y54" s="4"/>
      <c r="Z54" s="4"/>
      <c r="AA54" s="3"/>
      <c r="AB54" s="3" t="s">
        <v>425</v>
      </c>
      <c r="AC54" s="3">
        <v>732000</v>
      </c>
      <c r="AD54" s="495"/>
      <c r="AE54" s="495"/>
      <c r="AF54" s="495"/>
      <c r="AG54" s="495"/>
      <c r="AH54" s="495"/>
      <c r="AI54" s="495"/>
      <c r="AJ54" s="495">
        <f t="shared" si="20"/>
        <v>0</v>
      </c>
      <c r="AK54" s="495">
        <f t="shared" si="13"/>
        <v>0</v>
      </c>
      <c r="AL54" s="495"/>
      <c r="AM54" s="42"/>
      <c r="AN54" s="495">
        <f t="shared" si="21"/>
        <v>0</v>
      </c>
      <c r="AO54" s="495">
        <f t="shared" si="14"/>
        <v>0</v>
      </c>
      <c r="AP54" s="495"/>
      <c r="AQ54" s="495"/>
      <c r="AR54" s="495"/>
      <c r="AS54" s="495"/>
      <c r="AT54" s="495"/>
      <c r="AU54" s="495"/>
      <c r="AV54" s="495"/>
      <c r="AW54" s="495"/>
      <c r="AX54" s="495">
        <f t="shared" si="11"/>
        <v>0</v>
      </c>
      <c r="AY54" s="495">
        <f t="shared" si="15"/>
        <v>0</v>
      </c>
      <c r="AZ54" s="495"/>
      <c r="BA54" s="495"/>
      <c r="BB54" s="495"/>
      <c r="BC54" s="495"/>
      <c r="BD54" s="495"/>
      <c r="BE54" s="495">
        <f t="shared" si="16"/>
        <v>0</v>
      </c>
      <c r="BF54" s="495">
        <f t="shared" si="18"/>
        <v>0</v>
      </c>
      <c r="BG54" s="495">
        <f t="shared" si="17"/>
        <v>0</v>
      </c>
      <c r="BH54" s="495"/>
      <c r="BI54" s="495"/>
      <c r="BJ54" s="495"/>
      <c r="BK54" s="495"/>
      <c r="BL54" s="495"/>
    </row>
    <row r="55" spans="1:66" s="5" customFormat="1" ht="30" customHeight="1">
      <c r="A55" s="3">
        <f t="shared" si="12"/>
        <v>50</v>
      </c>
      <c r="B55" s="19">
        <v>20056</v>
      </c>
      <c r="C55" s="3" t="s">
        <v>1155</v>
      </c>
      <c r="D55" s="4">
        <v>1500000</v>
      </c>
      <c r="E55" s="4">
        <v>1500000</v>
      </c>
      <c r="F55" s="4">
        <f t="shared" si="0"/>
        <v>0</v>
      </c>
      <c r="G55" s="4">
        <v>140000</v>
      </c>
      <c r="H55" s="4">
        <v>2749</v>
      </c>
      <c r="I55" s="4"/>
      <c r="J55" s="4">
        <v>81811</v>
      </c>
      <c r="K55" s="4">
        <f t="shared" si="19"/>
        <v>81811</v>
      </c>
      <c r="L55" s="4">
        <f t="shared" si="2"/>
        <v>84560</v>
      </c>
      <c r="M55" s="495">
        <f>P55+S55-55000</f>
        <v>440</v>
      </c>
      <c r="N55" s="4">
        <f>100000+10000+55000</f>
        <v>165000</v>
      </c>
      <c r="O55" s="4">
        <f t="shared" si="3"/>
        <v>1250000</v>
      </c>
      <c r="P55" s="4">
        <f t="shared" si="4"/>
        <v>55440</v>
      </c>
      <c r="Q55" s="4"/>
      <c r="R55" s="4"/>
      <c r="S55" s="4">
        <f t="shared" si="5"/>
        <v>0</v>
      </c>
      <c r="T55" s="495">
        <f t="shared" si="6"/>
        <v>55000</v>
      </c>
      <c r="U55" s="4">
        <f t="shared" si="7"/>
        <v>110000</v>
      </c>
      <c r="V55" s="4">
        <f t="shared" si="8"/>
        <v>-65000</v>
      </c>
      <c r="W55" s="4"/>
      <c r="X55" s="4"/>
      <c r="Y55" s="4"/>
      <c r="Z55" s="4"/>
      <c r="AA55" s="4">
        <v>175000</v>
      </c>
      <c r="AB55" s="3" t="s">
        <v>937</v>
      </c>
      <c r="AC55" s="3">
        <v>742000</v>
      </c>
      <c r="AD55" s="521"/>
      <c r="AE55" s="495"/>
      <c r="AF55" s="495"/>
      <c r="AG55" s="495"/>
      <c r="AH55" s="495"/>
      <c r="AI55" s="495"/>
      <c r="AJ55" s="495">
        <f t="shared" si="20"/>
        <v>0</v>
      </c>
      <c r="AK55" s="495">
        <f t="shared" si="13"/>
        <v>110000</v>
      </c>
      <c r="AL55" s="495"/>
      <c r="AM55" s="42"/>
      <c r="AN55" s="495">
        <f t="shared" si="21"/>
        <v>110000</v>
      </c>
      <c r="AO55" s="495">
        <f t="shared" si="14"/>
        <v>0</v>
      </c>
      <c r="AP55" s="495"/>
      <c r="AQ55" s="495"/>
      <c r="AR55" s="495"/>
      <c r="AS55" s="495"/>
      <c r="AT55" s="495">
        <v>110000</v>
      </c>
      <c r="AU55" s="495"/>
      <c r="AV55" s="495"/>
      <c r="AW55" s="495">
        <v>110000</v>
      </c>
      <c r="AX55" s="495">
        <f t="shared" si="11"/>
        <v>0</v>
      </c>
      <c r="AY55" s="495">
        <f t="shared" si="15"/>
        <v>0</v>
      </c>
      <c r="AZ55" s="495"/>
      <c r="BA55" s="495"/>
      <c r="BB55" s="495"/>
      <c r="BC55" s="495"/>
      <c r="BD55" s="495"/>
      <c r="BE55" s="495">
        <f t="shared" si="16"/>
        <v>0</v>
      </c>
      <c r="BF55" s="495">
        <f t="shared" si="18"/>
        <v>110000</v>
      </c>
      <c r="BG55" s="495">
        <f t="shared" si="17"/>
        <v>-65000</v>
      </c>
      <c r="BH55" s="495"/>
      <c r="BI55" s="495"/>
      <c r="BJ55" s="495"/>
      <c r="BK55" s="495"/>
      <c r="BL55" s="495">
        <v>65000</v>
      </c>
    </row>
    <row r="56" spans="1:66" s="5" customFormat="1" ht="30" customHeight="1">
      <c r="A56" s="3">
        <f t="shared" si="12"/>
        <v>51</v>
      </c>
      <c r="B56" s="19">
        <v>20058</v>
      </c>
      <c r="C56" s="3" t="s">
        <v>481</v>
      </c>
      <c r="D56" s="4">
        <v>800000</v>
      </c>
      <c r="E56" s="4">
        <v>800000</v>
      </c>
      <c r="F56" s="4">
        <f t="shared" si="0"/>
        <v>0</v>
      </c>
      <c r="G56" s="4">
        <v>60000</v>
      </c>
      <c r="H56" s="4">
        <v>35252</v>
      </c>
      <c r="I56" s="4"/>
      <c r="J56" s="4">
        <v>29396</v>
      </c>
      <c r="K56" s="4">
        <f t="shared" si="19"/>
        <v>29396</v>
      </c>
      <c r="L56" s="4">
        <f t="shared" si="2"/>
        <v>64648</v>
      </c>
      <c r="M56" s="495">
        <f>P56+S56-16500-18000</f>
        <v>852</v>
      </c>
      <c r="N56" s="4">
        <f>500000+60000-260000-150000-50000</f>
        <v>100000</v>
      </c>
      <c r="O56" s="4">
        <f t="shared" si="3"/>
        <v>634500</v>
      </c>
      <c r="P56" s="4">
        <f t="shared" si="4"/>
        <v>-4648</v>
      </c>
      <c r="Q56" s="4">
        <v>40000</v>
      </c>
      <c r="R56" s="4"/>
      <c r="S56" s="4">
        <f t="shared" si="5"/>
        <v>40000</v>
      </c>
      <c r="T56" s="495">
        <f t="shared" si="6"/>
        <v>34500</v>
      </c>
      <c r="U56" s="4">
        <f t="shared" si="7"/>
        <v>65500</v>
      </c>
      <c r="V56" s="4">
        <f t="shared" si="8"/>
        <v>65500</v>
      </c>
      <c r="W56" s="4"/>
      <c r="X56" s="4"/>
      <c r="Y56" s="4"/>
      <c r="Z56" s="4"/>
      <c r="AA56" s="3"/>
      <c r="AB56" s="3" t="s">
        <v>938</v>
      </c>
      <c r="AC56" s="3">
        <v>732000</v>
      </c>
      <c r="AD56" s="495"/>
      <c r="AE56" s="495">
        <v>65500</v>
      </c>
      <c r="AF56" s="495"/>
      <c r="AG56" s="495"/>
      <c r="AH56" s="495"/>
      <c r="AI56" s="495"/>
      <c r="AJ56" s="495">
        <f t="shared" si="20"/>
        <v>65500</v>
      </c>
      <c r="AK56" s="495">
        <f t="shared" si="13"/>
        <v>0</v>
      </c>
      <c r="AL56" s="495"/>
      <c r="AM56" s="42"/>
      <c r="AN56" s="495">
        <f t="shared" si="21"/>
        <v>0</v>
      </c>
      <c r="AO56" s="495">
        <f t="shared" si="14"/>
        <v>0</v>
      </c>
      <c r="AP56" s="495"/>
      <c r="AQ56" s="495"/>
      <c r="AR56" s="495"/>
      <c r="AS56" s="495"/>
      <c r="AT56" s="495"/>
      <c r="AU56" s="495"/>
      <c r="AV56" s="495"/>
      <c r="AW56" s="495"/>
      <c r="AX56" s="495">
        <f t="shared" si="11"/>
        <v>0</v>
      </c>
      <c r="AY56" s="495">
        <f t="shared" si="15"/>
        <v>0</v>
      </c>
      <c r="AZ56" s="495"/>
      <c r="BA56" s="495"/>
      <c r="BB56" s="495"/>
      <c r="BC56" s="495"/>
      <c r="BD56" s="495"/>
      <c r="BE56" s="495">
        <f t="shared" si="16"/>
        <v>65500</v>
      </c>
      <c r="BF56" s="495">
        <f t="shared" si="18"/>
        <v>0</v>
      </c>
      <c r="BG56" s="495">
        <f t="shared" si="17"/>
        <v>65500</v>
      </c>
      <c r="BH56" s="495"/>
      <c r="BI56" s="495"/>
      <c r="BJ56" s="495"/>
      <c r="BK56" s="495"/>
      <c r="BL56" s="495"/>
    </row>
    <row r="57" spans="1:66" s="5" customFormat="1" ht="30" customHeight="1">
      <c r="A57" s="3">
        <f t="shared" si="12"/>
        <v>52</v>
      </c>
      <c r="B57" s="19">
        <v>20059</v>
      </c>
      <c r="C57" s="3" t="s">
        <v>1143</v>
      </c>
      <c r="D57" s="4">
        <v>530000</v>
      </c>
      <c r="E57" s="4">
        <v>530000</v>
      </c>
      <c r="F57" s="4">
        <f t="shared" si="0"/>
        <v>0</v>
      </c>
      <c r="G57" s="4">
        <v>0</v>
      </c>
      <c r="H57" s="4"/>
      <c r="I57" s="4"/>
      <c r="J57" s="4"/>
      <c r="K57" s="4">
        <f t="shared" si="19"/>
        <v>0</v>
      </c>
      <c r="L57" s="4">
        <f t="shared" si="2"/>
        <v>0</v>
      </c>
      <c r="M57" s="495">
        <f t="shared" ref="M57:M65" si="22">P57+S57</f>
        <v>0</v>
      </c>
      <c r="N57" s="4"/>
      <c r="O57" s="4">
        <f t="shared" si="3"/>
        <v>530000</v>
      </c>
      <c r="P57" s="4">
        <f t="shared" si="4"/>
        <v>0</v>
      </c>
      <c r="Q57" s="4"/>
      <c r="R57" s="4"/>
      <c r="S57" s="4">
        <f t="shared" si="5"/>
        <v>0</v>
      </c>
      <c r="T57" s="495">
        <f t="shared" si="6"/>
        <v>0</v>
      </c>
      <c r="U57" s="4">
        <f t="shared" si="7"/>
        <v>0</v>
      </c>
      <c r="V57" s="4">
        <f t="shared" si="8"/>
        <v>0</v>
      </c>
      <c r="W57" s="4"/>
      <c r="X57" s="4"/>
      <c r="Y57" s="4"/>
      <c r="Z57" s="4"/>
      <c r="AA57" s="3"/>
      <c r="AB57" s="3" t="s">
        <v>939</v>
      </c>
      <c r="AC57" s="3">
        <v>742000</v>
      </c>
      <c r="AD57" s="495"/>
      <c r="AE57" s="495"/>
      <c r="AF57" s="495"/>
      <c r="AG57" s="495"/>
      <c r="AH57" s="495"/>
      <c r="AI57" s="495"/>
      <c r="AJ57" s="495">
        <f t="shared" si="20"/>
        <v>0</v>
      </c>
      <c r="AK57" s="495">
        <f t="shared" si="13"/>
        <v>0</v>
      </c>
      <c r="AL57" s="495"/>
      <c r="AM57" s="42"/>
      <c r="AN57" s="495">
        <f t="shared" si="21"/>
        <v>0</v>
      </c>
      <c r="AO57" s="495">
        <f t="shared" si="14"/>
        <v>0</v>
      </c>
      <c r="AP57" s="495"/>
      <c r="AQ57" s="495"/>
      <c r="AR57" s="495"/>
      <c r="AS57" s="495"/>
      <c r="AT57" s="495"/>
      <c r="AU57" s="495"/>
      <c r="AV57" s="495"/>
      <c r="AW57" s="495"/>
      <c r="AX57" s="495">
        <f t="shared" si="11"/>
        <v>0</v>
      </c>
      <c r="AY57" s="495">
        <f t="shared" si="15"/>
        <v>0</v>
      </c>
      <c r="AZ57" s="495"/>
      <c r="BA57" s="495"/>
      <c r="BB57" s="495"/>
      <c r="BC57" s="495"/>
      <c r="BD57" s="495"/>
      <c r="BE57" s="495">
        <f t="shared" si="16"/>
        <v>0</v>
      </c>
      <c r="BF57" s="495">
        <f t="shared" si="18"/>
        <v>0</v>
      </c>
      <c r="BG57" s="495">
        <f t="shared" si="17"/>
        <v>0</v>
      </c>
      <c r="BH57" s="495"/>
      <c r="BI57" s="495"/>
      <c r="BJ57" s="495"/>
      <c r="BK57" s="495"/>
      <c r="BL57" s="495"/>
    </row>
    <row r="58" spans="1:66" s="5" customFormat="1" ht="30" customHeight="1">
      <c r="A58" s="3">
        <f t="shared" si="12"/>
        <v>53</v>
      </c>
      <c r="B58" s="19">
        <v>20060</v>
      </c>
      <c r="C58" s="3" t="s">
        <v>482</v>
      </c>
      <c r="D58" s="4">
        <v>640000</v>
      </c>
      <c r="E58" s="4">
        <v>640000</v>
      </c>
      <c r="F58" s="4">
        <f t="shared" si="0"/>
        <v>0</v>
      </c>
      <c r="G58" s="4">
        <v>0</v>
      </c>
      <c r="H58" s="4"/>
      <c r="I58" s="4"/>
      <c r="J58" s="4"/>
      <c r="K58" s="4">
        <f t="shared" si="19"/>
        <v>0</v>
      </c>
      <c r="L58" s="4">
        <f t="shared" si="2"/>
        <v>0</v>
      </c>
      <c r="M58" s="495">
        <f t="shared" si="22"/>
        <v>0</v>
      </c>
      <c r="N58" s="4">
        <f>250000-150000</f>
        <v>100000</v>
      </c>
      <c r="O58" s="4">
        <f t="shared" si="3"/>
        <v>540000</v>
      </c>
      <c r="P58" s="4">
        <f t="shared" si="4"/>
        <v>0</v>
      </c>
      <c r="Q58" s="4"/>
      <c r="R58" s="4"/>
      <c r="S58" s="4">
        <f t="shared" si="5"/>
        <v>0</v>
      </c>
      <c r="T58" s="495">
        <f t="shared" si="6"/>
        <v>0</v>
      </c>
      <c r="U58" s="4">
        <f t="shared" si="7"/>
        <v>100000</v>
      </c>
      <c r="V58" s="4">
        <f t="shared" si="8"/>
        <v>100000</v>
      </c>
      <c r="W58" s="4"/>
      <c r="X58" s="4"/>
      <c r="Y58" s="4"/>
      <c r="Z58" s="4"/>
      <c r="AA58" s="4"/>
      <c r="AB58" s="3" t="s">
        <v>548</v>
      </c>
      <c r="AC58" s="3">
        <v>732000</v>
      </c>
      <c r="AD58" s="495"/>
      <c r="AE58" s="495"/>
      <c r="AF58" s="495"/>
      <c r="AG58" s="495"/>
      <c r="AH58" s="495">
        <v>100000</v>
      </c>
      <c r="AI58" s="495"/>
      <c r="AJ58" s="495">
        <f t="shared" si="20"/>
        <v>100000</v>
      </c>
      <c r="AK58" s="495">
        <f t="shared" si="13"/>
        <v>0</v>
      </c>
      <c r="AL58" s="495"/>
      <c r="AM58" s="42"/>
      <c r="AN58" s="495">
        <f t="shared" si="21"/>
        <v>0</v>
      </c>
      <c r="AO58" s="495">
        <f t="shared" si="14"/>
        <v>0</v>
      </c>
      <c r="AP58" s="495"/>
      <c r="AQ58" s="495"/>
      <c r="AR58" s="495"/>
      <c r="AS58" s="495"/>
      <c r="AT58" s="495"/>
      <c r="AU58" s="495"/>
      <c r="AV58" s="495"/>
      <c r="AW58" s="495"/>
      <c r="AX58" s="495">
        <f t="shared" si="11"/>
        <v>0</v>
      </c>
      <c r="AY58" s="495">
        <f t="shared" si="15"/>
        <v>0</v>
      </c>
      <c r="AZ58" s="495"/>
      <c r="BA58" s="495"/>
      <c r="BB58" s="495"/>
      <c r="BC58" s="495"/>
      <c r="BD58" s="495"/>
      <c r="BE58" s="495">
        <f t="shared" si="16"/>
        <v>100000</v>
      </c>
      <c r="BF58" s="495">
        <f t="shared" si="18"/>
        <v>0</v>
      </c>
      <c r="BG58" s="495">
        <f t="shared" si="17"/>
        <v>100000</v>
      </c>
      <c r="BH58" s="495"/>
      <c r="BI58" s="495"/>
      <c r="BJ58" s="495"/>
      <c r="BK58" s="495"/>
      <c r="BL58" s="495"/>
    </row>
    <row r="59" spans="1:66" s="5" customFormat="1" ht="30" customHeight="1">
      <c r="A59" s="3">
        <f t="shared" si="12"/>
        <v>54</v>
      </c>
      <c r="B59" s="19">
        <v>20061</v>
      </c>
      <c r="C59" s="3" t="s">
        <v>511</v>
      </c>
      <c r="D59" s="4">
        <v>700000</v>
      </c>
      <c r="E59" s="4">
        <v>700000</v>
      </c>
      <c r="F59" s="4">
        <f t="shared" si="0"/>
        <v>0</v>
      </c>
      <c r="G59" s="4">
        <v>0</v>
      </c>
      <c r="H59" s="4"/>
      <c r="I59" s="4"/>
      <c r="J59" s="4"/>
      <c r="K59" s="4">
        <f t="shared" si="19"/>
        <v>0</v>
      </c>
      <c r="L59" s="4">
        <f t="shared" si="2"/>
        <v>0</v>
      </c>
      <c r="M59" s="495">
        <f t="shared" si="22"/>
        <v>0</v>
      </c>
      <c r="N59" s="4">
        <f>500000-250000-150000-50000</f>
        <v>50000</v>
      </c>
      <c r="O59" s="4">
        <f t="shared" si="3"/>
        <v>650000</v>
      </c>
      <c r="P59" s="4">
        <f t="shared" si="4"/>
        <v>0</v>
      </c>
      <c r="Q59" s="4"/>
      <c r="R59" s="4"/>
      <c r="S59" s="4">
        <f t="shared" si="5"/>
        <v>0</v>
      </c>
      <c r="T59" s="495">
        <f t="shared" si="6"/>
        <v>0</v>
      </c>
      <c r="U59" s="4">
        <f t="shared" si="7"/>
        <v>50000</v>
      </c>
      <c r="V59" s="4">
        <f t="shared" si="8"/>
        <v>50000</v>
      </c>
      <c r="W59" s="4"/>
      <c r="X59" s="4"/>
      <c r="Y59" s="4"/>
      <c r="Z59" s="4"/>
      <c r="AA59" s="4"/>
      <c r="AB59" s="19" t="s">
        <v>549</v>
      </c>
      <c r="AC59" s="3">
        <v>732000</v>
      </c>
      <c r="AD59" s="495"/>
      <c r="AE59" s="495"/>
      <c r="AF59" s="495"/>
      <c r="AG59" s="495"/>
      <c r="AH59" s="495"/>
      <c r="AI59" s="495"/>
      <c r="AJ59" s="495">
        <f t="shared" si="20"/>
        <v>0</v>
      </c>
      <c r="AK59" s="495">
        <f t="shared" si="13"/>
        <v>50000</v>
      </c>
      <c r="AL59" s="495"/>
      <c r="AM59" s="42">
        <v>-50000</v>
      </c>
      <c r="AN59" s="495">
        <f t="shared" si="21"/>
        <v>0</v>
      </c>
      <c r="AO59" s="495">
        <f t="shared" si="14"/>
        <v>0</v>
      </c>
      <c r="AP59" s="495"/>
      <c r="AQ59" s="495"/>
      <c r="AR59" s="495"/>
      <c r="AS59" s="495"/>
      <c r="AT59" s="495"/>
      <c r="AU59" s="495"/>
      <c r="AV59" s="42">
        <v>-50000</v>
      </c>
      <c r="AW59" s="495"/>
      <c r="AX59" s="495">
        <f t="shared" si="11"/>
        <v>0</v>
      </c>
      <c r="AY59" s="495">
        <f t="shared" si="15"/>
        <v>0</v>
      </c>
      <c r="AZ59" s="495"/>
      <c r="BA59" s="495"/>
      <c r="BB59" s="495"/>
      <c r="BC59" s="495"/>
      <c r="BD59" s="495"/>
      <c r="BE59" s="495">
        <f t="shared" si="16"/>
        <v>0</v>
      </c>
      <c r="BF59" s="495">
        <f t="shared" si="18"/>
        <v>50000</v>
      </c>
      <c r="BG59" s="495">
        <f t="shared" si="17"/>
        <v>0</v>
      </c>
      <c r="BH59" s="495"/>
      <c r="BI59" s="495"/>
      <c r="BJ59" s="495"/>
      <c r="BK59" s="495"/>
      <c r="BL59" s="495"/>
    </row>
    <row r="60" spans="1:66" s="5" customFormat="1" ht="30" customHeight="1">
      <c r="A60" s="3">
        <f t="shared" si="12"/>
        <v>55</v>
      </c>
      <c r="B60" s="19">
        <v>20062</v>
      </c>
      <c r="C60" s="3" t="s">
        <v>27</v>
      </c>
      <c r="D60" s="4">
        <f>50000+250000</f>
        <v>300000</v>
      </c>
      <c r="E60" s="4">
        <v>50000</v>
      </c>
      <c r="F60" s="4">
        <f t="shared" si="0"/>
        <v>250000</v>
      </c>
      <c r="G60" s="4">
        <v>0</v>
      </c>
      <c r="H60" s="4"/>
      <c r="I60" s="4"/>
      <c r="J60" s="4"/>
      <c r="K60" s="4">
        <f t="shared" si="19"/>
        <v>0</v>
      </c>
      <c r="L60" s="4">
        <f t="shared" si="2"/>
        <v>0</v>
      </c>
      <c r="M60" s="495">
        <f t="shared" si="22"/>
        <v>0</v>
      </c>
      <c r="N60" s="4">
        <f>100000-30000-30000</f>
        <v>40000</v>
      </c>
      <c r="O60" s="4">
        <f t="shared" si="3"/>
        <v>260000</v>
      </c>
      <c r="P60" s="4">
        <f t="shared" si="4"/>
        <v>0</v>
      </c>
      <c r="Q60" s="4"/>
      <c r="R60" s="4"/>
      <c r="S60" s="4">
        <f t="shared" si="5"/>
        <v>0</v>
      </c>
      <c r="T60" s="495">
        <f t="shared" si="6"/>
        <v>0</v>
      </c>
      <c r="U60" s="4">
        <f t="shared" si="7"/>
        <v>40000</v>
      </c>
      <c r="V60" s="4">
        <f t="shared" si="8"/>
        <v>40000</v>
      </c>
      <c r="W60" s="4"/>
      <c r="X60" s="4"/>
      <c r="Y60" s="4"/>
      <c r="Z60" s="4"/>
      <c r="AA60" s="4"/>
      <c r="AB60" s="3" t="s">
        <v>940</v>
      </c>
      <c r="AC60" s="3">
        <v>732000</v>
      </c>
      <c r="AD60" s="495"/>
      <c r="AE60" s="495"/>
      <c r="AF60" s="495"/>
      <c r="AG60" s="495">
        <v>40000</v>
      </c>
      <c r="AH60" s="495"/>
      <c r="AI60" s="495"/>
      <c r="AJ60" s="495">
        <f t="shared" si="20"/>
        <v>40000</v>
      </c>
      <c r="AK60" s="495">
        <f t="shared" si="13"/>
        <v>0</v>
      </c>
      <c r="AL60" s="495"/>
      <c r="AM60" s="42"/>
      <c r="AN60" s="495">
        <f t="shared" si="21"/>
        <v>0</v>
      </c>
      <c r="AO60" s="495">
        <f t="shared" si="14"/>
        <v>0</v>
      </c>
      <c r="AP60" s="495"/>
      <c r="AQ60" s="495"/>
      <c r="AR60" s="495"/>
      <c r="AS60" s="495"/>
      <c r="AT60" s="495"/>
      <c r="AU60" s="495">
        <v>26000</v>
      </c>
      <c r="AV60" s="495"/>
      <c r="AW60" s="495"/>
      <c r="AX60" s="495">
        <f t="shared" si="11"/>
        <v>0</v>
      </c>
      <c r="AY60" s="495">
        <f t="shared" si="15"/>
        <v>0</v>
      </c>
      <c r="AZ60" s="495"/>
      <c r="BA60" s="495"/>
      <c r="BB60" s="495"/>
      <c r="BC60" s="495"/>
      <c r="BD60" s="495"/>
      <c r="BE60" s="495">
        <f t="shared" si="16"/>
        <v>40000</v>
      </c>
      <c r="BF60" s="495">
        <f t="shared" si="18"/>
        <v>0</v>
      </c>
      <c r="BG60" s="495">
        <f t="shared" si="17"/>
        <v>40000</v>
      </c>
      <c r="BH60" s="495"/>
      <c r="BI60" s="495"/>
      <c r="BJ60" s="495"/>
      <c r="BK60" s="495"/>
      <c r="BL60" s="495"/>
    </row>
    <row r="61" spans="1:66" s="5" customFormat="1" ht="30" customHeight="1">
      <c r="A61" s="3">
        <f t="shared" si="12"/>
        <v>56</v>
      </c>
      <c r="B61" s="19">
        <v>20102</v>
      </c>
      <c r="C61" s="3" t="s">
        <v>648</v>
      </c>
      <c r="D61" s="4">
        <v>1000000</v>
      </c>
      <c r="E61" s="4">
        <v>1000000</v>
      </c>
      <c r="F61" s="4">
        <f t="shared" si="0"/>
        <v>0</v>
      </c>
      <c r="G61" s="4">
        <v>0</v>
      </c>
      <c r="H61" s="4"/>
      <c r="I61" s="4"/>
      <c r="J61" s="4"/>
      <c r="K61" s="4">
        <f t="shared" si="19"/>
        <v>0</v>
      </c>
      <c r="L61" s="4">
        <f t="shared" si="2"/>
        <v>0</v>
      </c>
      <c r="M61" s="495">
        <f t="shared" si="22"/>
        <v>0</v>
      </c>
      <c r="N61" s="4">
        <v>1000000</v>
      </c>
      <c r="O61" s="4">
        <f t="shared" si="3"/>
        <v>0</v>
      </c>
      <c r="P61" s="4">
        <f t="shared" si="4"/>
        <v>0</v>
      </c>
      <c r="Q61" s="4"/>
      <c r="R61" s="4"/>
      <c r="S61" s="4">
        <f t="shared" si="5"/>
        <v>0</v>
      </c>
      <c r="T61" s="495">
        <f t="shared" si="6"/>
        <v>0</v>
      </c>
      <c r="U61" s="4">
        <f t="shared" si="7"/>
        <v>1000000</v>
      </c>
      <c r="V61" s="4">
        <f t="shared" si="8"/>
        <v>550000</v>
      </c>
      <c r="W61" s="4"/>
      <c r="X61" s="4"/>
      <c r="Y61" s="4"/>
      <c r="Z61" s="4"/>
      <c r="AA61" s="4">
        <v>450000</v>
      </c>
      <c r="AB61" s="3" t="s">
        <v>649</v>
      </c>
      <c r="AC61" s="3">
        <v>870000</v>
      </c>
      <c r="AD61" s="495"/>
      <c r="AE61" s="495">
        <v>300000</v>
      </c>
      <c r="AF61" s="495"/>
      <c r="AG61" s="495">
        <v>450000</v>
      </c>
      <c r="AH61" s="495"/>
      <c r="AI61" s="495"/>
      <c r="AJ61" s="495">
        <f t="shared" si="20"/>
        <v>750000</v>
      </c>
      <c r="AK61" s="495">
        <f t="shared" si="13"/>
        <v>250000</v>
      </c>
      <c r="AL61" s="495"/>
      <c r="AM61" s="42"/>
      <c r="AN61" s="495">
        <f t="shared" si="21"/>
        <v>250000</v>
      </c>
      <c r="AO61" s="495">
        <f t="shared" si="14"/>
        <v>250000</v>
      </c>
      <c r="AP61" s="495"/>
      <c r="AQ61" s="495"/>
      <c r="AR61" s="495"/>
      <c r="AS61" s="495"/>
      <c r="AT61" s="495"/>
      <c r="AU61" s="495"/>
      <c r="AV61" s="495"/>
      <c r="AW61" s="495"/>
      <c r="AX61" s="495">
        <f t="shared" si="11"/>
        <v>250000</v>
      </c>
      <c r="AY61" s="495">
        <f t="shared" si="15"/>
        <v>250000</v>
      </c>
      <c r="AZ61" s="495"/>
      <c r="BA61" s="495"/>
      <c r="BB61" s="495"/>
      <c r="BC61" s="495"/>
      <c r="BD61" s="495"/>
      <c r="BE61" s="495">
        <f t="shared" si="16"/>
        <v>1000000</v>
      </c>
      <c r="BF61" s="495">
        <f t="shared" si="18"/>
        <v>0</v>
      </c>
      <c r="BG61" s="495">
        <f t="shared" si="17"/>
        <v>550000</v>
      </c>
      <c r="BH61" s="495"/>
      <c r="BI61" s="495"/>
      <c r="BJ61" s="495"/>
      <c r="BK61" s="495"/>
      <c r="BL61" s="495">
        <v>450000</v>
      </c>
    </row>
    <row r="62" spans="1:66" s="5" customFormat="1" ht="30" customHeight="1">
      <c r="A62" s="3">
        <f t="shared" si="12"/>
        <v>57</v>
      </c>
      <c r="B62" s="19">
        <v>20105</v>
      </c>
      <c r="C62" s="127" t="s">
        <v>613</v>
      </c>
      <c r="D62" s="112">
        <f>3510901-10901</f>
        <v>3500000</v>
      </c>
      <c r="E62" s="112"/>
      <c r="F62" s="112">
        <f>D62-E62</f>
        <v>3500000</v>
      </c>
      <c r="G62" s="112">
        <v>0</v>
      </c>
      <c r="H62" s="112"/>
      <c r="I62" s="112"/>
      <c r="J62" s="112"/>
      <c r="K62" s="112">
        <f>I62+J62</f>
        <v>0</v>
      </c>
      <c r="L62" s="112">
        <f>H62+K62</f>
        <v>0</v>
      </c>
      <c r="M62" s="257">
        <f t="shared" si="22"/>
        <v>0</v>
      </c>
      <c r="N62" s="112">
        <f>350000-150000</f>
        <v>200000</v>
      </c>
      <c r="O62" s="112">
        <f>D62-L62-M62-N62</f>
        <v>3300000</v>
      </c>
      <c r="P62" s="112">
        <f>G62-L62</f>
        <v>0</v>
      </c>
      <c r="Q62" s="112"/>
      <c r="R62" s="112"/>
      <c r="S62" s="112">
        <f>SUM(Q62:R62)</f>
        <v>0</v>
      </c>
      <c r="T62" s="257">
        <f>P62-M62+S62</f>
        <v>0</v>
      </c>
      <c r="U62" s="112">
        <f>N62-T62</f>
        <v>200000</v>
      </c>
      <c r="V62" s="112">
        <f>U62-W62-Z62-AA62</f>
        <v>200000</v>
      </c>
      <c r="W62" s="112"/>
      <c r="X62" s="112"/>
      <c r="Y62" s="112"/>
      <c r="Z62" s="112"/>
      <c r="AA62" s="112"/>
      <c r="AB62" s="3" t="s">
        <v>941</v>
      </c>
      <c r="AC62" s="3">
        <v>742000</v>
      </c>
      <c r="AD62" s="495"/>
      <c r="AE62" s="495"/>
      <c r="AF62" s="495"/>
      <c r="AG62" s="495"/>
      <c r="AH62" s="495"/>
      <c r="AI62" s="495"/>
      <c r="AJ62" s="495">
        <f t="shared" si="20"/>
        <v>0</v>
      </c>
      <c r="AK62" s="42">
        <f t="shared" si="13"/>
        <v>200000</v>
      </c>
      <c r="AL62" s="495"/>
      <c r="AM62" s="42">
        <v>-200000</v>
      </c>
      <c r="AN62" s="495">
        <f t="shared" si="21"/>
        <v>0</v>
      </c>
      <c r="AO62" s="495">
        <f t="shared" si="14"/>
        <v>0</v>
      </c>
      <c r="AP62" s="495"/>
      <c r="AQ62" s="495"/>
      <c r="AR62" s="495"/>
      <c r="AS62" s="495"/>
      <c r="AT62" s="495"/>
      <c r="AU62" s="495"/>
      <c r="AV62" s="495"/>
      <c r="AW62" s="495"/>
      <c r="AX62" s="495">
        <f t="shared" si="11"/>
        <v>0</v>
      </c>
      <c r="AY62" s="495">
        <f t="shared" si="15"/>
        <v>0</v>
      </c>
      <c r="AZ62" s="495"/>
      <c r="BA62" s="495"/>
      <c r="BB62" s="495"/>
      <c r="BC62" s="495"/>
      <c r="BD62" s="495"/>
      <c r="BE62" s="495">
        <f t="shared" si="16"/>
        <v>0</v>
      </c>
      <c r="BF62" s="495">
        <f t="shared" si="18"/>
        <v>200000</v>
      </c>
      <c r="BG62" s="495">
        <f t="shared" si="17"/>
        <v>0</v>
      </c>
      <c r="BH62" s="495"/>
      <c r="BI62" s="495"/>
      <c r="BJ62" s="495"/>
      <c r="BK62" s="495"/>
      <c r="BL62" s="495"/>
      <c r="BM62" s="256"/>
      <c r="BN62" s="256"/>
    </row>
    <row r="63" spans="1:66" s="5" customFormat="1" ht="30" customHeight="1">
      <c r="A63" s="3">
        <f>A62+1</f>
        <v>58</v>
      </c>
      <c r="B63" s="19">
        <v>20106</v>
      </c>
      <c r="C63" s="127" t="s">
        <v>1144</v>
      </c>
      <c r="D63" s="112">
        <f>6917471-17471</f>
        <v>6900000</v>
      </c>
      <c r="E63" s="112"/>
      <c r="F63" s="112">
        <f>D63-E63</f>
        <v>6900000</v>
      </c>
      <c r="G63" s="112">
        <v>0</v>
      </c>
      <c r="H63" s="112"/>
      <c r="I63" s="112"/>
      <c r="J63" s="112"/>
      <c r="K63" s="112">
        <f>I63+J63</f>
        <v>0</v>
      </c>
      <c r="L63" s="112">
        <f>H63+K63</f>
        <v>0</v>
      </c>
      <c r="M63" s="257">
        <f t="shared" si="22"/>
        <v>0</v>
      </c>
      <c r="N63" s="112">
        <f>600000-300000</f>
        <v>300000</v>
      </c>
      <c r="O63" s="112">
        <f>D63-L63-M63-N63</f>
        <v>6600000</v>
      </c>
      <c r="P63" s="112">
        <f>G63-L63</f>
        <v>0</v>
      </c>
      <c r="Q63" s="112"/>
      <c r="R63" s="112"/>
      <c r="S63" s="112">
        <f>SUM(Q63:R63)</f>
        <v>0</v>
      </c>
      <c r="T63" s="257">
        <f>P63-M63+S63</f>
        <v>0</v>
      </c>
      <c r="U63" s="112">
        <f>N63-T63</f>
        <v>300000</v>
      </c>
      <c r="V63" s="112">
        <f>U63-W63-Z63-AA63</f>
        <v>300000</v>
      </c>
      <c r="W63" s="112"/>
      <c r="X63" s="112"/>
      <c r="Y63" s="112"/>
      <c r="Z63" s="112"/>
      <c r="AA63" s="112"/>
      <c r="AB63" s="3" t="s">
        <v>943</v>
      </c>
      <c r="AC63" s="3">
        <v>742000</v>
      </c>
      <c r="AD63" s="495"/>
      <c r="AE63" s="495"/>
      <c r="AF63" s="495"/>
      <c r="AG63" s="495"/>
      <c r="AH63" s="495"/>
      <c r="AI63" s="495"/>
      <c r="AJ63" s="495">
        <f t="shared" si="20"/>
        <v>0</v>
      </c>
      <c r="AK63" s="42">
        <f t="shared" si="13"/>
        <v>300000</v>
      </c>
      <c r="AL63" s="495"/>
      <c r="AM63" s="42">
        <v>-300000</v>
      </c>
      <c r="AN63" s="495">
        <f t="shared" si="21"/>
        <v>0</v>
      </c>
      <c r="AO63" s="495">
        <f t="shared" si="14"/>
        <v>0</v>
      </c>
      <c r="AP63" s="495"/>
      <c r="AQ63" s="495"/>
      <c r="AR63" s="495"/>
      <c r="AS63" s="495"/>
      <c r="AT63" s="495"/>
      <c r="AU63" s="495"/>
      <c r="AV63" s="495"/>
      <c r="AW63" s="495"/>
      <c r="AX63" s="495">
        <f t="shared" si="11"/>
        <v>0</v>
      </c>
      <c r="AY63" s="495">
        <f t="shared" si="15"/>
        <v>0</v>
      </c>
      <c r="AZ63" s="495"/>
      <c r="BA63" s="495"/>
      <c r="BB63" s="495"/>
      <c r="BC63" s="495"/>
      <c r="BD63" s="495"/>
      <c r="BE63" s="495">
        <f t="shared" si="16"/>
        <v>0</v>
      </c>
      <c r="BF63" s="495">
        <f t="shared" si="18"/>
        <v>300000</v>
      </c>
      <c r="BG63" s="495">
        <f t="shared" si="17"/>
        <v>0</v>
      </c>
      <c r="BH63" s="495"/>
      <c r="BI63" s="495"/>
      <c r="BJ63" s="495"/>
      <c r="BK63" s="495"/>
      <c r="BL63" s="495"/>
      <c r="BM63" s="256"/>
      <c r="BN63" s="256"/>
    </row>
    <row r="64" spans="1:66" s="5" customFormat="1" ht="30" customHeight="1">
      <c r="A64" s="3">
        <f>A63+1</f>
        <v>59</v>
      </c>
      <c r="B64" s="19">
        <v>20107</v>
      </c>
      <c r="C64" s="127" t="s">
        <v>614</v>
      </c>
      <c r="D64" s="112">
        <f>4425349-25349</f>
        <v>4400000</v>
      </c>
      <c r="E64" s="112"/>
      <c r="F64" s="112">
        <f>D64-E64</f>
        <v>4400000</v>
      </c>
      <c r="G64" s="112">
        <v>0</v>
      </c>
      <c r="H64" s="112"/>
      <c r="I64" s="112"/>
      <c r="J64" s="112"/>
      <c r="K64" s="112">
        <f>I64+J64</f>
        <v>0</v>
      </c>
      <c r="L64" s="112">
        <f>H64+K64</f>
        <v>0</v>
      </c>
      <c r="M64" s="257">
        <f t="shared" si="22"/>
        <v>0</v>
      </c>
      <c r="N64" s="112">
        <f>440000-140000</f>
        <v>300000</v>
      </c>
      <c r="O64" s="112">
        <f>D64-L64-M64-N64</f>
        <v>4100000</v>
      </c>
      <c r="P64" s="112">
        <f>G64-L64</f>
        <v>0</v>
      </c>
      <c r="Q64" s="112"/>
      <c r="R64" s="112"/>
      <c r="S64" s="112">
        <f>SUM(Q64:R64)</f>
        <v>0</v>
      </c>
      <c r="T64" s="257">
        <f>P64-M64+S64</f>
        <v>0</v>
      </c>
      <c r="U64" s="112">
        <f>N64-T64</f>
        <v>300000</v>
      </c>
      <c r="V64" s="112">
        <f>U64-W64-Z64-AA64</f>
        <v>300000</v>
      </c>
      <c r="W64" s="112"/>
      <c r="X64" s="112"/>
      <c r="Y64" s="112"/>
      <c r="Z64" s="112"/>
      <c r="AA64" s="112"/>
      <c r="AB64" s="3" t="s">
        <v>944</v>
      </c>
      <c r="AC64" s="3">
        <v>742000</v>
      </c>
      <c r="AD64" s="495"/>
      <c r="AE64" s="495"/>
      <c r="AF64" s="495"/>
      <c r="AG64" s="495">
        <v>50000</v>
      </c>
      <c r="AH64" s="495">
        <v>100000</v>
      </c>
      <c r="AI64" s="495"/>
      <c r="AJ64" s="495">
        <f t="shared" si="20"/>
        <v>150000</v>
      </c>
      <c r="AK64" s="495">
        <f t="shared" si="13"/>
        <v>150000</v>
      </c>
      <c r="AL64" s="495"/>
      <c r="AM64" s="42">
        <v>-100000</v>
      </c>
      <c r="AN64" s="495">
        <f t="shared" si="21"/>
        <v>50000</v>
      </c>
      <c r="AO64" s="495">
        <f t="shared" si="14"/>
        <v>50000</v>
      </c>
      <c r="AP64" s="495"/>
      <c r="AQ64" s="495"/>
      <c r="AR64" s="495"/>
      <c r="AS64" s="495"/>
      <c r="AT64" s="495"/>
      <c r="AU64" s="495"/>
      <c r="AV64" s="42">
        <v>-100000</v>
      </c>
      <c r="AW64" s="495">
        <v>50000</v>
      </c>
      <c r="AX64" s="495">
        <f t="shared" si="11"/>
        <v>0</v>
      </c>
      <c r="AY64" s="495">
        <f t="shared" si="15"/>
        <v>0</v>
      </c>
      <c r="AZ64" s="495"/>
      <c r="BA64" s="495"/>
      <c r="BB64" s="495"/>
      <c r="BC64" s="495"/>
      <c r="BD64" s="495"/>
      <c r="BE64" s="495">
        <f t="shared" si="16"/>
        <v>150000</v>
      </c>
      <c r="BF64" s="495">
        <f t="shared" si="18"/>
        <v>150000</v>
      </c>
      <c r="BG64" s="495">
        <f t="shared" si="17"/>
        <v>150000</v>
      </c>
      <c r="BH64" s="495"/>
      <c r="BI64" s="495"/>
      <c r="BJ64" s="495"/>
      <c r="BK64" s="495"/>
      <c r="BL64" s="495"/>
      <c r="BM64" s="256"/>
      <c r="BN64" s="256"/>
    </row>
    <row r="65" spans="1:66" s="5" customFormat="1" ht="30" customHeight="1">
      <c r="A65" s="3">
        <f>A64+1</f>
        <v>60</v>
      </c>
      <c r="B65" s="19">
        <v>20108</v>
      </c>
      <c r="C65" s="127" t="s">
        <v>615</v>
      </c>
      <c r="D65" s="112">
        <f>4800000-1300000</f>
        <v>3500000</v>
      </c>
      <c r="E65" s="112"/>
      <c r="F65" s="112">
        <f>D65-E65</f>
        <v>3500000</v>
      </c>
      <c r="G65" s="112">
        <v>0</v>
      </c>
      <c r="H65" s="112"/>
      <c r="I65" s="112"/>
      <c r="J65" s="112"/>
      <c r="K65" s="112">
        <f>I65+J65</f>
        <v>0</v>
      </c>
      <c r="L65" s="112">
        <f>H65+K65</f>
        <v>0</v>
      </c>
      <c r="M65" s="257">
        <f t="shared" si="22"/>
        <v>0</v>
      </c>
      <c r="N65" s="112">
        <f>1600000-1100000-150000</f>
        <v>350000</v>
      </c>
      <c r="O65" s="112">
        <f>D65-L65-M65-N65</f>
        <v>3150000</v>
      </c>
      <c r="P65" s="112">
        <f>G65-L65</f>
        <v>0</v>
      </c>
      <c r="Q65" s="112"/>
      <c r="R65" s="112"/>
      <c r="S65" s="112">
        <f>SUM(Q65:R65)</f>
        <v>0</v>
      </c>
      <c r="T65" s="257">
        <f>P65-M65+S65</f>
        <v>0</v>
      </c>
      <c r="U65" s="112">
        <f>N65-T65</f>
        <v>350000</v>
      </c>
      <c r="V65" s="112">
        <f>U65-W65-Z65-AA65</f>
        <v>350000</v>
      </c>
      <c r="W65" s="112"/>
      <c r="X65" s="112"/>
      <c r="Y65" s="112"/>
      <c r="Z65" s="112"/>
      <c r="AA65" s="112"/>
      <c r="AB65" s="498" t="s">
        <v>759</v>
      </c>
      <c r="AC65" s="3">
        <v>732000</v>
      </c>
      <c r="AD65" s="495"/>
      <c r="AE65" s="495"/>
      <c r="AF65" s="495"/>
      <c r="AG65" s="495"/>
      <c r="AH65" s="495"/>
      <c r="AI65" s="495"/>
      <c r="AJ65" s="495">
        <f t="shared" si="20"/>
        <v>0</v>
      </c>
      <c r="AK65" s="495">
        <f t="shared" si="13"/>
        <v>350000</v>
      </c>
      <c r="AL65" s="495"/>
      <c r="AM65" s="42"/>
      <c r="AN65" s="495">
        <f t="shared" si="21"/>
        <v>350000</v>
      </c>
      <c r="AO65" s="495">
        <f t="shared" si="14"/>
        <v>350000</v>
      </c>
      <c r="AP65" s="495"/>
      <c r="AQ65" s="495"/>
      <c r="AR65" s="495"/>
      <c r="AS65" s="495"/>
      <c r="AT65" s="495"/>
      <c r="AU65" s="495"/>
      <c r="AV65" s="495"/>
      <c r="AW65" s="495"/>
      <c r="AX65" s="495">
        <f t="shared" si="11"/>
        <v>350000</v>
      </c>
      <c r="AY65" s="495">
        <f t="shared" si="15"/>
        <v>350000</v>
      </c>
      <c r="AZ65" s="495"/>
      <c r="BA65" s="495"/>
      <c r="BB65" s="495"/>
      <c r="BC65" s="495"/>
      <c r="BD65" s="495"/>
      <c r="BE65" s="495">
        <f t="shared" si="16"/>
        <v>350000</v>
      </c>
      <c r="BF65" s="495">
        <f t="shared" si="18"/>
        <v>0</v>
      </c>
      <c r="BG65" s="495">
        <f t="shared" si="17"/>
        <v>350000</v>
      </c>
      <c r="BH65" s="495"/>
      <c r="BI65" s="495"/>
      <c r="BJ65" s="495"/>
      <c r="BK65" s="495"/>
      <c r="BL65" s="495"/>
      <c r="BM65" s="256"/>
      <c r="BN65" s="256"/>
    </row>
    <row r="66" spans="1:66" s="40" customFormat="1" ht="30" customHeight="1">
      <c r="A66" s="236">
        <f>COUNT(A6:A65)</f>
        <v>60</v>
      </c>
      <c r="B66" s="20"/>
      <c r="C66" s="208" t="s">
        <v>258</v>
      </c>
      <c r="D66" s="236">
        <f t="shared" ref="D66:BL66" si="23">SUM(D6:D65)</f>
        <v>382469372</v>
      </c>
      <c r="E66" s="236">
        <f t="shared" si="23"/>
        <v>368254490</v>
      </c>
      <c r="F66" s="236">
        <f t="shared" si="23"/>
        <v>14214882</v>
      </c>
      <c r="G66" s="236">
        <f t="shared" si="23"/>
        <v>138033668</v>
      </c>
      <c r="H66" s="236">
        <f t="shared" si="23"/>
        <v>112863046</v>
      </c>
      <c r="I66" s="236">
        <f t="shared" si="23"/>
        <v>2835671</v>
      </c>
      <c r="J66" s="236">
        <f t="shared" si="23"/>
        <v>9659935</v>
      </c>
      <c r="K66" s="236">
        <f t="shared" si="23"/>
        <v>12495606</v>
      </c>
      <c r="L66" s="236">
        <f t="shared" si="23"/>
        <v>125358652</v>
      </c>
      <c r="M66" s="236">
        <f t="shared" si="23"/>
        <v>267243</v>
      </c>
      <c r="N66" s="236">
        <f t="shared" si="23"/>
        <v>14068800</v>
      </c>
      <c r="O66" s="236">
        <f t="shared" si="23"/>
        <v>242774677</v>
      </c>
      <c r="P66" s="236">
        <f t="shared" si="23"/>
        <v>12675016</v>
      </c>
      <c r="Q66" s="236">
        <f t="shared" si="23"/>
        <v>1140000</v>
      </c>
      <c r="R66" s="236">
        <f t="shared" si="23"/>
        <v>0</v>
      </c>
      <c r="S66" s="236">
        <f t="shared" si="23"/>
        <v>1140000</v>
      </c>
      <c r="T66" s="236">
        <f t="shared" si="23"/>
        <v>13547773</v>
      </c>
      <c r="U66" s="236">
        <f t="shared" si="23"/>
        <v>521027</v>
      </c>
      <c r="V66" s="236">
        <f t="shared" si="23"/>
        <v>791194</v>
      </c>
      <c r="W66" s="236">
        <f t="shared" si="23"/>
        <v>-750000</v>
      </c>
      <c r="X66" s="236">
        <f t="shared" si="23"/>
        <v>0</v>
      </c>
      <c r="Y66" s="236">
        <f t="shared" si="23"/>
        <v>0</v>
      </c>
      <c r="Z66" s="236">
        <f t="shared" si="23"/>
        <v>0</v>
      </c>
      <c r="AA66" s="236">
        <f t="shared" si="23"/>
        <v>479833</v>
      </c>
      <c r="AB66" s="236">
        <f t="shared" si="23"/>
        <v>0</v>
      </c>
      <c r="AC66" s="236">
        <f t="shared" si="23"/>
        <v>44371000</v>
      </c>
      <c r="AD66" s="236">
        <f t="shared" si="23"/>
        <v>-6349473</v>
      </c>
      <c r="AE66" s="236">
        <f>SUM(AE6:AE65)</f>
        <v>2455500</v>
      </c>
      <c r="AF66" s="236">
        <f>SUM(AF6:AF65)</f>
        <v>0</v>
      </c>
      <c r="AG66" s="236">
        <f t="shared" ref="AG66:AH66" si="24">SUM(AG6:AG65)</f>
        <v>540000</v>
      </c>
      <c r="AH66" s="236">
        <f t="shared" si="24"/>
        <v>723000</v>
      </c>
      <c r="AI66" s="236">
        <f t="shared" si="23"/>
        <v>0</v>
      </c>
      <c r="AJ66" s="236">
        <f t="shared" si="23"/>
        <v>-2630973</v>
      </c>
      <c r="AK66" s="236">
        <f t="shared" si="23"/>
        <v>3152000</v>
      </c>
      <c r="AL66" s="236">
        <f t="shared" si="23"/>
        <v>0</v>
      </c>
      <c r="AM66" s="236">
        <f t="shared" si="23"/>
        <v>-1700000</v>
      </c>
      <c r="AN66" s="236">
        <f t="shared" si="23"/>
        <v>1452000</v>
      </c>
      <c r="AO66" s="236">
        <f t="shared" si="23"/>
        <v>1342000</v>
      </c>
      <c r="AP66" s="236">
        <f t="shared" si="23"/>
        <v>0</v>
      </c>
      <c r="AQ66" s="236">
        <f t="shared" si="23"/>
        <v>0</v>
      </c>
      <c r="AR66" s="236">
        <f t="shared" si="23"/>
        <v>0</v>
      </c>
      <c r="AS66" s="236">
        <f t="shared" si="23"/>
        <v>0</v>
      </c>
      <c r="AT66" s="236">
        <f t="shared" si="23"/>
        <v>110000</v>
      </c>
      <c r="AU66" s="236">
        <f t="shared" si="23"/>
        <v>-413028</v>
      </c>
      <c r="AV66" s="236">
        <f t="shared" si="23"/>
        <v>2510000</v>
      </c>
      <c r="AW66" s="236">
        <f t="shared" si="23"/>
        <v>852000</v>
      </c>
      <c r="AX66" s="236">
        <f t="shared" si="23"/>
        <v>600000</v>
      </c>
      <c r="AY66" s="236">
        <f t="shared" si="23"/>
        <v>600000</v>
      </c>
      <c r="AZ66" s="236">
        <f t="shared" si="23"/>
        <v>0</v>
      </c>
      <c r="BA66" s="236">
        <f t="shared" si="23"/>
        <v>0</v>
      </c>
      <c r="BB66" s="236">
        <f t="shared" si="23"/>
        <v>0</v>
      </c>
      <c r="BC66" s="236">
        <f t="shared" si="23"/>
        <v>0</v>
      </c>
      <c r="BD66" s="236">
        <f t="shared" si="23"/>
        <v>0</v>
      </c>
      <c r="BE66" s="236">
        <f t="shared" si="23"/>
        <v>-2030973</v>
      </c>
      <c r="BF66" s="236">
        <f t="shared" si="23"/>
        <v>2552000</v>
      </c>
      <c r="BG66" s="236">
        <f t="shared" si="23"/>
        <v>-1650806</v>
      </c>
      <c r="BH66" s="236">
        <f t="shared" si="23"/>
        <v>-750000</v>
      </c>
      <c r="BI66" s="236">
        <f t="shared" si="23"/>
        <v>0</v>
      </c>
      <c r="BJ66" s="236">
        <f t="shared" si="23"/>
        <v>0</v>
      </c>
      <c r="BK66" s="236">
        <f t="shared" si="23"/>
        <v>0</v>
      </c>
      <c r="BL66" s="236">
        <f t="shared" si="23"/>
        <v>369833</v>
      </c>
      <c r="BM66" s="312"/>
      <c r="BN66" s="312"/>
    </row>
    <row r="67" spans="1:66" s="40" customFormat="1" ht="18.600000000000001" customHeight="1">
      <c r="A67" s="500"/>
      <c r="C67" s="225"/>
      <c r="D67" s="501">
        <f>SUM(L66:O66)</f>
        <v>382469372</v>
      </c>
      <c r="E67" s="11"/>
      <c r="F67" s="501">
        <f>D66-E66</f>
        <v>14214882</v>
      </c>
      <c r="G67" s="11"/>
      <c r="H67" s="11"/>
      <c r="I67" s="11"/>
      <c r="J67" s="11"/>
      <c r="K67" s="11"/>
      <c r="L67" s="501">
        <f>H66+K66</f>
        <v>125358652</v>
      </c>
      <c r="M67" s="502"/>
      <c r="N67" s="11"/>
      <c r="O67" s="11"/>
      <c r="P67" s="501">
        <f>G66-L67</f>
        <v>12675016</v>
      </c>
      <c r="Q67" s="11"/>
      <c r="R67" s="11"/>
      <c r="S67" s="11"/>
      <c r="T67" s="433">
        <f>P67+S66-M66</f>
        <v>13547773</v>
      </c>
      <c r="U67" s="501">
        <f>N66-T67</f>
        <v>521027</v>
      </c>
      <c r="V67" s="500"/>
      <c r="W67" s="500"/>
      <c r="X67" s="500"/>
      <c r="Y67" s="500"/>
      <c r="Z67" s="500"/>
      <c r="AA67" s="500"/>
      <c r="AD67" s="18"/>
      <c r="AE67" s="18"/>
      <c r="AF67" s="18"/>
      <c r="AG67" s="18"/>
      <c r="AH67" s="18"/>
      <c r="AI67" s="18"/>
      <c r="AJ67" s="18"/>
      <c r="AK67" s="318"/>
      <c r="AL67" s="318"/>
      <c r="AM67" s="318"/>
      <c r="AN67" s="18"/>
      <c r="AO67" s="18"/>
      <c r="AP67" s="18"/>
      <c r="AQ67" s="18"/>
      <c r="AR67" s="18"/>
      <c r="AS67" s="18"/>
      <c r="AT67" s="18"/>
      <c r="AU67" s="232"/>
      <c r="AV67" s="232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312"/>
      <c r="BN67" s="312"/>
    </row>
    <row r="68" spans="1:66" s="40" customFormat="1" ht="18.600000000000001" customHeight="1">
      <c r="A68" s="500"/>
      <c r="C68" s="225"/>
      <c r="D68" s="501">
        <f>D66-D67</f>
        <v>0</v>
      </c>
      <c r="E68" s="11"/>
      <c r="F68" s="11"/>
      <c r="G68" s="11"/>
      <c r="H68" s="11"/>
      <c r="I68" s="11"/>
      <c r="J68" s="11"/>
      <c r="K68" s="11"/>
      <c r="L68" s="501">
        <f>L66-L67</f>
        <v>0</v>
      </c>
      <c r="M68" s="502"/>
      <c r="N68" s="11"/>
      <c r="O68" s="11"/>
      <c r="P68" s="501">
        <f>P66-P67</f>
        <v>0</v>
      </c>
      <c r="Q68" s="11"/>
      <c r="R68" s="11"/>
      <c r="S68" s="11"/>
      <c r="T68" s="433">
        <f>T66-T67</f>
        <v>0</v>
      </c>
      <c r="U68" s="501">
        <f>U66-U67</f>
        <v>0</v>
      </c>
      <c r="V68" s="500"/>
      <c r="W68" s="500"/>
      <c r="X68" s="500"/>
      <c r="Y68" s="500"/>
      <c r="Z68" s="500"/>
      <c r="AA68" s="500"/>
      <c r="AD68" s="18"/>
      <c r="AE68" s="18"/>
      <c r="AF68" s="18"/>
      <c r="AG68" s="18"/>
      <c r="AH68" s="18"/>
      <c r="AI68" s="18"/>
      <c r="AJ68" s="18"/>
      <c r="AK68" s="318"/>
      <c r="AL68" s="318"/>
      <c r="AM68" s="318"/>
      <c r="AN68" s="18"/>
      <c r="AO68" s="18"/>
      <c r="AP68" s="18"/>
      <c r="AQ68" s="18"/>
      <c r="AR68" s="18"/>
      <c r="AS68" s="18"/>
      <c r="AT68" s="18"/>
      <c r="AU68" s="232"/>
      <c r="AV68" s="232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312"/>
      <c r="BN68" s="312"/>
    </row>
    <row r="69" spans="1:66" s="40" customFormat="1" ht="18.600000000000001" customHeight="1">
      <c r="A69" s="500"/>
      <c r="C69" s="225"/>
      <c r="D69" s="500"/>
      <c r="E69" s="500"/>
      <c r="F69" s="500"/>
      <c r="G69" s="500"/>
      <c r="H69" s="500"/>
      <c r="I69" s="500"/>
      <c r="J69" s="500"/>
      <c r="K69" s="500"/>
      <c r="L69" s="500"/>
      <c r="M69" s="500"/>
      <c r="N69" s="500"/>
      <c r="O69" s="500"/>
      <c r="P69" s="500"/>
      <c r="Q69" s="500"/>
      <c r="R69" s="500"/>
      <c r="S69" s="500"/>
      <c r="T69" s="500"/>
      <c r="U69" s="500"/>
      <c r="V69" s="500"/>
      <c r="W69" s="500"/>
      <c r="X69" s="500"/>
      <c r="Y69" s="500"/>
      <c r="Z69" s="500"/>
      <c r="AA69" s="500"/>
      <c r="AD69" s="18"/>
      <c r="AE69" s="18"/>
      <c r="AF69" s="18"/>
      <c r="AG69" s="18"/>
      <c r="AH69" s="18"/>
      <c r="AI69" s="18"/>
      <c r="AJ69" s="18"/>
      <c r="AK69" s="318"/>
      <c r="AL69" s="318"/>
      <c r="AM69" s="318"/>
      <c r="AN69" s="18"/>
      <c r="AO69" s="18"/>
      <c r="AP69" s="18"/>
      <c r="AQ69" s="18"/>
      <c r="AR69" s="18"/>
      <c r="AS69" s="18"/>
      <c r="AT69" s="18"/>
      <c r="AU69" s="232"/>
      <c r="AV69" s="232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312"/>
      <c r="BN69" s="312"/>
    </row>
    <row r="70" spans="1:66" s="40" customFormat="1" ht="18.600000000000001" customHeight="1">
      <c r="A70" s="500"/>
      <c r="C70" s="225"/>
      <c r="D70" s="500"/>
      <c r="E70" s="500"/>
      <c r="F70" s="500"/>
      <c r="G70" s="500"/>
      <c r="H70" s="500"/>
      <c r="I70" s="500"/>
      <c r="J70" s="500"/>
      <c r="K70" s="500"/>
      <c r="L70" s="500"/>
      <c r="M70" s="500"/>
      <c r="N70" s="500"/>
      <c r="O70" s="500"/>
      <c r="P70" s="500"/>
      <c r="Q70" s="500"/>
      <c r="R70" s="500"/>
      <c r="S70" s="500"/>
      <c r="T70" s="500"/>
      <c r="U70" s="500"/>
      <c r="V70" s="500"/>
      <c r="W70" s="500"/>
      <c r="X70" s="500"/>
      <c r="Y70" s="500"/>
      <c r="Z70" s="500"/>
      <c r="AA70" s="500"/>
      <c r="AD70" s="18"/>
      <c r="AE70" s="18"/>
      <c r="AF70" s="18"/>
      <c r="AG70" s="18"/>
      <c r="AH70" s="18"/>
      <c r="AI70" s="18"/>
      <c r="AJ70" s="18"/>
      <c r="AK70" s="318"/>
      <c r="AL70" s="318"/>
      <c r="AM70" s="318" t="s">
        <v>814</v>
      </c>
      <c r="AN70" s="18"/>
      <c r="AO70" s="18"/>
      <c r="AP70" s="18"/>
      <c r="AQ70" s="18"/>
      <c r="AR70" s="18"/>
      <c r="AS70" s="18"/>
      <c r="AU70" s="522"/>
      <c r="AV70" s="495"/>
      <c r="AW70" s="18"/>
      <c r="AX70" s="18" t="s">
        <v>814</v>
      </c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312"/>
      <c r="BN70" s="312"/>
    </row>
    <row r="71" spans="1:66">
      <c r="AN71" s="18">
        <f>AK66+AM66</f>
        <v>1452000</v>
      </c>
      <c r="AV71" s="523"/>
      <c r="AW71" s="18">
        <f>AN66-AW66</f>
        <v>600000</v>
      </c>
      <c r="BE71" s="18">
        <f>AJ66+AX66</f>
        <v>-2030973</v>
      </c>
    </row>
    <row r="72" spans="1:66" ht="15.75">
      <c r="A72" s="504"/>
      <c r="O72" s="10"/>
      <c r="P72" s="10"/>
      <c r="Q72" s="10"/>
      <c r="R72" s="10"/>
      <c r="S72" s="10"/>
      <c r="T72" s="10"/>
      <c r="AB72" s="10"/>
      <c r="AT72" s="524"/>
      <c r="AV72" s="523"/>
    </row>
    <row r="73" spans="1:66" ht="15.75">
      <c r="A73" s="504"/>
      <c r="O73" s="10"/>
      <c r="P73" s="10"/>
      <c r="Q73" s="10"/>
      <c r="R73" s="10"/>
      <c r="S73" s="10"/>
      <c r="T73" s="10"/>
      <c r="AB73" s="10"/>
      <c r="AV73" s="523"/>
      <c r="AW73" s="525"/>
    </row>
    <row r="74" spans="1:66" ht="15.75">
      <c r="A74" s="504"/>
      <c r="O74" s="10"/>
      <c r="P74" s="10"/>
      <c r="Q74" s="10"/>
      <c r="R74" s="10"/>
      <c r="S74" s="10"/>
      <c r="T74" s="10"/>
      <c r="AB74" s="10"/>
      <c r="AW74" s="526"/>
    </row>
    <row r="75" spans="1:66">
      <c r="O75" s="10"/>
      <c r="P75" s="10"/>
      <c r="Q75" s="10"/>
      <c r="R75" s="10"/>
      <c r="S75" s="10"/>
      <c r="T75" s="10"/>
      <c r="AB75" s="10"/>
    </row>
    <row r="76" spans="1:66">
      <c r="O76" s="10"/>
      <c r="P76" s="10"/>
      <c r="Q76" s="10"/>
      <c r="R76" s="10"/>
      <c r="S76" s="10"/>
      <c r="T76" s="10"/>
      <c r="AB76" s="10"/>
    </row>
    <row r="77" spans="1:66">
      <c r="O77" s="10"/>
      <c r="P77" s="10"/>
      <c r="Q77" s="10"/>
      <c r="R77" s="10"/>
      <c r="S77" s="10"/>
      <c r="T77" s="10"/>
      <c r="AB77" s="10"/>
    </row>
    <row r="78" spans="1:66">
      <c r="A78" s="527"/>
      <c r="O78" s="10"/>
      <c r="P78" s="10"/>
      <c r="Q78" s="10"/>
      <c r="R78" s="10"/>
      <c r="S78" s="10"/>
      <c r="T78" s="10"/>
      <c r="AB78" s="10"/>
    </row>
    <row r="79" spans="1:66">
      <c r="O79" s="10"/>
      <c r="P79" s="10"/>
      <c r="Q79" s="10"/>
      <c r="R79" s="10"/>
      <c r="S79" s="10"/>
      <c r="T79" s="10"/>
      <c r="AB79" s="10"/>
    </row>
    <row r="80" spans="1:66">
      <c r="O80" s="10"/>
      <c r="P80" s="10"/>
      <c r="Q80" s="10"/>
      <c r="R80" s="10"/>
      <c r="S80" s="10"/>
      <c r="T80" s="10"/>
      <c r="AB80" s="10"/>
    </row>
    <row r="81" spans="1:66">
      <c r="O81" s="10"/>
      <c r="P81" s="10"/>
      <c r="Q81" s="10"/>
      <c r="R81" s="10"/>
      <c r="S81" s="10"/>
      <c r="T81" s="10"/>
      <c r="AB81" s="10"/>
    </row>
    <row r="82" spans="1:66">
      <c r="O82" s="10"/>
      <c r="P82" s="10"/>
      <c r="Q82" s="10"/>
      <c r="R82" s="10"/>
      <c r="S82" s="10"/>
      <c r="T82" s="10"/>
      <c r="AB82" s="10"/>
    </row>
    <row r="83" spans="1:66">
      <c r="O83" s="10"/>
      <c r="P83" s="10"/>
      <c r="Q83" s="10"/>
      <c r="R83" s="10"/>
      <c r="S83" s="10"/>
      <c r="T83" s="10"/>
      <c r="AB83" s="10"/>
    </row>
    <row r="84" spans="1:66">
      <c r="O84" s="10"/>
      <c r="P84" s="10"/>
      <c r="Q84" s="10"/>
      <c r="R84" s="10"/>
      <c r="S84" s="10"/>
      <c r="T84" s="10"/>
      <c r="AB84" s="10"/>
    </row>
    <row r="85" spans="1:66" s="18" customFormat="1">
      <c r="A85" s="10"/>
      <c r="B85" s="10"/>
      <c r="C85" s="14"/>
      <c r="D85" s="11"/>
      <c r="E85" s="11"/>
      <c r="F85" s="11"/>
      <c r="G85" s="11"/>
      <c r="H85" s="11"/>
      <c r="I85" s="11"/>
      <c r="J85" s="11"/>
      <c r="K85" s="11"/>
      <c r="L85" s="11"/>
      <c r="M85" s="502"/>
      <c r="N85" s="1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K85" s="318"/>
      <c r="AL85" s="318"/>
      <c r="AM85" s="318"/>
      <c r="AU85" s="318"/>
      <c r="BM85" s="10"/>
      <c r="BN85" s="10"/>
    </row>
    <row r="86" spans="1:66" s="18" customFormat="1">
      <c r="A86" s="10"/>
      <c r="B86" s="10"/>
      <c r="C86" s="14"/>
      <c r="D86" s="11"/>
      <c r="E86" s="11"/>
      <c r="F86" s="11"/>
      <c r="G86" s="11"/>
      <c r="H86" s="11"/>
      <c r="I86" s="11"/>
      <c r="J86" s="11"/>
      <c r="K86" s="11"/>
      <c r="L86" s="11"/>
      <c r="M86" s="502"/>
      <c r="N86" s="1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K86" s="318"/>
      <c r="AL86" s="318"/>
      <c r="AM86" s="318"/>
      <c r="AU86" s="318"/>
      <c r="BM86" s="10"/>
      <c r="BN86" s="10"/>
    </row>
    <row r="87" spans="1:66" s="18" customFormat="1">
      <c r="A87" s="10"/>
      <c r="B87" s="10"/>
      <c r="C87" s="14"/>
      <c r="D87" s="11"/>
      <c r="E87" s="11"/>
      <c r="F87" s="11"/>
      <c r="G87" s="11"/>
      <c r="H87" s="11"/>
      <c r="I87" s="11"/>
      <c r="J87" s="11"/>
      <c r="K87" s="11"/>
      <c r="L87" s="11"/>
      <c r="M87" s="502"/>
      <c r="N87" s="1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K87" s="318"/>
      <c r="AL87" s="318"/>
      <c r="AM87" s="318"/>
      <c r="AU87" s="318"/>
      <c r="BM87" s="10"/>
      <c r="BN87" s="10"/>
    </row>
    <row r="88" spans="1:66" s="18" customFormat="1">
      <c r="A88" s="10"/>
      <c r="B88" s="10"/>
      <c r="C88" s="14"/>
      <c r="D88" s="11"/>
      <c r="E88" s="11"/>
      <c r="F88" s="11"/>
      <c r="G88" s="11"/>
      <c r="H88" s="11"/>
      <c r="I88" s="11"/>
      <c r="J88" s="11"/>
      <c r="K88" s="11"/>
      <c r="L88" s="11"/>
      <c r="M88" s="502"/>
      <c r="N88" s="11"/>
      <c r="O88" s="11"/>
      <c r="P88" s="11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4"/>
      <c r="AC88" s="10"/>
      <c r="AK88" s="318"/>
      <c r="AL88" s="318"/>
      <c r="AM88" s="318"/>
      <c r="AU88" s="318"/>
      <c r="BM88" s="10"/>
      <c r="BN88" s="10"/>
    </row>
    <row r="89" spans="1:66" s="18" customFormat="1">
      <c r="A89" s="10"/>
      <c r="B89" s="10"/>
      <c r="C89" s="14"/>
      <c r="D89" s="11"/>
      <c r="E89" s="11"/>
      <c r="F89" s="11"/>
      <c r="G89" s="11"/>
      <c r="H89" s="11"/>
      <c r="I89" s="11"/>
      <c r="J89" s="11"/>
      <c r="K89" s="11"/>
      <c r="L89" s="11"/>
      <c r="M89" s="502"/>
      <c r="N89" s="11"/>
      <c r="O89" s="11"/>
      <c r="P89" s="11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4"/>
      <c r="AC89" s="10"/>
      <c r="AK89" s="318"/>
      <c r="AL89" s="318"/>
      <c r="AM89" s="318"/>
      <c r="AU89" s="318"/>
      <c r="BM89" s="10"/>
      <c r="BN89" s="10"/>
    </row>
    <row r="90" spans="1:66" s="18" customFormat="1">
      <c r="A90" s="10"/>
      <c r="B90" s="10"/>
      <c r="C90" s="14"/>
      <c r="D90" s="11"/>
      <c r="E90" s="11"/>
      <c r="F90" s="11"/>
      <c r="G90" s="11"/>
      <c r="H90" s="11"/>
      <c r="I90" s="11"/>
      <c r="J90" s="11"/>
      <c r="K90" s="11"/>
      <c r="L90" s="11"/>
      <c r="M90" s="502"/>
      <c r="N90" s="11"/>
      <c r="O90" s="11"/>
      <c r="P90" s="11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4"/>
      <c r="AC90" s="10"/>
      <c r="AK90" s="318"/>
      <c r="AL90" s="318"/>
      <c r="AM90" s="318"/>
      <c r="AU90" s="318"/>
      <c r="BM90" s="10"/>
      <c r="BN90" s="10"/>
    </row>
    <row r="91" spans="1:66" s="18" customFormat="1">
      <c r="A91" s="10"/>
      <c r="B91" s="10"/>
      <c r="C91" s="14"/>
      <c r="D91" s="11"/>
      <c r="E91" s="11"/>
      <c r="F91" s="11"/>
      <c r="G91" s="11"/>
      <c r="H91" s="11"/>
      <c r="I91" s="11"/>
      <c r="J91" s="11"/>
      <c r="K91" s="11"/>
      <c r="L91" s="11"/>
      <c r="M91" s="502"/>
      <c r="N91" s="11"/>
      <c r="O91" s="11"/>
      <c r="P91" s="1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4"/>
      <c r="AC91" s="10"/>
      <c r="AK91" s="318"/>
      <c r="AL91" s="318"/>
      <c r="AM91" s="318"/>
      <c r="AU91" s="318"/>
      <c r="BM91" s="10"/>
      <c r="BN91" s="10"/>
    </row>
    <row r="92" spans="1:66" s="18" customFormat="1">
      <c r="A92" s="10"/>
      <c r="B92" s="10"/>
      <c r="C92" s="14"/>
      <c r="D92" s="11"/>
      <c r="E92" s="11"/>
      <c r="F92" s="11"/>
      <c r="G92" s="11"/>
      <c r="H92" s="11"/>
      <c r="I92" s="11"/>
      <c r="J92" s="11"/>
      <c r="K92" s="11"/>
      <c r="L92" s="11"/>
      <c r="M92" s="502"/>
      <c r="N92" s="11"/>
      <c r="O92" s="11"/>
      <c r="P92" s="11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4"/>
      <c r="AC92" s="10"/>
      <c r="AK92" s="318"/>
      <c r="AL92" s="318"/>
      <c r="AM92" s="318"/>
      <c r="AU92" s="318"/>
      <c r="BM92" s="10"/>
      <c r="BN92" s="10"/>
    </row>
    <row r="93" spans="1:66" s="18" customFormat="1">
      <c r="A93" s="10"/>
      <c r="B93" s="10"/>
      <c r="C93" s="14"/>
      <c r="D93" s="11"/>
      <c r="E93" s="11"/>
      <c r="F93" s="11"/>
      <c r="G93" s="11"/>
      <c r="H93" s="11"/>
      <c r="I93" s="11"/>
      <c r="J93" s="11"/>
      <c r="K93" s="11"/>
      <c r="L93" s="11"/>
      <c r="M93" s="502"/>
      <c r="N93" s="11"/>
      <c r="O93" s="11"/>
      <c r="P93" s="11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4"/>
      <c r="AC93" s="10"/>
      <c r="AK93" s="318"/>
      <c r="AL93" s="318"/>
      <c r="AM93" s="318"/>
      <c r="AU93" s="318"/>
      <c r="BM93" s="10"/>
      <c r="BN93" s="10"/>
    </row>
    <row r="109" spans="39:39" ht="45">
      <c r="AM109" s="318" t="s">
        <v>945</v>
      </c>
    </row>
    <row r="132" ht="37.9" customHeight="1"/>
    <row r="135" ht="70.900000000000006" customHeight="1"/>
    <row r="138" ht="72" customHeight="1"/>
    <row r="140" ht="43.9" customHeight="1"/>
    <row r="142" ht="30" customHeight="1"/>
  </sheetData>
  <mergeCells count="7">
    <mergeCell ref="BG4:BL4"/>
    <mergeCell ref="A4:C4"/>
    <mergeCell ref="AD4:AK4"/>
    <mergeCell ref="AO4:AT4"/>
    <mergeCell ref="T4:U4"/>
    <mergeCell ref="V4:AA4"/>
    <mergeCell ref="BE4:BF4"/>
  </mergeCells>
  <conditionalFormatting sqref="O1:O26 O71 O78:O1048576 O61 O28:O59">
    <cfRule type="cellIs" dxfId="196" priority="7" operator="lessThan">
      <formula>0</formula>
    </cfRule>
  </conditionalFormatting>
  <conditionalFormatting sqref="O27">
    <cfRule type="cellIs" dxfId="195" priority="6" operator="lessThan">
      <formula>0</formula>
    </cfRule>
  </conditionalFormatting>
  <conditionalFormatting sqref="AJ5">
    <cfRule type="cellIs" dxfId="194" priority="5" operator="equal">
      <formula>0</formula>
    </cfRule>
  </conditionalFormatting>
  <conditionalFormatting sqref="M5:N5">
    <cfRule type="cellIs" dxfId="193" priority="4" operator="lessThan">
      <formula>0</formula>
    </cfRule>
  </conditionalFormatting>
  <conditionalFormatting sqref="O67:O68">
    <cfRule type="cellIs" dxfId="192" priority="3" operator="lessThan">
      <formula>0</formula>
    </cfRule>
  </conditionalFormatting>
  <conditionalFormatting sqref="O60">
    <cfRule type="cellIs" dxfId="191" priority="2" operator="lessThan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32B0-BE68-417D-9B77-2DE2457EA27B}">
  <dimension ref="A1:BS158"/>
  <sheetViews>
    <sheetView showZeros="0" rightToLeft="1" zoomScaleNormal="100" workbookViewId="0">
      <pane xSplit="3" ySplit="5" topLeftCell="AB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"/>
  <cols>
    <col min="1" max="1" width="5" style="123" customWidth="1"/>
    <col min="2" max="2" width="6.42578125" style="205" customWidth="1"/>
    <col min="3" max="3" width="27.42578125" style="131" bestFit="1" customWidth="1"/>
    <col min="4" max="5" width="12.7109375" style="124" hidden="1" customWidth="1"/>
    <col min="6" max="6" width="11.85546875" style="124" hidden="1" customWidth="1"/>
    <col min="7" max="8" width="12.7109375" style="124" hidden="1" customWidth="1"/>
    <col min="9" max="9" width="7.5703125" style="124" hidden="1" customWidth="1"/>
    <col min="10" max="10" width="10.140625" style="124" hidden="1" customWidth="1"/>
    <col min="11" max="11" width="10.5703125" style="124" hidden="1" customWidth="1"/>
    <col min="12" max="12" width="12.7109375" style="124" hidden="1" customWidth="1"/>
    <col min="13" max="13" width="9.140625" style="124" hidden="1" customWidth="1"/>
    <col min="14" max="14" width="11.140625" style="124" hidden="1" customWidth="1"/>
    <col min="15" max="15" width="12.7109375" style="124" hidden="1" customWidth="1"/>
    <col min="16" max="16" width="10.85546875" style="124" hidden="1" customWidth="1"/>
    <col min="17" max="18" width="11.5703125" style="124" hidden="1" customWidth="1"/>
    <col min="19" max="19" width="11.7109375" style="124" hidden="1" customWidth="1"/>
    <col min="20" max="20" width="11.140625" style="124" bestFit="1" customWidth="1"/>
    <col min="21" max="21" width="11.140625" style="123" bestFit="1" customWidth="1"/>
    <col min="22" max="22" width="11.42578125" style="123" bestFit="1" customWidth="1"/>
    <col min="23" max="23" width="10.140625" style="123" customWidth="1"/>
    <col min="24" max="24" width="9" style="123" hidden="1" customWidth="1"/>
    <col min="25" max="25" width="11.140625" style="123" bestFit="1" customWidth="1"/>
    <col min="26" max="26" width="7.85546875" style="123" hidden="1" customWidth="1"/>
    <col min="27" max="27" width="10.140625" style="123" bestFit="1" customWidth="1"/>
    <col min="28" max="28" width="84.28515625" style="221" hidden="1" customWidth="1"/>
    <col min="29" max="29" width="10.140625" style="123" hidden="1" customWidth="1"/>
    <col min="30" max="30" width="11.140625" style="123" hidden="1" customWidth="1"/>
    <col min="31" max="35" width="10.140625" style="123" hidden="1" customWidth="1"/>
    <col min="36" max="36" width="11.140625" style="123" hidden="1" customWidth="1"/>
    <col min="37" max="37" width="11" style="123" hidden="1" customWidth="1"/>
    <col min="38" max="38" width="12.42578125" style="123" hidden="1" customWidth="1"/>
    <col min="39" max="39" width="12.42578125" style="212" hidden="1" customWidth="1"/>
    <col min="40" max="40" width="11.140625" style="206" hidden="1" customWidth="1"/>
    <col min="41" max="41" width="12.85546875" style="123" hidden="1" customWidth="1"/>
    <col min="42" max="43" width="11.140625" style="123" hidden="1" customWidth="1"/>
    <col min="44" max="46" width="10.7109375" style="123" hidden="1" customWidth="1"/>
    <col min="47" max="47" width="10.7109375" style="206" hidden="1" customWidth="1"/>
    <col min="48" max="49" width="11.140625" style="123" hidden="1" customWidth="1"/>
    <col min="50" max="56" width="11.140625" style="206" hidden="1" customWidth="1"/>
    <col min="57" max="57" width="14" style="206" customWidth="1"/>
    <col min="58" max="60" width="11.140625" style="206" customWidth="1"/>
    <col min="61" max="61" width="11.140625" style="206" hidden="1" customWidth="1"/>
    <col min="62" max="62" width="11.140625" style="206" customWidth="1"/>
    <col min="63" max="63" width="11.140625" style="206" hidden="1" customWidth="1"/>
    <col min="64" max="64" width="11.140625" style="206" customWidth="1"/>
    <col min="65" max="65" width="9.140625" style="123"/>
    <col min="66" max="66" width="10.28515625" style="123" customWidth="1"/>
    <col min="67" max="71" width="9.28515625" style="123" customWidth="1"/>
    <col min="72" max="16384" width="9.140625" style="123"/>
  </cols>
  <sheetData>
    <row r="1" spans="1:71" s="132" customFormat="1" ht="18.75">
      <c r="A1" s="145"/>
      <c r="B1" s="145"/>
      <c r="C1" s="223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204"/>
      <c r="AD1" s="123"/>
      <c r="AE1" s="123"/>
      <c r="AF1" s="123"/>
      <c r="AG1" s="123"/>
      <c r="AH1" s="123"/>
      <c r="AI1" s="123"/>
      <c r="AJ1" s="123"/>
      <c r="AK1" s="123"/>
      <c r="AL1" s="123"/>
      <c r="AM1" s="212"/>
      <c r="AN1" s="206"/>
      <c r="AO1" s="123"/>
      <c r="AP1" s="123"/>
      <c r="AQ1" s="123"/>
      <c r="AR1" s="123"/>
      <c r="AS1" s="123"/>
      <c r="AT1" s="123"/>
      <c r="AU1" s="206"/>
      <c r="AV1" s="123"/>
      <c r="AW1" s="123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N1" s="123"/>
      <c r="BO1" s="123"/>
      <c r="BP1" s="123"/>
      <c r="BQ1" s="123"/>
      <c r="BR1" s="123"/>
      <c r="BS1" s="123"/>
    </row>
    <row r="2" spans="1:71" ht="18.75">
      <c r="A2" s="145" t="s">
        <v>1357</v>
      </c>
      <c r="B2" s="145"/>
      <c r="C2" s="223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408">
        <f>AA69-566515</f>
        <v>0</v>
      </c>
      <c r="Y2" s="145"/>
      <c r="Z2" s="145"/>
      <c r="AA2" s="145"/>
      <c r="AB2" s="409"/>
      <c r="AV2" s="206"/>
      <c r="AW2" s="206"/>
    </row>
    <row r="3" spans="1:71" ht="18.75">
      <c r="A3" s="145"/>
      <c r="B3" s="145"/>
      <c r="C3" s="223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408"/>
      <c r="Y3" s="145"/>
      <c r="Z3" s="145"/>
      <c r="AA3" s="145"/>
      <c r="AB3" s="409"/>
      <c r="AV3" s="206"/>
      <c r="AW3" s="206"/>
    </row>
    <row r="4" spans="1:71" ht="24.6" customHeight="1">
      <c r="A4" s="810"/>
      <c r="B4" s="810"/>
      <c r="C4" s="810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B4" s="767"/>
      <c r="AC4" s="768"/>
      <c r="AD4" s="805" t="s">
        <v>902</v>
      </c>
      <c r="AE4" s="805"/>
      <c r="AF4" s="805"/>
      <c r="AG4" s="805"/>
      <c r="AH4" s="805"/>
      <c r="AI4" s="805"/>
      <c r="AJ4" s="805"/>
      <c r="AK4" s="805"/>
      <c r="AL4" s="768"/>
      <c r="AM4" s="769"/>
      <c r="AN4" s="237"/>
      <c r="AO4" s="805" t="s">
        <v>904</v>
      </c>
      <c r="AP4" s="805"/>
      <c r="AQ4" s="805"/>
      <c r="AR4" s="805"/>
      <c r="AS4" s="805"/>
      <c r="AT4" s="805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</row>
    <row r="5" spans="1:71" s="206" customFormat="1" ht="63.75" customHeight="1">
      <c r="A5" s="237" t="s">
        <v>443</v>
      </c>
      <c r="B5" s="237" t="s">
        <v>1</v>
      </c>
      <c r="C5" s="237" t="s">
        <v>2</v>
      </c>
      <c r="D5" s="237" t="s">
        <v>3</v>
      </c>
      <c r="E5" s="237" t="s">
        <v>4</v>
      </c>
      <c r="F5" s="237" t="s">
        <v>5</v>
      </c>
      <c r="G5" s="237" t="s">
        <v>6</v>
      </c>
      <c r="H5" s="237" t="s">
        <v>7</v>
      </c>
      <c r="I5" s="237" t="s">
        <v>9</v>
      </c>
      <c r="J5" s="237" t="s">
        <v>101</v>
      </c>
      <c r="K5" s="237" t="s">
        <v>10</v>
      </c>
      <c r="L5" s="758" t="s">
        <v>11</v>
      </c>
      <c r="M5" s="237" t="s">
        <v>568</v>
      </c>
      <c r="N5" s="237" t="s">
        <v>569</v>
      </c>
      <c r="O5" s="494" t="s">
        <v>570</v>
      </c>
      <c r="P5" s="494" t="s">
        <v>12</v>
      </c>
      <c r="Q5" s="237" t="s">
        <v>571</v>
      </c>
      <c r="R5" s="237" t="s">
        <v>572</v>
      </c>
      <c r="S5" s="494" t="s">
        <v>573</v>
      </c>
      <c r="T5" s="494" t="s">
        <v>574</v>
      </c>
      <c r="U5" s="494" t="s">
        <v>575</v>
      </c>
      <c r="V5" s="263" t="s">
        <v>13</v>
      </c>
      <c r="W5" s="263" t="s">
        <v>14</v>
      </c>
      <c r="X5" s="237" t="s">
        <v>15</v>
      </c>
      <c r="Y5" s="237" t="s">
        <v>185</v>
      </c>
      <c r="Z5" s="237" t="s">
        <v>385</v>
      </c>
      <c r="AA5" s="237" t="s">
        <v>67</v>
      </c>
      <c r="AB5" s="759" t="s">
        <v>207</v>
      </c>
      <c r="AC5" s="237" t="s">
        <v>16</v>
      </c>
      <c r="AD5" s="568" t="s">
        <v>905</v>
      </c>
      <c r="AE5" s="568" t="s">
        <v>906</v>
      </c>
      <c r="AF5" s="568" t="s">
        <v>907</v>
      </c>
      <c r="AG5" s="568" t="s">
        <v>908</v>
      </c>
      <c r="AH5" s="568" t="s">
        <v>909</v>
      </c>
      <c r="AI5" s="568" t="s">
        <v>910</v>
      </c>
      <c r="AJ5" s="568" t="s">
        <v>911</v>
      </c>
      <c r="AK5" s="568" t="s">
        <v>912</v>
      </c>
      <c r="AL5" s="568" t="s">
        <v>946</v>
      </c>
      <c r="AM5" s="568" t="s">
        <v>914</v>
      </c>
      <c r="AN5" s="568" t="s">
        <v>915</v>
      </c>
      <c r="AO5" s="494" t="s">
        <v>13</v>
      </c>
      <c r="AP5" s="494" t="s">
        <v>14</v>
      </c>
      <c r="AQ5" s="494" t="s">
        <v>15</v>
      </c>
      <c r="AR5" s="494" t="s">
        <v>185</v>
      </c>
      <c r="AS5" s="494" t="s">
        <v>385</v>
      </c>
      <c r="AT5" s="494" t="s">
        <v>67</v>
      </c>
      <c r="AU5" s="568" t="s">
        <v>947</v>
      </c>
      <c r="AV5" s="568" t="s">
        <v>917</v>
      </c>
      <c r="AW5" s="568" t="s">
        <v>918</v>
      </c>
      <c r="AX5" s="494" t="s">
        <v>919</v>
      </c>
      <c r="AY5" s="494" t="s">
        <v>13</v>
      </c>
      <c r="AZ5" s="494" t="s">
        <v>14</v>
      </c>
      <c r="BA5" s="494" t="s">
        <v>15</v>
      </c>
      <c r="BB5" s="494" t="s">
        <v>185</v>
      </c>
      <c r="BC5" s="494" t="s">
        <v>385</v>
      </c>
      <c r="BD5" s="494" t="s">
        <v>67</v>
      </c>
      <c r="BE5" s="494" t="s">
        <v>1355</v>
      </c>
      <c r="BF5" s="494" t="s">
        <v>1350</v>
      </c>
      <c r="BG5" s="494" t="s">
        <v>13</v>
      </c>
      <c r="BH5" s="494" t="s">
        <v>14</v>
      </c>
      <c r="BI5" s="494" t="s">
        <v>15</v>
      </c>
      <c r="BJ5" s="494" t="s">
        <v>185</v>
      </c>
      <c r="BK5" s="494" t="s">
        <v>385</v>
      </c>
      <c r="BL5" s="494" t="s">
        <v>67</v>
      </c>
      <c r="BN5" s="123"/>
      <c r="BO5" s="123"/>
      <c r="BP5" s="123"/>
      <c r="BQ5" s="123"/>
      <c r="BR5" s="123"/>
      <c r="BS5" s="123"/>
    </row>
    <row r="6" spans="1:71" s="126" customFormat="1" ht="30" customHeight="1">
      <c r="A6" s="213">
        <v>1</v>
      </c>
      <c r="B6" s="213">
        <v>382</v>
      </c>
      <c r="C6" s="213" t="s">
        <v>1358</v>
      </c>
      <c r="D6" s="257">
        <v>111381330</v>
      </c>
      <c r="E6" s="257">
        <v>111381330</v>
      </c>
      <c r="F6" s="257">
        <f>D6-E6</f>
        <v>0</v>
      </c>
      <c r="G6" s="257">
        <v>71381330</v>
      </c>
      <c r="H6" s="257">
        <v>63822457</v>
      </c>
      <c r="I6" s="257"/>
      <c r="J6" s="257"/>
      <c r="K6" s="257">
        <f>SUM(I6:J6)</f>
        <v>0</v>
      </c>
      <c r="L6" s="257">
        <f>K6+H6</f>
        <v>63822457</v>
      </c>
      <c r="M6" s="257">
        <f>P6+S6-6000000-7550000</f>
        <v>8873</v>
      </c>
      <c r="N6" s="257">
        <f>7000000+6500000+6000000-4000000-2000000+50000</f>
        <v>13550000</v>
      </c>
      <c r="O6" s="257">
        <f>D6-L6-M6-N6</f>
        <v>34000000</v>
      </c>
      <c r="P6" s="257">
        <f>G6-L6</f>
        <v>7558873</v>
      </c>
      <c r="Q6" s="257">
        <v>6000000</v>
      </c>
      <c r="R6" s="257"/>
      <c r="S6" s="257">
        <f>SUM(Q6:R6)</f>
        <v>6000000</v>
      </c>
      <c r="T6" s="257">
        <f>P6-M6+S6</f>
        <v>13550000</v>
      </c>
      <c r="U6" s="257">
        <f>N6-T6</f>
        <v>0</v>
      </c>
      <c r="V6" s="257">
        <f>U6-Z6-X6-AA6-W6-Y6</f>
        <v>-1200000</v>
      </c>
      <c r="W6" s="257"/>
      <c r="X6" s="257"/>
      <c r="Y6" s="257"/>
      <c r="Z6" s="257"/>
      <c r="AA6" s="257">
        <v>1200000</v>
      </c>
      <c r="AB6" s="207" t="s">
        <v>948</v>
      </c>
      <c r="AC6" s="213">
        <v>742000</v>
      </c>
      <c r="AD6" s="760"/>
      <c r="AE6" s="257"/>
      <c r="AF6" s="257"/>
      <c r="AG6" s="257"/>
      <c r="AH6" s="257"/>
      <c r="AI6" s="257"/>
      <c r="AJ6" s="257">
        <f t="shared" ref="AJ6:AJ37" si="0">SUM(AD6:AI6)+AL6</f>
        <v>0</v>
      </c>
      <c r="AK6" s="257">
        <f t="shared" ref="AK6:AK69" si="1">U6-AJ6</f>
        <v>0</v>
      </c>
      <c r="AL6" s="257"/>
      <c r="AM6" s="236"/>
      <c r="AN6" s="257">
        <f t="shared" ref="AN6:AN37" si="2">AK6+AM6</f>
        <v>0</v>
      </c>
      <c r="AO6" s="257">
        <f>AN6-AP6-AQ6-AR6-AS6-AT6</f>
        <v>0</v>
      </c>
      <c r="AP6" s="257"/>
      <c r="AQ6" s="257"/>
      <c r="AR6" s="257"/>
      <c r="AS6" s="257"/>
      <c r="AT6" s="257"/>
      <c r="AU6" s="257">
        <v>-5000000</v>
      </c>
      <c r="AV6" s="257"/>
      <c r="AW6" s="257"/>
      <c r="AX6" s="257">
        <f>AN6-AW6</f>
        <v>0</v>
      </c>
      <c r="AY6" s="257">
        <f>AX6-AZ6-BA6-BB6-BC6-BD6</f>
        <v>0</v>
      </c>
      <c r="AZ6" s="257"/>
      <c r="BA6" s="257"/>
      <c r="BB6" s="257"/>
      <c r="BC6" s="257"/>
      <c r="BD6" s="257"/>
      <c r="BE6" s="257">
        <f t="shared" ref="BE6" si="3">AJ6+AX6</f>
        <v>0</v>
      </c>
      <c r="BF6" s="257">
        <f>U6-BE6</f>
        <v>0</v>
      </c>
      <c r="BG6" s="257">
        <f t="shared" ref="BG6:BG37" si="4">BE6-BH6-BI6-BJ6-BK6-BL6</f>
        <v>-1200000</v>
      </c>
      <c r="BH6" s="257"/>
      <c r="BI6" s="257"/>
      <c r="BJ6" s="257"/>
      <c r="BK6" s="257"/>
      <c r="BL6" s="257">
        <v>1200000</v>
      </c>
      <c r="BN6" s="123"/>
      <c r="BO6" s="123"/>
      <c r="BP6" s="123"/>
      <c r="BQ6" s="123"/>
      <c r="BR6" s="123"/>
      <c r="BS6" s="123"/>
    </row>
    <row r="7" spans="1:71" s="128" customFormat="1" ht="30" customHeight="1">
      <c r="A7" s="213">
        <f t="shared" ref="A7:A70" si="5">A6+1</f>
        <v>2</v>
      </c>
      <c r="B7" s="213">
        <v>532</v>
      </c>
      <c r="C7" s="213" t="s">
        <v>1156</v>
      </c>
      <c r="D7" s="257">
        <v>80090000</v>
      </c>
      <c r="E7" s="257">
        <v>80090000</v>
      </c>
      <c r="F7" s="257">
        <f t="shared" ref="F7:F70" si="6">D7-E7</f>
        <v>0</v>
      </c>
      <c r="G7" s="257">
        <v>80090000</v>
      </c>
      <c r="H7" s="257">
        <v>79860343</v>
      </c>
      <c r="I7" s="257"/>
      <c r="J7" s="257">
        <f>279440-279440</f>
        <v>0</v>
      </c>
      <c r="K7" s="257">
        <f t="shared" ref="K7:K68" si="7">SUM(I7:J7)</f>
        <v>0</v>
      </c>
      <c r="L7" s="257">
        <f t="shared" ref="L7:L70" si="8">K7+H7</f>
        <v>79860343</v>
      </c>
      <c r="M7" s="257">
        <f>P7+S7-220000</f>
        <v>9657</v>
      </c>
      <c r="N7" s="257">
        <v>70000</v>
      </c>
      <c r="O7" s="257">
        <f t="shared" ref="O7:O70" si="9">D7-L7-M7-N7</f>
        <v>150000</v>
      </c>
      <c r="P7" s="257">
        <f t="shared" ref="P7:P70" si="10">G7-L7</f>
        <v>229657</v>
      </c>
      <c r="Q7" s="257"/>
      <c r="R7" s="257"/>
      <c r="S7" s="257">
        <f t="shared" ref="S7:S68" si="11">SUM(Q7:R7)</f>
        <v>0</v>
      </c>
      <c r="T7" s="257">
        <f t="shared" ref="T7:T70" si="12">P7-M7+S7</f>
        <v>220000</v>
      </c>
      <c r="U7" s="257">
        <f t="shared" ref="U7:U70" si="13">N7-T7</f>
        <v>-150000</v>
      </c>
      <c r="V7" s="257">
        <f t="shared" ref="V7:V70" si="14">U7-Z7-X7-AA7-W7-Y7</f>
        <v>-150000</v>
      </c>
      <c r="W7" s="257"/>
      <c r="X7" s="257"/>
      <c r="Y7" s="257"/>
      <c r="Z7" s="257"/>
      <c r="AA7" s="213"/>
      <c r="AB7" s="262" t="s">
        <v>949</v>
      </c>
      <c r="AC7" s="213">
        <v>742000</v>
      </c>
      <c r="AD7" s="257">
        <v>-150000</v>
      </c>
      <c r="AE7" s="257"/>
      <c r="AF7" s="257"/>
      <c r="AG7" s="257"/>
      <c r="AH7" s="257"/>
      <c r="AI7" s="257"/>
      <c r="AJ7" s="257">
        <f t="shared" si="0"/>
        <v>-150000</v>
      </c>
      <c r="AK7" s="257">
        <f t="shared" si="1"/>
        <v>0</v>
      </c>
      <c r="AL7" s="257"/>
      <c r="AM7" s="236"/>
      <c r="AN7" s="257">
        <f t="shared" si="2"/>
        <v>0</v>
      </c>
      <c r="AO7" s="257">
        <f t="shared" ref="AO7:AO70" si="15">AN7-AP7-AQ7-AR7-AS7-AT7</f>
        <v>0</v>
      </c>
      <c r="AP7" s="257"/>
      <c r="AQ7" s="257"/>
      <c r="AR7" s="257"/>
      <c r="AS7" s="257"/>
      <c r="AT7" s="257"/>
      <c r="AU7" s="257"/>
      <c r="AV7" s="257"/>
      <c r="AW7" s="257"/>
      <c r="AX7" s="257">
        <f t="shared" ref="AX7:AX20" si="16">AN7-AW7</f>
        <v>0</v>
      </c>
      <c r="AY7" s="257">
        <f t="shared" ref="AY7:AY70" si="17">AX7-AZ7-BA7-BB7-BC7-BD7</f>
        <v>0</v>
      </c>
      <c r="AZ7" s="257"/>
      <c r="BA7" s="257"/>
      <c r="BB7" s="257"/>
      <c r="BC7" s="257"/>
      <c r="BD7" s="257"/>
      <c r="BE7" s="257">
        <f t="shared" ref="BE7:BE70" si="18">AJ7+AX7</f>
        <v>-150000</v>
      </c>
      <c r="BF7" s="257">
        <f t="shared" ref="BF7:BF70" si="19">U7-BE7</f>
        <v>0</v>
      </c>
      <c r="BG7" s="257">
        <f t="shared" si="4"/>
        <v>-150000</v>
      </c>
      <c r="BH7" s="257"/>
      <c r="BI7" s="257"/>
      <c r="BJ7" s="257"/>
      <c r="BK7" s="257"/>
      <c r="BL7" s="257"/>
      <c r="BN7" s="123"/>
      <c r="BO7" s="123"/>
      <c r="BP7" s="123"/>
      <c r="BQ7" s="123"/>
      <c r="BR7" s="123"/>
      <c r="BS7" s="123"/>
    </row>
    <row r="8" spans="1:71" s="128" customFormat="1" ht="30" customHeight="1">
      <c r="A8" s="213">
        <f t="shared" si="5"/>
        <v>3</v>
      </c>
      <c r="B8" s="213">
        <v>576</v>
      </c>
      <c r="C8" s="213" t="s">
        <v>62</v>
      </c>
      <c r="D8" s="257">
        <f>58113000+20000000</f>
        <v>78113000</v>
      </c>
      <c r="E8" s="257">
        <v>58113000</v>
      </c>
      <c r="F8" s="257">
        <f t="shared" si="6"/>
        <v>20000000</v>
      </c>
      <c r="G8" s="257">
        <v>58113000</v>
      </c>
      <c r="H8" s="257">
        <v>57720940</v>
      </c>
      <c r="I8" s="257"/>
      <c r="J8" s="257">
        <f>188783-188783</f>
        <v>0</v>
      </c>
      <c r="K8" s="257">
        <f t="shared" si="7"/>
        <v>0</v>
      </c>
      <c r="L8" s="257">
        <f t="shared" si="8"/>
        <v>57720940</v>
      </c>
      <c r="M8" s="257">
        <f>P8+S8-390000</f>
        <v>2060</v>
      </c>
      <c r="N8" s="257">
        <f>10000000-5000000-2000000+390000-3000000</f>
        <v>390000</v>
      </c>
      <c r="O8" s="257">
        <f t="shared" si="9"/>
        <v>20000000</v>
      </c>
      <c r="P8" s="257">
        <f t="shared" si="10"/>
        <v>392060</v>
      </c>
      <c r="Q8" s="257"/>
      <c r="R8" s="257"/>
      <c r="S8" s="257">
        <f t="shared" si="11"/>
        <v>0</v>
      </c>
      <c r="T8" s="257">
        <f t="shared" si="12"/>
        <v>390000</v>
      </c>
      <c r="U8" s="257">
        <f t="shared" si="13"/>
        <v>0</v>
      </c>
      <c r="V8" s="257">
        <f t="shared" si="14"/>
        <v>0</v>
      </c>
      <c r="W8" s="257"/>
      <c r="X8" s="257"/>
      <c r="Y8" s="257"/>
      <c r="Z8" s="257"/>
      <c r="AA8" s="257">
        <f>3000000-3000000</f>
        <v>0</v>
      </c>
      <c r="AB8" s="213" t="s">
        <v>751</v>
      </c>
      <c r="AC8" s="213">
        <v>760000</v>
      </c>
      <c r="AD8" s="257"/>
      <c r="AE8" s="257"/>
      <c r="AF8" s="257"/>
      <c r="AG8" s="257"/>
      <c r="AH8" s="257"/>
      <c r="AI8" s="257"/>
      <c r="AJ8" s="257">
        <f t="shared" si="0"/>
        <v>0</v>
      </c>
      <c r="AK8" s="257">
        <f t="shared" si="1"/>
        <v>0</v>
      </c>
      <c r="AL8" s="257"/>
      <c r="AM8" s="236"/>
      <c r="AN8" s="257">
        <f t="shared" si="2"/>
        <v>0</v>
      </c>
      <c r="AO8" s="257">
        <f t="shared" si="15"/>
        <v>0</v>
      </c>
      <c r="AP8" s="257"/>
      <c r="AQ8" s="257"/>
      <c r="AR8" s="257"/>
      <c r="AS8" s="257"/>
      <c r="AT8" s="257"/>
      <c r="AU8" s="257"/>
      <c r="AV8" s="257"/>
      <c r="AW8" s="257"/>
      <c r="AX8" s="257">
        <f t="shared" si="16"/>
        <v>0</v>
      </c>
      <c r="AY8" s="257">
        <f t="shared" si="17"/>
        <v>0</v>
      </c>
      <c r="AZ8" s="257"/>
      <c r="BA8" s="257"/>
      <c r="BB8" s="257"/>
      <c r="BC8" s="257"/>
      <c r="BD8" s="257"/>
      <c r="BE8" s="257">
        <f t="shared" si="18"/>
        <v>0</v>
      </c>
      <c r="BF8" s="257">
        <f t="shared" si="19"/>
        <v>0</v>
      </c>
      <c r="BG8" s="257">
        <f t="shared" si="4"/>
        <v>0</v>
      </c>
      <c r="BH8" s="257"/>
      <c r="BI8" s="257"/>
      <c r="BJ8" s="257"/>
      <c r="BK8" s="257"/>
      <c r="BL8" s="257"/>
      <c r="BN8" s="123"/>
      <c r="BO8" s="123"/>
      <c r="BP8" s="123"/>
      <c r="BQ8" s="123"/>
      <c r="BR8" s="123"/>
      <c r="BS8" s="123"/>
    </row>
    <row r="9" spans="1:71" s="126" customFormat="1" ht="30" customHeight="1">
      <c r="A9" s="213">
        <f t="shared" si="5"/>
        <v>4</v>
      </c>
      <c r="B9" s="213">
        <v>1067</v>
      </c>
      <c r="C9" s="213" t="s">
        <v>63</v>
      </c>
      <c r="D9" s="257">
        <f>4975000+500000</f>
        <v>5475000</v>
      </c>
      <c r="E9" s="257">
        <v>4975000</v>
      </c>
      <c r="F9" s="257">
        <f t="shared" si="6"/>
        <v>500000</v>
      </c>
      <c r="G9" s="257">
        <v>4475000</v>
      </c>
      <c r="H9" s="257">
        <v>4513801</v>
      </c>
      <c r="I9" s="257"/>
      <c r="J9" s="257">
        <f>81104-81104</f>
        <v>0</v>
      </c>
      <c r="K9" s="257">
        <f t="shared" si="7"/>
        <v>0</v>
      </c>
      <c r="L9" s="257">
        <f t="shared" si="8"/>
        <v>4513801</v>
      </c>
      <c r="M9" s="257">
        <f>P9+S9-460000</f>
        <v>1199</v>
      </c>
      <c r="N9" s="257">
        <f>500000+460000-300000</f>
        <v>660000</v>
      </c>
      <c r="O9" s="257">
        <f t="shared" si="9"/>
        <v>300000</v>
      </c>
      <c r="P9" s="257">
        <f t="shared" si="10"/>
        <v>-38801</v>
      </c>
      <c r="Q9" s="257">
        <v>500000</v>
      </c>
      <c r="R9" s="257"/>
      <c r="S9" s="257">
        <f t="shared" si="11"/>
        <v>500000</v>
      </c>
      <c r="T9" s="257">
        <f t="shared" si="12"/>
        <v>460000</v>
      </c>
      <c r="U9" s="257">
        <f t="shared" si="13"/>
        <v>200000</v>
      </c>
      <c r="V9" s="257">
        <f t="shared" si="14"/>
        <v>200000</v>
      </c>
      <c r="W9" s="257"/>
      <c r="X9" s="257"/>
      <c r="Y9" s="257"/>
      <c r="Z9" s="257"/>
      <c r="AA9" s="213"/>
      <c r="AB9" s="262" t="s">
        <v>218</v>
      </c>
      <c r="AC9" s="213">
        <v>742000</v>
      </c>
      <c r="AD9" s="257"/>
      <c r="AE9" s="257"/>
      <c r="AF9" s="257"/>
      <c r="AG9" s="257"/>
      <c r="AH9" s="257"/>
      <c r="AI9" s="257"/>
      <c r="AJ9" s="257">
        <f t="shared" si="0"/>
        <v>0</v>
      </c>
      <c r="AK9" s="257">
        <f t="shared" si="1"/>
        <v>200000</v>
      </c>
      <c r="AL9" s="257"/>
      <c r="AM9" s="236"/>
      <c r="AN9" s="257">
        <f t="shared" si="2"/>
        <v>200000</v>
      </c>
      <c r="AO9" s="257">
        <f t="shared" si="15"/>
        <v>200000</v>
      </c>
      <c r="AP9" s="257"/>
      <c r="AQ9" s="257"/>
      <c r="AR9" s="257"/>
      <c r="AS9" s="257"/>
      <c r="AT9" s="257"/>
      <c r="AU9" s="257"/>
      <c r="AV9" s="257"/>
      <c r="AW9" s="257"/>
      <c r="AX9" s="257">
        <f t="shared" si="16"/>
        <v>200000</v>
      </c>
      <c r="AY9" s="257">
        <f t="shared" si="17"/>
        <v>200000</v>
      </c>
      <c r="AZ9" s="257"/>
      <c r="BA9" s="257"/>
      <c r="BB9" s="257"/>
      <c r="BC9" s="257"/>
      <c r="BD9" s="257"/>
      <c r="BE9" s="257">
        <f t="shared" si="18"/>
        <v>200000</v>
      </c>
      <c r="BF9" s="257">
        <f t="shared" si="19"/>
        <v>0</v>
      </c>
      <c r="BG9" s="257">
        <f t="shared" si="4"/>
        <v>200000</v>
      </c>
      <c r="BH9" s="257"/>
      <c r="BI9" s="257"/>
      <c r="BJ9" s="257"/>
      <c r="BK9" s="257"/>
      <c r="BL9" s="257"/>
      <c r="BN9" s="123"/>
      <c r="BO9" s="123"/>
      <c r="BP9" s="123"/>
      <c r="BQ9" s="123"/>
      <c r="BR9" s="123"/>
      <c r="BS9" s="123"/>
    </row>
    <row r="10" spans="1:71" s="128" customFormat="1" ht="30" customHeight="1">
      <c r="A10" s="213">
        <f t="shared" si="5"/>
        <v>5</v>
      </c>
      <c r="B10" s="213">
        <v>1207</v>
      </c>
      <c r="C10" s="213" t="s">
        <v>64</v>
      </c>
      <c r="D10" s="257">
        <v>45650000</v>
      </c>
      <c r="E10" s="257">
        <v>45650000</v>
      </c>
      <c r="F10" s="257">
        <f t="shared" si="6"/>
        <v>0</v>
      </c>
      <c r="G10" s="257">
        <v>44770000</v>
      </c>
      <c r="H10" s="257">
        <v>43349903</v>
      </c>
      <c r="I10" s="257"/>
      <c r="J10" s="257"/>
      <c r="K10" s="257">
        <f t="shared" si="7"/>
        <v>0</v>
      </c>
      <c r="L10" s="257">
        <f t="shared" si="8"/>
        <v>43349903</v>
      </c>
      <c r="M10" s="257">
        <f>P10+S10-1400000</f>
        <v>20097</v>
      </c>
      <c r="N10" s="257"/>
      <c r="O10" s="257">
        <f t="shared" si="9"/>
        <v>2280000</v>
      </c>
      <c r="P10" s="257">
        <f t="shared" si="10"/>
        <v>1420097</v>
      </c>
      <c r="Q10" s="257"/>
      <c r="R10" s="257"/>
      <c r="S10" s="257">
        <f t="shared" si="11"/>
        <v>0</v>
      </c>
      <c r="T10" s="257">
        <f t="shared" si="12"/>
        <v>1400000</v>
      </c>
      <c r="U10" s="257">
        <f t="shared" si="13"/>
        <v>-1400000</v>
      </c>
      <c r="V10" s="257">
        <f t="shared" si="14"/>
        <v>-1400000</v>
      </c>
      <c r="W10" s="257"/>
      <c r="X10" s="257"/>
      <c r="Y10" s="257"/>
      <c r="Z10" s="257"/>
      <c r="AA10" s="213"/>
      <c r="AB10" s="262" t="s">
        <v>519</v>
      </c>
      <c r="AC10" s="213">
        <v>742000</v>
      </c>
      <c r="AD10" s="257">
        <v>-1400000</v>
      </c>
      <c r="AE10" s="257"/>
      <c r="AF10" s="257"/>
      <c r="AG10" s="257"/>
      <c r="AH10" s="257"/>
      <c r="AI10" s="257"/>
      <c r="AJ10" s="257">
        <f t="shared" si="0"/>
        <v>-1400000</v>
      </c>
      <c r="AK10" s="257">
        <f t="shared" si="1"/>
        <v>0</v>
      </c>
      <c r="AL10" s="257"/>
      <c r="AM10" s="236"/>
      <c r="AN10" s="257">
        <f t="shared" si="2"/>
        <v>0</v>
      </c>
      <c r="AO10" s="257">
        <f t="shared" si="15"/>
        <v>0</v>
      </c>
      <c r="AP10" s="257"/>
      <c r="AQ10" s="257"/>
      <c r="AR10" s="257"/>
      <c r="AS10" s="257"/>
      <c r="AT10" s="257"/>
      <c r="AU10" s="257"/>
      <c r="AV10" s="257"/>
      <c r="AW10" s="257"/>
      <c r="AX10" s="257">
        <f>AN10-AW10</f>
        <v>0</v>
      </c>
      <c r="AY10" s="257">
        <f t="shared" si="17"/>
        <v>0</v>
      </c>
      <c r="AZ10" s="257"/>
      <c r="BA10" s="257"/>
      <c r="BB10" s="257"/>
      <c r="BC10" s="257"/>
      <c r="BD10" s="257"/>
      <c r="BE10" s="257">
        <f t="shared" si="18"/>
        <v>-1400000</v>
      </c>
      <c r="BF10" s="257">
        <f t="shared" si="19"/>
        <v>0</v>
      </c>
      <c r="BG10" s="257">
        <f t="shared" si="4"/>
        <v>-1400000</v>
      </c>
      <c r="BH10" s="257"/>
      <c r="BI10" s="257"/>
      <c r="BJ10" s="257"/>
      <c r="BK10" s="257"/>
      <c r="BL10" s="257"/>
      <c r="BN10" s="123"/>
      <c r="BO10" s="123"/>
      <c r="BP10" s="123"/>
      <c r="BQ10" s="123"/>
      <c r="BR10" s="123"/>
      <c r="BS10" s="123"/>
    </row>
    <row r="11" spans="1:71" s="128" customFormat="1" ht="30" customHeight="1">
      <c r="A11" s="213">
        <f t="shared" si="5"/>
        <v>6</v>
      </c>
      <c r="B11" s="213">
        <v>1238</v>
      </c>
      <c r="C11" s="213" t="s">
        <v>476</v>
      </c>
      <c r="D11" s="257">
        <v>40500000</v>
      </c>
      <c r="E11" s="257">
        <v>40500000</v>
      </c>
      <c r="F11" s="257">
        <f t="shared" si="6"/>
        <v>0</v>
      </c>
      <c r="G11" s="257">
        <v>26000000</v>
      </c>
      <c r="H11" s="257">
        <v>26038535</v>
      </c>
      <c r="I11" s="257"/>
      <c r="J11" s="257">
        <f>214321-214321</f>
        <v>0</v>
      </c>
      <c r="K11" s="257">
        <f t="shared" si="7"/>
        <v>0</v>
      </c>
      <c r="L11" s="257">
        <f t="shared" si="8"/>
        <v>26038535</v>
      </c>
      <c r="M11" s="257">
        <f>P11+S11-1960000</f>
        <v>1465</v>
      </c>
      <c r="N11" s="257">
        <f>12500000-7500000+1960000</f>
        <v>6960000</v>
      </c>
      <c r="O11" s="257">
        <f t="shared" si="9"/>
        <v>7500000</v>
      </c>
      <c r="P11" s="257">
        <f t="shared" si="10"/>
        <v>-38535</v>
      </c>
      <c r="Q11" s="257">
        <f>2250000-250000</f>
        <v>2000000</v>
      </c>
      <c r="R11" s="257"/>
      <c r="S11" s="257">
        <f t="shared" si="11"/>
        <v>2000000</v>
      </c>
      <c r="T11" s="257">
        <f t="shared" si="12"/>
        <v>1960000</v>
      </c>
      <c r="U11" s="257">
        <f t="shared" si="13"/>
        <v>5000000</v>
      </c>
      <c r="V11" s="257">
        <f t="shared" si="14"/>
        <v>500000</v>
      </c>
      <c r="W11" s="257"/>
      <c r="X11" s="257"/>
      <c r="Y11" s="257"/>
      <c r="Z11" s="257"/>
      <c r="AA11" s="257">
        <v>4500000</v>
      </c>
      <c r="AB11" s="207" t="s">
        <v>950</v>
      </c>
      <c r="AC11" s="213">
        <v>742000</v>
      </c>
      <c r="AD11" s="257"/>
      <c r="AE11" s="257"/>
      <c r="AF11" s="257"/>
      <c r="AG11" s="257"/>
      <c r="AH11" s="257">
        <v>1000000</v>
      </c>
      <c r="AI11" s="257"/>
      <c r="AJ11" s="257">
        <f t="shared" si="0"/>
        <v>1000000</v>
      </c>
      <c r="AK11" s="257">
        <f t="shared" si="1"/>
        <v>4000000</v>
      </c>
      <c r="AL11" s="257"/>
      <c r="AM11" s="236"/>
      <c r="AN11" s="257">
        <f t="shared" si="2"/>
        <v>4000000</v>
      </c>
      <c r="AO11" s="257">
        <f t="shared" si="15"/>
        <v>0</v>
      </c>
      <c r="AP11" s="257"/>
      <c r="AQ11" s="257"/>
      <c r="AR11" s="257"/>
      <c r="AS11" s="257"/>
      <c r="AT11" s="257">
        <v>4000000</v>
      </c>
      <c r="AU11" s="257"/>
      <c r="AV11" s="257"/>
      <c r="AW11" s="257"/>
      <c r="AX11" s="257">
        <f t="shared" si="16"/>
        <v>4000000</v>
      </c>
      <c r="AY11" s="257">
        <f t="shared" si="17"/>
        <v>0</v>
      </c>
      <c r="AZ11" s="257"/>
      <c r="BA11" s="257"/>
      <c r="BB11" s="257"/>
      <c r="BC11" s="257"/>
      <c r="BD11" s="257">
        <v>4000000</v>
      </c>
      <c r="BE11" s="257">
        <f t="shared" si="18"/>
        <v>5000000</v>
      </c>
      <c r="BF11" s="257">
        <f t="shared" si="19"/>
        <v>0</v>
      </c>
      <c r="BG11" s="257">
        <f t="shared" si="4"/>
        <v>1000000</v>
      </c>
      <c r="BH11" s="257"/>
      <c r="BI11" s="257"/>
      <c r="BJ11" s="257"/>
      <c r="BK11" s="257"/>
      <c r="BL11" s="257">
        <v>4000000</v>
      </c>
      <c r="BN11" s="123"/>
      <c r="BO11" s="123"/>
      <c r="BP11" s="123"/>
      <c r="BQ11" s="123"/>
      <c r="BR11" s="123"/>
      <c r="BS11" s="123"/>
    </row>
    <row r="12" spans="1:71" s="128" customFormat="1" ht="30" customHeight="1">
      <c r="A12" s="213">
        <f t="shared" si="5"/>
        <v>7</v>
      </c>
      <c r="B12" s="213">
        <v>1298</v>
      </c>
      <c r="C12" s="213" t="s">
        <v>31</v>
      </c>
      <c r="D12" s="257">
        <f>6100000+500000</f>
        <v>6600000</v>
      </c>
      <c r="E12" s="257">
        <v>6100000</v>
      </c>
      <c r="F12" s="257">
        <f t="shared" si="6"/>
        <v>500000</v>
      </c>
      <c r="G12" s="257">
        <v>5800000</v>
      </c>
      <c r="H12" s="257">
        <v>5766092</v>
      </c>
      <c r="I12" s="257"/>
      <c r="J12" s="257">
        <f>73889-73889</f>
        <v>0</v>
      </c>
      <c r="K12" s="257">
        <f t="shared" si="7"/>
        <v>0</v>
      </c>
      <c r="L12" s="257">
        <f t="shared" si="8"/>
        <v>5766092</v>
      </c>
      <c r="M12" s="257">
        <f>P12+S12-330000</f>
        <v>3908</v>
      </c>
      <c r="N12" s="257">
        <f>500000+330000-230000</f>
        <v>600000</v>
      </c>
      <c r="O12" s="257">
        <f t="shared" si="9"/>
        <v>230000</v>
      </c>
      <c r="P12" s="257">
        <f t="shared" si="10"/>
        <v>33908</v>
      </c>
      <c r="Q12" s="257">
        <f>400000-100000</f>
        <v>300000</v>
      </c>
      <c r="R12" s="257"/>
      <c r="S12" s="257">
        <f t="shared" si="11"/>
        <v>300000</v>
      </c>
      <c r="T12" s="257">
        <f t="shared" si="12"/>
        <v>330000</v>
      </c>
      <c r="U12" s="257">
        <f t="shared" si="13"/>
        <v>270000</v>
      </c>
      <c r="V12" s="257">
        <f t="shared" si="14"/>
        <v>270000</v>
      </c>
      <c r="W12" s="257"/>
      <c r="X12" s="257"/>
      <c r="Y12" s="257"/>
      <c r="Z12" s="257"/>
      <c r="AA12" s="213"/>
      <c r="AB12" s="262" t="s">
        <v>219</v>
      </c>
      <c r="AC12" s="213">
        <v>742000</v>
      </c>
      <c r="AD12" s="257"/>
      <c r="AE12" s="257"/>
      <c r="AF12" s="257"/>
      <c r="AG12" s="257"/>
      <c r="AH12" s="257"/>
      <c r="AI12" s="257"/>
      <c r="AJ12" s="257">
        <f t="shared" si="0"/>
        <v>0</v>
      </c>
      <c r="AK12" s="257">
        <f t="shared" si="1"/>
        <v>270000</v>
      </c>
      <c r="AL12" s="257"/>
      <c r="AM12" s="236"/>
      <c r="AN12" s="257">
        <f t="shared" si="2"/>
        <v>270000</v>
      </c>
      <c r="AO12" s="257">
        <f t="shared" si="15"/>
        <v>270000</v>
      </c>
      <c r="AP12" s="257"/>
      <c r="AQ12" s="257"/>
      <c r="AR12" s="257"/>
      <c r="AS12" s="257"/>
      <c r="AT12" s="257"/>
      <c r="AU12" s="257"/>
      <c r="AV12" s="257">
        <v>400000</v>
      </c>
      <c r="AW12" s="257"/>
      <c r="AX12" s="257">
        <f t="shared" si="16"/>
        <v>270000</v>
      </c>
      <c r="AY12" s="257">
        <f t="shared" si="17"/>
        <v>270000</v>
      </c>
      <c r="AZ12" s="257"/>
      <c r="BA12" s="257"/>
      <c r="BB12" s="257"/>
      <c r="BC12" s="257"/>
      <c r="BD12" s="257"/>
      <c r="BE12" s="257">
        <f t="shared" si="18"/>
        <v>270000</v>
      </c>
      <c r="BF12" s="257">
        <f t="shared" si="19"/>
        <v>0</v>
      </c>
      <c r="BG12" s="257">
        <f t="shared" si="4"/>
        <v>270000</v>
      </c>
      <c r="BH12" s="257"/>
      <c r="BI12" s="257"/>
      <c r="BJ12" s="257"/>
      <c r="BK12" s="257"/>
      <c r="BL12" s="257"/>
      <c r="BN12" s="123"/>
      <c r="BO12" s="123"/>
      <c r="BP12" s="123"/>
      <c r="BQ12" s="123"/>
      <c r="BR12" s="123"/>
      <c r="BS12" s="123"/>
    </row>
    <row r="13" spans="1:71" s="5" customFormat="1" ht="30" customHeight="1">
      <c r="A13" s="213">
        <f t="shared" si="5"/>
        <v>8</v>
      </c>
      <c r="B13" s="19">
        <v>1314</v>
      </c>
      <c r="C13" s="19" t="s">
        <v>1157</v>
      </c>
      <c r="D13" s="257">
        <v>5200000</v>
      </c>
      <c r="E13" s="257">
        <v>5200000</v>
      </c>
      <c r="F13" s="257">
        <f t="shared" si="6"/>
        <v>0</v>
      </c>
      <c r="G13" s="257">
        <v>5200000</v>
      </c>
      <c r="H13" s="257">
        <v>5177082</v>
      </c>
      <c r="I13" s="257"/>
      <c r="J13" s="257">
        <f>423663-423663</f>
        <v>0</v>
      </c>
      <c r="K13" s="257">
        <f t="shared" si="7"/>
        <v>0</v>
      </c>
      <c r="L13" s="257">
        <f t="shared" si="8"/>
        <v>5177082</v>
      </c>
      <c r="M13" s="257">
        <f>P13+S13-20000-2918</f>
        <v>0</v>
      </c>
      <c r="N13" s="257"/>
      <c r="O13" s="257">
        <f t="shared" si="9"/>
        <v>22918</v>
      </c>
      <c r="P13" s="257">
        <f t="shared" si="10"/>
        <v>22918</v>
      </c>
      <c r="Q13" s="257"/>
      <c r="R13" s="257"/>
      <c r="S13" s="257">
        <f t="shared" si="11"/>
        <v>0</v>
      </c>
      <c r="T13" s="257">
        <f t="shared" si="12"/>
        <v>22918</v>
      </c>
      <c r="U13" s="257">
        <f t="shared" si="13"/>
        <v>-22918</v>
      </c>
      <c r="V13" s="257">
        <f t="shared" si="14"/>
        <v>-22918</v>
      </c>
      <c r="W13" s="257"/>
      <c r="X13" s="257"/>
      <c r="Y13" s="257"/>
      <c r="Z13" s="257"/>
      <c r="AA13" s="213"/>
      <c r="AB13" s="19" t="s">
        <v>951</v>
      </c>
      <c r="AC13" s="19">
        <v>742000</v>
      </c>
      <c r="AD13" s="257">
        <v>-22918</v>
      </c>
      <c r="AE13" s="257"/>
      <c r="AF13" s="257"/>
      <c r="AG13" s="257"/>
      <c r="AH13" s="257"/>
      <c r="AI13" s="257"/>
      <c r="AJ13" s="257">
        <f t="shared" si="0"/>
        <v>-22918</v>
      </c>
      <c r="AK13" s="257">
        <f t="shared" si="1"/>
        <v>0</v>
      </c>
      <c r="AL13" s="257"/>
      <c r="AM13" s="236"/>
      <c r="AN13" s="257">
        <f t="shared" si="2"/>
        <v>0</v>
      </c>
      <c r="AO13" s="257">
        <f t="shared" si="15"/>
        <v>0</v>
      </c>
      <c r="AP13" s="257"/>
      <c r="AQ13" s="257"/>
      <c r="AR13" s="257"/>
      <c r="AS13" s="257"/>
      <c r="AT13" s="257"/>
      <c r="AU13" s="257"/>
      <c r="AV13" s="257"/>
      <c r="AW13" s="257"/>
      <c r="AX13" s="257">
        <f>AN13-AW13</f>
        <v>0</v>
      </c>
      <c r="AY13" s="257">
        <f t="shared" si="17"/>
        <v>0</v>
      </c>
      <c r="AZ13" s="257"/>
      <c r="BA13" s="257"/>
      <c r="BB13" s="257"/>
      <c r="BC13" s="257"/>
      <c r="BD13" s="257"/>
      <c r="BE13" s="257">
        <f t="shared" si="18"/>
        <v>-22918</v>
      </c>
      <c r="BF13" s="257">
        <f t="shared" si="19"/>
        <v>0</v>
      </c>
      <c r="BG13" s="257">
        <f t="shared" si="4"/>
        <v>-22918</v>
      </c>
      <c r="BH13" s="257"/>
      <c r="BI13" s="257"/>
      <c r="BJ13" s="257"/>
      <c r="BK13" s="257"/>
      <c r="BL13" s="257"/>
      <c r="BN13" s="123"/>
      <c r="BO13" s="123"/>
      <c r="BP13" s="123"/>
      <c r="BQ13" s="123"/>
      <c r="BR13" s="123"/>
      <c r="BS13" s="123"/>
    </row>
    <row r="14" spans="1:71" s="5" customFormat="1" ht="30" customHeight="1">
      <c r="A14" s="213">
        <f t="shared" si="5"/>
        <v>9</v>
      </c>
      <c r="B14" s="19">
        <v>1322</v>
      </c>
      <c r="C14" s="19" t="s">
        <v>32</v>
      </c>
      <c r="D14" s="257">
        <v>18500000</v>
      </c>
      <c r="E14" s="257">
        <v>18500000</v>
      </c>
      <c r="F14" s="257">
        <f t="shared" si="6"/>
        <v>0</v>
      </c>
      <c r="G14" s="257">
        <v>10850000</v>
      </c>
      <c r="H14" s="257">
        <v>9799391</v>
      </c>
      <c r="I14" s="257"/>
      <c r="J14" s="257"/>
      <c r="K14" s="257">
        <f t="shared" si="7"/>
        <v>0</v>
      </c>
      <c r="L14" s="257">
        <f t="shared" si="8"/>
        <v>9799391</v>
      </c>
      <c r="M14" s="257">
        <f>P14+S14-1000000-50000</f>
        <v>609</v>
      </c>
      <c r="N14" s="257">
        <f>1000000+50000</f>
        <v>1050000</v>
      </c>
      <c r="O14" s="257">
        <f t="shared" si="9"/>
        <v>7650000</v>
      </c>
      <c r="P14" s="257">
        <f t="shared" si="10"/>
        <v>1050609</v>
      </c>
      <c r="Q14" s="257"/>
      <c r="R14" s="257"/>
      <c r="S14" s="257">
        <f t="shared" si="11"/>
        <v>0</v>
      </c>
      <c r="T14" s="257">
        <f t="shared" si="12"/>
        <v>1050000</v>
      </c>
      <c r="U14" s="257">
        <f t="shared" si="13"/>
        <v>0</v>
      </c>
      <c r="V14" s="257">
        <f t="shared" si="14"/>
        <v>0</v>
      </c>
      <c r="W14" s="257"/>
      <c r="X14" s="257"/>
      <c r="Y14" s="257"/>
      <c r="Z14" s="257"/>
      <c r="AA14" s="213"/>
      <c r="AB14" s="19" t="s">
        <v>389</v>
      </c>
      <c r="AC14" s="19">
        <v>742000</v>
      </c>
      <c r="AD14" s="257"/>
      <c r="AE14" s="257"/>
      <c r="AF14" s="257"/>
      <c r="AG14" s="257"/>
      <c r="AH14" s="257"/>
      <c r="AI14" s="257"/>
      <c r="AJ14" s="257">
        <f t="shared" si="0"/>
        <v>0</v>
      </c>
      <c r="AK14" s="257">
        <f t="shared" si="1"/>
        <v>0</v>
      </c>
      <c r="AL14" s="257"/>
      <c r="AM14" s="236"/>
      <c r="AN14" s="257">
        <f t="shared" si="2"/>
        <v>0</v>
      </c>
      <c r="AO14" s="257">
        <f t="shared" si="15"/>
        <v>0</v>
      </c>
      <c r="AP14" s="257"/>
      <c r="AQ14" s="257"/>
      <c r="AR14" s="257"/>
      <c r="AS14" s="257"/>
      <c r="AT14" s="257"/>
      <c r="AU14" s="257"/>
      <c r="AV14" s="257"/>
      <c r="AW14" s="257"/>
      <c r="AX14" s="257">
        <f t="shared" si="16"/>
        <v>0</v>
      </c>
      <c r="AY14" s="257">
        <f t="shared" si="17"/>
        <v>0</v>
      </c>
      <c r="AZ14" s="257"/>
      <c r="BA14" s="257"/>
      <c r="BB14" s="257"/>
      <c r="BC14" s="257"/>
      <c r="BD14" s="257"/>
      <c r="BE14" s="257">
        <f t="shared" si="18"/>
        <v>0</v>
      </c>
      <c r="BF14" s="257">
        <f t="shared" si="19"/>
        <v>0</v>
      </c>
      <c r="BG14" s="257">
        <f t="shared" si="4"/>
        <v>0</v>
      </c>
      <c r="BH14" s="257"/>
      <c r="BI14" s="257"/>
      <c r="BJ14" s="257"/>
      <c r="BK14" s="257"/>
      <c r="BL14" s="257"/>
      <c r="BN14" s="123"/>
      <c r="BO14" s="123"/>
      <c r="BP14" s="123"/>
      <c r="BQ14" s="123"/>
      <c r="BR14" s="123"/>
      <c r="BS14" s="123"/>
    </row>
    <row r="15" spans="1:71" s="5" customFormat="1" ht="30" customHeight="1">
      <c r="A15" s="213">
        <f t="shared" si="5"/>
        <v>10</v>
      </c>
      <c r="B15" s="19">
        <v>1357</v>
      </c>
      <c r="C15" s="19" t="s">
        <v>37</v>
      </c>
      <c r="D15" s="257">
        <v>18812000</v>
      </c>
      <c r="E15" s="257">
        <v>18812000</v>
      </c>
      <c r="F15" s="257">
        <f t="shared" si="6"/>
        <v>0</v>
      </c>
      <c r="G15" s="257">
        <v>18812000</v>
      </c>
      <c r="H15" s="257">
        <v>17954809</v>
      </c>
      <c r="I15" s="257"/>
      <c r="J15" s="257">
        <f>462475-462475</f>
        <v>0</v>
      </c>
      <c r="K15" s="257">
        <f t="shared" si="7"/>
        <v>0</v>
      </c>
      <c r="L15" s="257">
        <f t="shared" si="8"/>
        <v>17954809</v>
      </c>
      <c r="M15" s="257">
        <f>P15+S15-850000</f>
        <v>7191</v>
      </c>
      <c r="N15" s="257">
        <v>850000</v>
      </c>
      <c r="O15" s="257">
        <f t="shared" si="9"/>
        <v>0</v>
      </c>
      <c r="P15" s="257">
        <f t="shared" si="10"/>
        <v>857191</v>
      </c>
      <c r="Q15" s="257"/>
      <c r="R15" s="257"/>
      <c r="S15" s="257">
        <f t="shared" si="11"/>
        <v>0</v>
      </c>
      <c r="T15" s="257">
        <f t="shared" si="12"/>
        <v>850000</v>
      </c>
      <c r="U15" s="257">
        <f t="shared" si="13"/>
        <v>0</v>
      </c>
      <c r="V15" s="257">
        <f t="shared" si="14"/>
        <v>0</v>
      </c>
      <c r="W15" s="257"/>
      <c r="X15" s="257"/>
      <c r="Y15" s="257"/>
      <c r="Z15" s="257"/>
      <c r="AA15" s="213"/>
      <c r="AB15" s="19" t="s">
        <v>952</v>
      </c>
      <c r="AC15" s="19">
        <v>829000</v>
      </c>
      <c r="AD15" s="257"/>
      <c r="AE15" s="257"/>
      <c r="AF15" s="257"/>
      <c r="AG15" s="257"/>
      <c r="AH15" s="257"/>
      <c r="AI15" s="257"/>
      <c r="AJ15" s="257">
        <f t="shared" si="0"/>
        <v>0</v>
      </c>
      <c r="AK15" s="257">
        <f t="shared" si="1"/>
        <v>0</v>
      </c>
      <c r="AL15" s="257"/>
      <c r="AM15" s="236"/>
      <c r="AN15" s="257">
        <f t="shared" si="2"/>
        <v>0</v>
      </c>
      <c r="AO15" s="257">
        <f t="shared" si="15"/>
        <v>0</v>
      </c>
      <c r="AP15" s="257"/>
      <c r="AQ15" s="257"/>
      <c r="AR15" s="257"/>
      <c r="AS15" s="257"/>
      <c r="AT15" s="257"/>
      <c r="AU15" s="257"/>
      <c r="AV15" s="257"/>
      <c r="AW15" s="257"/>
      <c r="AX15" s="257">
        <f>AN15-AW15</f>
        <v>0</v>
      </c>
      <c r="AY15" s="257">
        <f t="shared" si="17"/>
        <v>0</v>
      </c>
      <c r="AZ15" s="257"/>
      <c r="BA15" s="257"/>
      <c r="BB15" s="257"/>
      <c r="BC15" s="257"/>
      <c r="BD15" s="257"/>
      <c r="BE15" s="257">
        <f t="shared" si="18"/>
        <v>0</v>
      </c>
      <c r="BF15" s="257">
        <f t="shared" si="19"/>
        <v>0</v>
      </c>
      <c r="BG15" s="257">
        <f t="shared" si="4"/>
        <v>0</v>
      </c>
      <c r="BH15" s="257"/>
      <c r="BI15" s="257"/>
      <c r="BJ15" s="257"/>
      <c r="BK15" s="257"/>
      <c r="BL15" s="257"/>
      <c r="BN15" s="123"/>
      <c r="BO15" s="123"/>
      <c r="BP15" s="123"/>
      <c r="BQ15" s="123"/>
      <c r="BR15" s="123"/>
      <c r="BS15" s="123"/>
    </row>
    <row r="16" spans="1:71" s="126" customFormat="1" ht="30" customHeight="1">
      <c r="A16" s="213">
        <f t="shared" si="5"/>
        <v>11</v>
      </c>
      <c r="B16" s="213">
        <v>1375</v>
      </c>
      <c r="C16" s="213" t="s">
        <v>265</v>
      </c>
      <c r="D16" s="257">
        <f>40150000+2000000</f>
        <v>42150000</v>
      </c>
      <c r="E16" s="257">
        <v>40150000</v>
      </c>
      <c r="F16" s="257">
        <f t="shared" si="6"/>
        <v>2000000</v>
      </c>
      <c r="G16" s="257">
        <v>30150000</v>
      </c>
      <c r="H16" s="257">
        <v>30140054</v>
      </c>
      <c r="I16" s="257"/>
      <c r="J16" s="257">
        <f>128941-128941</f>
        <v>0</v>
      </c>
      <c r="K16" s="257">
        <f t="shared" si="7"/>
        <v>0</v>
      </c>
      <c r="L16" s="257">
        <f t="shared" si="8"/>
        <v>30140054</v>
      </c>
      <c r="M16" s="257">
        <f>P16+S16</f>
        <v>9946</v>
      </c>
      <c r="N16" s="257">
        <f>12000000-12000000</f>
        <v>0</v>
      </c>
      <c r="O16" s="257">
        <f t="shared" si="9"/>
        <v>12000000</v>
      </c>
      <c r="P16" s="257">
        <f t="shared" si="10"/>
        <v>9946</v>
      </c>
      <c r="Q16" s="257"/>
      <c r="R16" s="257"/>
      <c r="S16" s="257">
        <f t="shared" si="11"/>
        <v>0</v>
      </c>
      <c r="T16" s="257">
        <f t="shared" si="12"/>
        <v>0</v>
      </c>
      <c r="U16" s="257">
        <f t="shared" si="13"/>
        <v>0</v>
      </c>
      <c r="V16" s="257">
        <f t="shared" si="14"/>
        <v>0</v>
      </c>
      <c r="W16" s="257"/>
      <c r="X16" s="257"/>
      <c r="Y16" s="257"/>
      <c r="Z16" s="257"/>
      <c r="AA16" s="213"/>
      <c r="AB16" s="213" t="s">
        <v>550</v>
      </c>
      <c r="AC16" s="213">
        <v>747000</v>
      </c>
      <c r="AD16" s="257"/>
      <c r="AE16" s="257"/>
      <c r="AF16" s="257"/>
      <c r="AG16" s="257"/>
      <c r="AH16" s="257"/>
      <c r="AI16" s="257"/>
      <c r="AJ16" s="257">
        <f t="shared" si="0"/>
        <v>0</v>
      </c>
      <c r="AK16" s="257">
        <f t="shared" si="1"/>
        <v>0</v>
      </c>
      <c r="AL16" s="257"/>
      <c r="AM16" s="236"/>
      <c r="AN16" s="257">
        <f t="shared" si="2"/>
        <v>0</v>
      </c>
      <c r="AO16" s="257">
        <f t="shared" si="15"/>
        <v>0</v>
      </c>
      <c r="AP16" s="257"/>
      <c r="AQ16" s="257"/>
      <c r="AR16" s="257"/>
      <c r="AS16" s="257"/>
      <c r="AT16" s="257"/>
      <c r="AU16" s="257"/>
      <c r="AV16" s="257"/>
      <c r="AW16" s="257"/>
      <c r="AX16" s="257">
        <f t="shared" si="16"/>
        <v>0</v>
      </c>
      <c r="AY16" s="257">
        <f t="shared" si="17"/>
        <v>0</v>
      </c>
      <c r="AZ16" s="257"/>
      <c r="BA16" s="257"/>
      <c r="BB16" s="257"/>
      <c r="BC16" s="257"/>
      <c r="BD16" s="257"/>
      <c r="BE16" s="257">
        <f t="shared" si="18"/>
        <v>0</v>
      </c>
      <c r="BF16" s="257">
        <f t="shared" si="19"/>
        <v>0</v>
      </c>
      <c r="BG16" s="257">
        <f t="shared" si="4"/>
        <v>0</v>
      </c>
      <c r="BH16" s="257"/>
      <c r="BI16" s="257"/>
      <c r="BJ16" s="257"/>
      <c r="BK16" s="257"/>
      <c r="BL16" s="257"/>
      <c r="BN16" s="123"/>
      <c r="BO16" s="123"/>
      <c r="BP16" s="123"/>
      <c r="BQ16" s="123"/>
      <c r="BR16" s="123"/>
      <c r="BS16" s="123"/>
    </row>
    <row r="17" spans="1:71" s="126" customFormat="1" ht="30" customHeight="1">
      <c r="A17" s="213">
        <f t="shared" si="5"/>
        <v>12</v>
      </c>
      <c r="B17" s="213">
        <v>1588</v>
      </c>
      <c r="C17" s="213" t="s">
        <v>24</v>
      </c>
      <c r="D17" s="257">
        <f>50500000+3000000</f>
        <v>53500000</v>
      </c>
      <c r="E17" s="257">
        <v>50500000</v>
      </c>
      <c r="F17" s="257">
        <f t="shared" si="6"/>
        <v>3000000</v>
      </c>
      <c r="G17" s="257">
        <v>45500000</v>
      </c>
      <c r="H17" s="257">
        <v>40127873</v>
      </c>
      <c r="I17" s="257"/>
      <c r="J17" s="257">
        <f>768552-768552</f>
        <v>0</v>
      </c>
      <c r="K17" s="257">
        <f t="shared" si="7"/>
        <v>0</v>
      </c>
      <c r="L17" s="257">
        <f t="shared" si="8"/>
        <v>40127873</v>
      </c>
      <c r="M17" s="257">
        <f>P17+S17-5000000+1000000-1370000</f>
        <v>2127</v>
      </c>
      <c r="N17" s="257">
        <f>5000000+5000000-1000000+1370000-3000000-500000</f>
        <v>6870000</v>
      </c>
      <c r="O17" s="257">
        <f t="shared" si="9"/>
        <v>6500000</v>
      </c>
      <c r="P17" s="257">
        <f t="shared" si="10"/>
        <v>5372127</v>
      </c>
      <c r="Q17" s="257"/>
      <c r="R17" s="257"/>
      <c r="S17" s="257">
        <f t="shared" si="11"/>
        <v>0</v>
      </c>
      <c r="T17" s="257">
        <f t="shared" si="12"/>
        <v>5370000</v>
      </c>
      <c r="U17" s="257">
        <f t="shared" si="13"/>
        <v>1500000</v>
      </c>
      <c r="V17" s="257">
        <f t="shared" si="14"/>
        <v>-2962592</v>
      </c>
      <c r="W17" s="257"/>
      <c r="X17" s="257"/>
      <c r="Y17" s="257"/>
      <c r="Z17" s="257"/>
      <c r="AA17" s="257">
        <v>4462592</v>
      </c>
      <c r="AB17" s="213" t="s">
        <v>699</v>
      </c>
      <c r="AC17" s="213">
        <v>742000</v>
      </c>
      <c r="AD17" s="760"/>
      <c r="AE17" s="257"/>
      <c r="AF17" s="257"/>
      <c r="AG17" s="257"/>
      <c r="AH17" s="257"/>
      <c r="AI17" s="257"/>
      <c r="AJ17" s="257">
        <f t="shared" si="0"/>
        <v>0</v>
      </c>
      <c r="AK17" s="257">
        <f t="shared" si="1"/>
        <v>1500000</v>
      </c>
      <c r="AL17" s="257"/>
      <c r="AM17" s="236"/>
      <c r="AN17" s="257">
        <f t="shared" si="2"/>
        <v>1500000</v>
      </c>
      <c r="AO17" s="257">
        <f t="shared" si="15"/>
        <v>0</v>
      </c>
      <c r="AP17" s="257"/>
      <c r="AQ17" s="257"/>
      <c r="AR17" s="257"/>
      <c r="AS17" s="257"/>
      <c r="AT17" s="257">
        <v>1500000</v>
      </c>
      <c r="AU17" s="257"/>
      <c r="AV17" s="257"/>
      <c r="AW17" s="257"/>
      <c r="AX17" s="257">
        <f t="shared" si="16"/>
        <v>1500000</v>
      </c>
      <c r="AY17" s="257">
        <f t="shared" si="17"/>
        <v>0</v>
      </c>
      <c r="AZ17" s="257"/>
      <c r="BA17" s="257"/>
      <c r="BB17" s="257"/>
      <c r="BC17" s="257"/>
      <c r="BD17" s="257">
        <v>1500000</v>
      </c>
      <c r="BE17" s="257">
        <f t="shared" si="18"/>
        <v>1500000</v>
      </c>
      <c r="BF17" s="257">
        <f t="shared" si="19"/>
        <v>0</v>
      </c>
      <c r="BG17" s="257">
        <f t="shared" si="4"/>
        <v>-2962592</v>
      </c>
      <c r="BH17" s="257"/>
      <c r="BI17" s="257"/>
      <c r="BJ17" s="257"/>
      <c r="BK17" s="257"/>
      <c r="BL17" s="257">
        <v>4462592</v>
      </c>
      <c r="BN17" s="123"/>
      <c r="BO17" s="123"/>
      <c r="BP17" s="123"/>
      <c r="BQ17" s="123"/>
      <c r="BR17" s="123"/>
      <c r="BS17" s="123"/>
    </row>
    <row r="18" spans="1:71" s="126" customFormat="1" ht="30" customHeight="1">
      <c r="A18" s="213">
        <f t="shared" si="5"/>
        <v>13</v>
      </c>
      <c r="B18" s="213">
        <v>1615</v>
      </c>
      <c r="C18" s="213" t="s">
        <v>83</v>
      </c>
      <c r="D18" s="257">
        <v>27700000</v>
      </c>
      <c r="E18" s="257">
        <v>27700000</v>
      </c>
      <c r="F18" s="257">
        <f t="shared" si="6"/>
        <v>0</v>
      </c>
      <c r="G18" s="257">
        <v>23700000</v>
      </c>
      <c r="H18" s="257">
        <v>22547620</v>
      </c>
      <c r="I18" s="257"/>
      <c r="J18" s="257">
        <f>405629-405629</f>
        <v>0</v>
      </c>
      <c r="K18" s="257">
        <f t="shared" si="7"/>
        <v>0</v>
      </c>
      <c r="L18" s="257">
        <f t="shared" si="8"/>
        <v>22547620</v>
      </c>
      <c r="M18" s="257">
        <f>P18+S18-1100000-50000</f>
        <v>2380</v>
      </c>
      <c r="N18" s="257">
        <f>100000+50000</f>
        <v>150000</v>
      </c>
      <c r="O18" s="257">
        <f t="shared" si="9"/>
        <v>5000000</v>
      </c>
      <c r="P18" s="257">
        <f t="shared" si="10"/>
        <v>1152380</v>
      </c>
      <c r="Q18" s="257"/>
      <c r="R18" s="257"/>
      <c r="S18" s="257">
        <f t="shared" si="11"/>
        <v>0</v>
      </c>
      <c r="T18" s="257">
        <f t="shared" si="12"/>
        <v>1150000</v>
      </c>
      <c r="U18" s="257">
        <f t="shared" si="13"/>
        <v>-1000000</v>
      </c>
      <c r="V18" s="257">
        <f t="shared" si="14"/>
        <v>-1000000</v>
      </c>
      <c r="W18" s="257"/>
      <c r="X18" s="257"/>
      <c r="Y18" s="257"/>
      <c r="Z18" s="257"/>
      <c r="AA18" s="213"/>
      <c r="AB18" s="213" t="s">
        <v>661</v>
      </c>
      <c r="AC18" s="213">
        <v>742000</v>
      </c>
      <c r="AD18" s="257">
        <v>-1000000</v>
      </c>
      <c r="AE18" s="257"/>
      <c r="AF18" s="257"/>
      <c r="AG18" s="257"/>
      <c r="AH18" s="257"/>
      <c r="AI18" s="257"/>
      <c r="AJ18" s="257">
        <f t="shared" si="0"/>
        <v>-1000000</v>
      </c>
      <c r="AK18" s="257">
        <f t="shared" si="1"/>
        <v>0</v>
      </c>
      <c r="AL18" s="257"/>
      <c r="AM18" s="236"/>
      <c r="AN18" s="257">
        <f t="shared" si="2"/>
        <v>0</v>
      </c>
      <c r="AO18" s="257">
        <f t="shared" si="15"/>
        <v>0</v>
      </c>
      <c r="AP18" s="257"/>
      <c r="AQ18" s="257"/>
      <c r="AR18" s="257"/>
      <c r="AS18" s="257"/>
      <c r="AT18" s="257"/>
      <c r="AU18" s="257"/>
      <c r="AV18" s="257"/>
      <c r="AW18" s="257"/>
      <c r="AX18" s="257">
        <f>AN18-AW18</f>
        <v>0</v>
      </c>
      <c r="AY18" s="257">
        <f t="shared" si="17"/>
        <v>0</v>
      </c>
      <c r="AZ18" s="257"/>
      <c r="BA18" s="257"/>
      <c r="BB18" s="257"/>
      <c r="BC18" s="257"/>
      <c r="BD18" s="257"/>
      <c r="BE18" s="257">
        <f t="shared" si="18"/>
        <v>-1000000</v>
      </c>
      <c r="BF18" s="257">
        <f t="shared" si="19"/>
        <v>0</v>
      </c>
      <c r="BG18" s="257">
        <f t="shared" si="4"/>
        <v>-1000000</v>
      </c>
      <c r="BH18" s="257"/>
      <c r="BI18" s="257"/>
      <c r="BJ18" s="257"/>
      <c r="BK18" s="257"/>
      <c r="BL18" s="257"/>
      <c r="BN18" s="123"/>
      <c r="BO18" s="123"/>
      <c r="BP18" s="123"/>
      <c r="BQ18" s="123"/>
      <c r="BR18" s="123"/>
      <c r="BS18" s="123"/>
    </row>
    <row r="19" spans="1:71" s="5" customFormat="1" ht="30" customHeight="1">
      <c r="A19" s="213">
        <f t="shared" si="5"/>
        <v>14</v>
      </c>
      <c r="B19" s="19">
        <v>1620</v>
      </c>
      <c r="C19" s="19" t="s">
        <v>694</v>
      </c>
      <c r="D19" s="495">
        <v>4200000</v>
      </c>
      <c r="E19" s="495">
        <v>4200000</v>
      </c>
      <c r="F19" s="495">
        <f t="shared" si="6"/>
        <v>0</v>
      </c>
      <c r="G19" s="495">
        <v>100000</v>
      </c>
      <c r="H19" s="495"/>
      <c r="I19" s="495"/>
      <c r="J19" s="495"/>
      <c r="K19" s="495">
        <f>SUM(I19:J19)</f>
        <v>0</v>
      </c>
      <c r="L19" s="495">
        <f>H19+K19</f>
        <v>0</v>
      </c>
      <c r="M19" s="495">
        <f>P19+S19-200000</f>
        <v>0</v>
      </c>
      <c r="N19" s="495">
        <f>1500000-750000-750000+200000</f>
        <v>200000</v>
      </c>
      <c r="O19" s="495">
        <f t="shared" si="9"/>
        <v>4000000</v>
      </c>
      <c r="P19" s="495">
        <f t="shared" si="10"/>
        <v>100000</v>
      </c>
      <c r="Q19" s="495">
        <v>100000</v>
      </c>
      <c r="R19" s="495"/>
      <c r="S19" s="495">
        <f t="shared" si="11"/>
        <v>100000</v>
      </c>
      <c r="T19" s="495">
        <f t="shared" si="12"/>
        <v>200000</v>
      </c>
      <c r="U19" s="495">
        <f t="shared" si="13"/>
        <v>0</v>
      </c>
      <c r="V19" s="495">
        <f>U19-AA19-W19-Z19-Y19-X19</f>
        <v>0</v>
      </c>
      <c r="W19" s="495"/>
      <c r="X19" s="495"/>
      <c r="Y19" s="495"/>
      <c r="Z19" s="495"/>
      <c r="AA19" s="19"/>
      <c r="AB19" s="19" t="s">
        <v>1359</v>
      </c>
      <c r="AC19" s="19">
        <v>732000</v>
      </c>
      <c r="AD19" s="257"/>
      <c r="AE19" s="257"/>
      <c r="AF19" s="257"/>
      <c r="AG19" s="257"/>
      <c r="AH19" s="257"/>
      <c r="AI19" s="257"/>
      <c r="AJ19" s="257">
        <f t="shared" si="0"/>
        <v>0</v>
      </c>
      <c r="AK19" s="257">
        <f t="shared" si="1"/>
        <v>0</v>
      </c>
      <c r="AL19" s="257"/>
      <c r="AM19" s="236"/>
      <c r="AN19" s="257">
        <f t="shared" si="2"/>
        <v>0</v>
      </c>
      <c r="AO19" s="257">
        <f t="shared" si="15"/>
        <v>0</v>
      </c>
      <c r="AP19" s="257"/>
      <c r="AQ19" s="257"/>
      <c r="AR19" s="257"/>
      <c r="AS19" s="257"/>
      <c r="AT19" s="257"/>
      <c r="AU19" s="257">
        <v>300000</v>
      </c>
      <c r="AV19" s="257"/>
      <c r="AW19" s="257"/>
      <c r="AX19" s="257">
        <f t="shared" si="16"/>
        <v>0</v>
      </c>
      <c r="AY19" s="257">
        <f t="shared" si="17"/>
        <v>0</v>
      </c>
      <c r="AZ19" s="257"/>
      <c r="BA19" s="257"/>
      <c r="BB19" s="257"/>
      <c r="BC19" s="257"/>
      <c r="BD19" s="257"/>
      <c r="BE19" s="257">
        <f t="shared" si="18"/>
        <v>0</v>
      </c>
      <c r="BF19" s="257">
        <f t="shared" si="19"/>
        <v>0</v>
      </c>
      <c r="BG19" s="257">
        <f t="shared" si="4"/>
        <v>0</v>
      </c>
      <c r="BH19" s="257"/>
      <c r="BI19" s="257"/>
      <c r="BJ19" s="257"/>
      <c r="BK19" s="257"/>
      <c r="BL19" s="257"/>
      <c r="BN19" s="123"/>
      <c r="BO19" s="123"/>
      <c r="BP19" s="123"/>
      <c r="BQ19" s="123"/>
      <c r="BR19" s="123"/>
      <c r="BS19" s="123"/>
    </row>
    <row r="20" spans="1:71" s="126" customFormat="1" ht="30" customHeight="1">
      <c r="A20" s="213">
        <f t="shared" si="5"/>
        <v>15</v>
      </c>
      <c r="B20" s="213">
        <v>1657</v>
      </c>
      <c r="C20" s="213" t="s">
        <v>25</v>
      </c>
      <c r="D20" s="495">
        <f>60000000+5000000</f>
        <v>65000000</v>
      </c>
      <c r="E20" s="257">
        <v>60000000</v>
      </c>
      <c r="F20" s="257">
        <f t="shared" si="6"/>
        <v>5000000</v>
      </c>
      <c r="G20" s="257">
        <v>41519789</v>
      </c>
      <c r="H20" s="257">
        <v>53294967</v>
      </c>
      <c r="I20" s="257"/>
      <c r="J20" s="257">
        <f>478613-478613</f>
        <v>0</v>
      </c>
      <c r="K20" s="257">
        <f t="shared" si="7"/>
        <v>0</v>
      </c>
      <c r="L20" s="257">
        <f t="shared" si="8"/>
        <v>53294967</v>
      </c>
      <c r="M20" s="257">
        <f>P20+S20-1220000</f>
        <v>4822</v>
      </c>
      <c r="N20" s="495">
        <v>1220000</v>
      </c>
      <c r="O20" s="257">
        <f t="shared" si="9"/>
        <v>10480211</v>
      </c>
      <c r="P20" s="257">
        <f t="shared" si="10"/>
        <v>-11775178</v>
      </c>
      <c r="Q20" s="257">
        <v>13000000</v>
      </c>
      <c r="R20" s="257"/>
      <c r="S20" s="257">
        <f t="shared" si="11"/>
        <v>13000000</v>
      </c>
      <c r="T20" s="257">
        <f t="shared" si="12"/>
        <v>1220000</v>
      </c>
      <c r="U20" s="257">
        <f t="shared" si="13"/>
        <v>0</v>
      </c>
      <c r="V20" s="257">
        <f t="shared" si="14"/>
        <v>0</v>
      </c>
      <c r="W20" s="257"/>
      <c r="X20" s="257"/>
      <c r="Y20" s="257"/>
      <c r="Z20" s="257"/>
      <c r="AA20" s="213"/>
      <c r="AB20" s="19" t="s">
        <v>953</v>
      </c>
      <c r="AC20" s="213">
        <v>742000</v>
      </c>
      <c r="AD20" s="257"/>
      <c r="AE20" s="257"/>
      <c r="AF20" s="257"/>
      <c r="AG20" s="257"/>
      <c r="AH20" s="257"/>
      <c r="AI20" s="257"/>
      <c r="AJ20" s="257">
        <f t="shared" si="0"/>
        <v>0</v>
      </c>
      <c r="AK20" s="257">
        <f t="shared" si="1"/>
        <v>0</v>
      </c>
      <c r="AL20" s="257"/>
      <c r="AM20" s="236"/>
      <c r="AN20" s="257">
        <f t="shared" si="2"/>
        <v>0</v>
      </c>
      <c r="AO20" s="257">
        <f t="shared" si="15"/>
        <v>0</v>
      </c>
      <c r="AP20" s="257"/>
      <c r="AQ20" s="257"/>
      <c r="AR20" s="257"/>
      <c r="AS20" s="257"/>
      <c r="AT20" s="257"/>
      <c r="AU20" s="257"/>
      <c r="AV20" s="257"/>
      <c r="AW20" s="257"/>
      <c r="AX20" s="257">
        <f t="shared" si="16"/>
        <v>0</v>
      </c>
      <c r="AY20" s="257">
        <f t="shared" si="17"/>
        <v>0</v>
      </c>
      <c r="AZ20" s="257"/>
      <c r="BA20" s="257"/>
      <c r="BB20" s="257"/>
      <c r="BC20" s="257"/>
      <c r="BD20" s="257"/>
      <c r="BE20" s="257">
        <f t="shared" si="18"/>
        <v>0</v>
      </c>
      <c r="BF20" s="257">
        <f t="shared" si="19"/>
        <v>0</v>
      </c>
      <c r="BG20" s="257">
        <f t="shared" si="4"/>
        <v>0</v>
      </c>
      <c r="BH20" s="257"/>
      <c r="BI20" s="257"/>
      <c r="BJ20" s="257"/>
      <c r="BK20" s="257"/>
      <c r="BL20" s="257"/>
      <c r="BN20" s="123"/>
      <c r="BO20" s="123"/>
      <c r="BP20" s="123"/>
      <c r="BQ20" s="123"/>
      <c r="BR20" s="123"/>
      <c r="BS20" s="123"/>
    </row>
    <row r="21" spans="1:71" s="5" customFormat="1" ht="30" customHeight="1">
      <c r="A21" s="213">
        <f t="shared" si="5"/>
        <v>16</v>
      </c>
      <c r="B21" s="19">
        <v>1670</v>
      </c>
      <c r="C21" s="19" t="s">
        <v>78</v>
      </c>
      <c r="D21" s="257">
        <f>17800000+19900000</f>
        <v>37700000</v>
      </c>
      <c r="E21" s="257">
        <v>17800000</v>
      </c>
      <c r="F21" s="257">
        <f t="shared" si="6"/>
        <v>19900000</v>
      </c>
      <c r="G21" s="257">
        <v>6050000</v>
      </c>
      <c r="H21" s="257">
        <v>5792275</v>
      </c>
      <c r="I21" s="257"/>
      <c r="J21" s="257">
        <v>17295</v>
      </c>
      <c r="K21" s="257">
        <f t="shared" si="7"/>
        <v>17295</v>
      </c>
      <c r="L21" s="257">
        <f t="shared" si="8"/>
        <v>5809570</v>
      </c>
      <c r="M21" s="257">
        <f>P21+S21-240000</f>
        <v>430</v>
      </c>
      <c r="N21" s="257">
        <f>15000000-5000000-3000000+240000-2000000</f>
        <v>5240000</v>
      </c>
      <c r="O21" s="257">
        <f t="shared" si="9"/>
        <v>26650000</v>
      </c>
      <c r="P21" s="257">
        <f t="shared" si="10"/>
        <v>240430</v>
      </c>
      <c r="Q21" s="257"/>
      <c r="R21" s="257"/>
      <c r="S21" s="257">
        <f t="shared" si="11"/>
        <v>0</v>
      </c>
      <c r="T21" s="257">
        <f t="shared" si="12"/>
        <v>240000</v>
      </c>
      <c r="U21" s="257">
        <f t="shared" si="13"/>
        <v>5000000</v>
      </c>
      <c r="V21" s="257">
        <f t="shared" si="14"/>
        <v>5000000</v>
      </c>
      <c r="W21" s="257"/>
      <c r="X21" s="257"/>
      <c r="Y21" s="257"/>
      <c r="Z21" s="257"/>
      <c r="AA21" s="213"/>
      <c r="AB21" s="19" t="s">
        <v>954</v>
      </c>
      <c r="AC21" s="19">
        <v>742000</v>
      </c>
      <c r="AD21" s="257"/>
      <c r="AE21" s="257"/>
      <c r="AF21" s="257">
        <v>1000000</v>
      </c>
      <c r="AG21" s="257"/>
      <c r="AH21" s="760">
        <f>100000-100000</f>
        <v>0</v>
      </c>
      <c r="AI21" s="257"/>
      <c r="AJ21" s="257">
        <f t="shared" si="0"/>
        <v>1000000</v>
      </c>
      <c r="AK21" s="236">
        <f t="shared" si="1"/>
        <v>4000000</v>
      </c>
      <c r="AL21" s="257"/>
      <c r="AM21" s="236">
        <v>-4000000</v>
      </c>
      <c r="AN21" s="257">
        <f t="shared" si="2"/>
        <v>0</v>
      </c>
      <c r="AO21" s="257">
        <f t="shared" si="15"/>
        <v>0</v>
      </c>
      <c r="AP21" s="257"/>
      <c r="AQ21" s="257"/>
      <c r="AR21" s="257"/>
      <c r="AS21" s="257"/>
      <c r="AT21" s="257"/>
      <c r="AU21" s="257"/>
      <c r="AV21" s="257"/>
      <c r="AW21" s="257"/>
      <c r="AX21" s="257">
        <f>AN21-AW21</f>
        <v>0</v>
      </c>
      <c r="AY21" s="257">
        <f t="shared" si="17"/>
        <v>0</v>
      </c>
      <c r="AZ21" s="257"/>
      <c r="BA21" s="257"/>
      <c r="BB21" s="257"/>
      <c r="BC21" s="257"/>
      <c r="BD21" s="257"/>
      <c r="BE21" s="257">
        <f t="shared" si="18"/>
        <v>1000000</v>
      </c>
      <c r="BF21" s="257">
        <f t="shared" si="19"/>
        <v>4000000</v>
      </c>
      <c r="BG21" s="257">
        <f t="shared" si="4"/>
        <v>1000000</v>
      </c>
      <c r="BH21" s="257"/>
      <c r="BI21" s="257"/>
      <c r="BJ21" s="257"/>
      <c r="BK21" s="257"/>
      <c r="BL21" s="257"/>
      <c r="BN21" s="123"/>
      <c r="BO21" s="123"/>
      <c r="BP21" s="123"/>
      <c r="BQ21" s="123"/>
      <c r="BR21" s="123"/>
      <c r="BS21" s="123"/>
    </row>
    <row r="22" spans="1:71" s="5" customFormat="1" ht="30" customHeight="1">
      <c r="A22" s="213">
        <f t="shared" si="5"/>
        <v>17</v>
      </c>
      <c r="B22" s="19">
        <v>1693</v>
      </c>
      <c r="C22" s="19" t="s">
        <v>85</v>
      </c>
      <c r="D22" s="257">
        <v>4500000</v>
      </c>
      <c r="E22" s="257">
        <v>4500000</v>
      </c>
      <c r="F22" s="257">
        <f t="shared" si="6"/>
        <v>0</v>
      </c>
      <c r="G22" s="257">
        <v>2416703</v>
      </c>
      <c r="H22" s="257">
        <v>708955</v>
      </c>
      <c r="I22" s="257">
        <f>449944</f>
        <v>449944</v>
      </c>
      <c r="J22" s="257">
        <v>166720</v>
      </c>
      <c r="K22" s="257">
        <f t="shared" si="7"/>
        <v>616664</v>
      </c>
      <c r="L22" s="257">
        <f t="shared" si="8"/>
        <v>1325619</v>
      </c>
      <c r="M22" s="257">
        <f>P22+S22-700000-390000</f>
        <v>1084</v>
      </c>
      <c r="N22" s="257">
        <f>700000+390000</f>
        <v>1090000</v>
      </c>
      <c r="O22" s="257">
        <f t="shared" si="9"/>
        <v>2083297</v>
      </c>
      <c r="P22" s="257">
        <f t="shared" si="10"/>
        <v>1091084</v>
      </c>
      <c r="Q22" s="257"/>
      <c r="R22" s="257"/>
      <c r="S22" s="257">
        <f t="shared" si="11"/>
        <v>0</v>
      </c>
      <c r="T22" s="257">
        <f t="shared" si="12"/>
        <v>1090000</v>
      </c>
      <c r="U22" s="257">
        <f t="shared" si="13"/>
        <v>0</v>
      </c>
      <c r="V22" s="257">
        <f t="shared" si="14"/>
        <v>0</v>
      </c>
      <c r="W22" s="257"/>
      <c r="X22" s="257"/>
      <c r="Y22" s="257"/>
      <c r="Z22" s="257"/>
      <c r="AA22" s="213"/>
      <c r="AB22" s="19" t="s">
        <v>1360</v>
      </c>
      <c r="AC22" s="19">
        <v>732000</v>
      </c>
      <c r="AD22" s="257"/>
      <c r="AE22" s="257"/>
      <c r="AF22" s="257"/>
      <c r="AG22" s="257"/>
      <c r="AH22" s="257"/>
      <c r="AI22" s="257"/>
      <c r="AJ22" s="257">
        <f t="shared" si="0"/>
        <v>0</v>
      </c>
      <c r="AK22" s="257">
        <f t="shared" si="1"/>
        <v>0</v>
      </c>
      <c r="AL22" s="257"/>
      <c r="AM22" s="236"/>
      <c r="AN22" s="257">
        <f t="shared" si="2"/>
        <v>0</v>
      </c>
      <c r="AO22" s="257">
        <f t="shared" si="15"/>
        <v>0</v>
      </c>
      <c r="AP22" s="257"/>
      <c r="AQ22" s="257"/>
      <c r="AR22" s="257"/>
      <c r="AS22" s="257"/>
      <c r="AT22" s="257"/>
      <c r="AU22" s="257"/>
      <c r="AV22" s="257"/>
      <c r="AW22" s="257"/>
      <c r="AX22" s="257">
        <f>AN22-AW22</f>
        <v>0</v>
      </c>
      <c r="AY22" s="257">
        <f t="shared" si="17"/>
        <v>0</v>
      </c>
      <c r="AZ22" s="257"/>
      <c r="BA22" s="257"/>
      <c r="BB22" s="257"/>
      <c r="BC22" s="257"/>
      <c r="BD22" s="257"/>
      <c r="BE22" s="257">
        <f t="shared" si="18"/>
        <v>0</v>
      </c>
      <c r="BF22" s="257">
        <f t="shared" si="19"/>
        <v>0</v>
      </c>
      <c r="BG22" s="257">
        <f t="shared" si="4"/>
        <v>0</v>
      </c>
      <c r="BH22" s="257"/>
      <c r="BI22" s="257"/>
      <c r="BJ22" s="257"/>
      <c r="BK22" s="257"/>
      <c r="BL22" s="257"/>
      <c r="BN22" s="123"/>
      <c r="BO22" s="123"/>
      <c r="BP22" s="123"/>
      <c r="BQ22" s="123"/>
      <c r="BR22" s="123"/>
      <c r="BS22" s="123"/>
    </row>
    <row r="23" spans="1:71" s="126" customFormat="1" ht="30" customHeight="1">
      <c r="A23" s="213">
        <f t="shared" si="5"/>
        <v>18</v>
      </c>
      <c r="B23" s="213">
        <v>1723</v>
      </c>
      <c r="C23" s="213" t="s">
        <v>26</v>
      </c>
      <c r="D23" s="257">
        <v>1978521</v>
      </c>
      <c r="E23" s="257">
        <v>1978521</v>
      </c>
      <c r="F23" s="257">
        <f t="shared" si="6"/>
        <v>0</v>
      </c>
      <c r="G23" s="257">
        <v>1978521</v>
      </c>
      <c r="H23" s="257">
        <v>1651128</v>
      </c>
      <c r="I23" s="257"/>
      <c r="J23" s="257">
        <f>94349-94349</f>
        <v>0</v>
      </c>
      <c r="K23" s="257">
        <f t="shared" si="7"/>
        <v>0</v>
      </c>
      <c r="L23" s="257">
        <f t="shared" si="8"/>
        <v>1651128</v>
      </c>
      <c r="M23" s="257">
        <f>P23+S23-320000</f>
        <v>7393</v>
      </c>
      <c r="N23" s="257">
        <v>120000</v>
      </c>
      <c r="O23" s="257">
        <f t="shared" si="9"/>
        <v>200000</v>
      </c>
      <c r="P23" s="257">
        <f t="shared" si="10"/>
        <v>327393</v>
      </c>
      <c r="Q23" s="257"/>
      <c r="R23" s="257"/>
      <c r="S23" s="257">
        <f t="shared" si="11"/>
        <v>0</v>
      </c>
      <c r="T23" s="257">
        <f t="shared" si="12"/>
        <v>320000</v>
      </c>
      <c r="U23" s="257">
        <f t="shared" si="13"/>
        <v>-200000</v>
      </c>
      <c r="V23" s="257">
        <f t="shared" si="14"/>
        <v>-200000</v>
      </c>
      <c r="W23" s="257"/>
      <c r="X23" s="257"/>
      <c r="Y23" s="257"/>
      <c r="Z23" s="257"/>
      <c r="AA23" s="213"/>
      <c r="AB23" s="213" t="s">
        <v>658</v>
      </c>
      <c r="AC23" s="213">
        <v>732000</v>
      </c>
      <c r="AD23" s="257">
        <v>-200000</v>
      </c>
      <c r="AE23" s="257"/>
      <c r="AF23" s="257"/>
      <c r="AG23" s="257"/>
      <c r="AH23" s="257"/>
      <c r="AI23" s="257"/>
      <c r="AJ23" s="257">
        <f t="shared" si="0"/>
        <v>-200000</v>
      </c>
      <c r="AK23" s="257">
        <f t="shared" si="1"/>
        <v>0</v>
      </c>
      <c r="AL23" s="257"/>
      <c r="AM23" s="236"/>
      <c r="AN23" s="257">
        <f t="shared" si="2"/>
        <v>0</v>
      </c>
      <c r="AO23" s="257">
        <f t="shared" si="15"/>
        <v>0</v>
      </c>
      <c r="AP23" s="257"/>
      <c r="AQ23" s="257"/>
      <c r="AR23" s="257"/>
      <c r="AS23" s="257"/>
      <c r="AT23" s="257"/>
      <c r="AU23" s="257"/>
      <c r="AV23" s="257"/>
      <c r="AW23" s="257"/>
      <c r="AX23" s="257">
        <f t="shared" ref="AX23:AX27" si="20">AN23-AW23</f>
        <v>0</v>
      </c>
      <c r="AY23" s="257">
        <f t="shared" si="17"/>
        <v>0</v>
      </c>
      <c r="AZ23" s="257"/>
      <c r="BA23" s="257"/>
      <c r="BB23" s="257"/>
      <c r="BC23" s="257"/>
      <c r="BD23" s="257"/>
      <c r="BE23" s="257">
        <f t="shared" si="18"/>
        <v>-200000</v>
      </c>
      <c r="BF23" s="257">
        <f t="shared" si="19"/>
        <v>0</v>
      </c>
      <c r="BG23" s="257">
        <f t="shared" si="4"/>
        <v>-200000</v>
      </c>
      <c r="BH23" s="257"/>
      <c r="BI23" s="257"/>
      <c r="BJ23" s="257"/>
      <c r="BK23" s="257"/>
      <c r="BL23" s="257"/>
      <c r="BN23" s="123"/>
      <c r="BO23" s="123"/>
      <c r="BP23" s="123"/>
      <c r="BQ23" s="123"/>
      <c r="BR23" s="123"/>
      <c r="BS23" s="123"/>
    </row>
    <row r="24" spans="1:71" s="5" customFormat="1" ht="30" customHeight="1">
      <c r="A24" s="213">
        <f t="shared" si="5"/>
        <v>19</v>
      </c>
      <c r="B24" s="19">
        <v>1773</v>
      </c>
      <c r="C24" s="19" t="s">
        <v>1158</v>
      </c>
      <c r="D24" s="257">
        <f>1500000+550000</f>
        <v>2050000</v>
      </c>
      <c r="E24" s="257">
        <f>1500000+550000</f>
        <v>2050000</v>
      </c>
      <c r="F24" s="257">
        <f t="shared" si="6"/>
        <v>0</v>
      </c>
      <c r="G24" s="257">
        <f>1500000+550000</f>
        <v>2050000</v>
      </c>
      <c r="H24" s="257">
        <v>1980321</v>
      </c>
      <c r="I24" s="257"/>
      <c r="J24" s="257"/>
      <c r="K24" s="257">
        <f t="shared" si="7"/>
        <v>0</v>
      </c>
      <c r="L24" s="257">
        <f t="shared" si="8"/>
        <v>1980321</v>
      </c>
      <c r="M24" s="257">
        <f>P24+S24-69000</f>
        <v>679</v>
      </c>
      <c r="N24" s="257">
        <v>69000</v>
      </c>
      <c r="O24" s="257">
        <f t="shared" si="9"/>
        <v>0</v>
      </c>
      <c r="P24" s="257">
        <f t="shared" si="10"/>
        <v>69679</v>
      </c>
      <c r="Q24" s="257"/>
      <c r="R24" s="257"/>
      <c r="S24" s="257">
        <f t="shared" si="11"/>
        <v>0</v>
      </c>
      <c r="T24" s="257">
        <f t="shared" si="12"/>
        <v>69000</v>
      </c>
      <c r="U24" s="257">
        <f t="shared" si="13"/>
        <v>0</v>
      </c>
      <c r="V24" s="257">
        <f t="shared" si="14"/>
        <v>0</v>
      </c>
      <c r="W24" s="257"/>
      <c r="X24" s="257"/>
      <c r="Y24" s="257"/>
      <c r="Z24" s="257"/>
      <c r="AA24" s="213"/>
      <c r="AB24" s="19" t="s">
        <v>955</v>
      </c>
      <c r="AC24" s="19">
        <v>746000</v>
      </c>
      <c r="AD24" s="257"/>
      <c r="AE24" s="257"/>
      <c r="AF24" s="257"/>
      <c r="AG24" s="257"/>
      <c r="AH24" s="257"/>
      <c r="AI24" s="257"/>
      <c r="AJ24" s="257">
        <f t="shared" si="0"/>
        <v>0</v>
      </c>
      <c r="AK24" s="257">
        <f t="shared" si="1"/>
        <v>0</v>
      </c>
      <c r="AL24" s="257"/>
      <c r="AM24" s="236"/>
      <c r="AN24" s="257">
        <f t="shared" si="2"/>
        <v>0</v>
      </c>
      <c r="AO24" s="257">
        <f t="shared" si="15"/>
        <v>0</v>
      </c>
      <c r="AP24" s="257"/>
      <c r="AQ24" s="257"/>
      <c r="AR24" s="257"/>
      <c r="AS24" s="257"/>
      <c r="AT24" s="257"/>
      <c r="AU24" s="257"/>
      <c r="AV24" s="257"/>
      <c r="AW24" s="257"/>
      <c r="AX24" s="257">
        <f t="shared" si="20"/>
        <v>0</v>
      </c>
      <c r="AY24" s="257">
        <f t="shared" si="17"/>
        <v>0</v>
      </c>
      <c r="AZ24" s="257"/>
      <c r="BA24" s="257"/>
      <c r="BB24" s="257"/>
      <c r="BC24" s="257"/>
      <c r="BD24" s="257"/>
      <c r="BE24" s="257">
        <f t="shared" si="18"/>
        <v>0</v>
      </c>
      <c r="BF24" s="257">
        <f t="shared" si="19"/>
        <v>0</v>
      </c>
      <c r="BG24" s="257">
        <f t="shared" si="4"/>
        <v>0</v>
      </c>
      <c r="BH24" s="257"/>
      <c r="BI24" s="257"/>
      <c r="BJ24" s="257"/>
      <c r="BK24" s="257"/>
      <c r="BL24" s="257"/>
      <c r="BN24" s="123"/>
      <c r="BO24" s="123"/>
      <c r="BP24" s="123"/>
      <c r="BQ24" s="123"/>
      <c r="BR24" s="123"/>
      <c r="BS24" s="123"/>
    </row>
    <row r="25" spans="1:71" ht="30" customHeight="1">
      <c r="A25" s="213">
        <f t="shared" si="5"/>
        <v>20</v>
      </c>
      <c r="B25" s="761">
        <v>1819</v>
      </c>
      <c r="C25" s="213" t="s">
        <v>295</v>
      </c>
      <c r="D25" s="257">
        <v>17545000</v>
      </c>
      <c r="E25" s="257">
        <v>17545000</v>
      </c>
      <c r="F25" s="257">
        <f t="shared" si="6"/>
        <v>0</v>
      </c>
      <c r="G25" s="257">
        <v>17545000</v>
      </c>
      <c r="H25" s="257">
        <v>15717150</v>
      </c>
      <c r="I25" s="257"/>
      <c r="J25" s="257"/>
      <c r="K25" s="257">
        <f t="shared" si="7"/>
        <v>0</v>
      </c>
      <c r="L25" s="257">
        <f t="shared" si="8"/>
        <v>15717150</v>
      </c>
      <c r="M25" s="257">
        <f>P25+S25-1820000</f>
        <v>7850</v>
      </c>
      <c r="N25" s="257">
        <v>320000</v>
      </c>
      <c r="O25" s="257">
        <f t="shared" si="9"/>
        <v>1500000</v>
      </c>
      <c r="P25" s="257">
        <f t="shared" si="10"/>
        <v>1827850</v>
      </c>
      <c r="Q25" s="257"/>
      <c r="R25" s="257"/>
      <c r="S25" s="257">
        <f t="shared" si="11"/>
        <v>0</v>
      </c>
      <c r="T25" s="257">
        <f t="shared" si="12"/>
        <v>1820000</v>
      </c>
      <c r="U25" s="257">
        <f t="shared" si="13"/>
        <v>-1500000</v>
      </c>
      <c r="V25" s="257">
        <f t="shared" si="14"/>
        <v>-1500000</v>
      </c>
      <c r="W25" s="257"/>
      <c r="X25" s="257"/>
      <c r="Y25" s="257"/>
      <c r="Z25" s="257"/>
      <c r="AA25" s="213"/>
      <c r="AB25" s="213" t="s">
        <v>662</v>
      </c>
      <c r="AC25" s="213">
        <v>742000</v>
      </c>
      <c r="AD25" s="257">
        <v>-1500000</v>
      </c>
      <c r="AE25" s="257"/>
      <c r="AF25" s="257"/>
      <c r="AG25" s="257"/>
      <c r="AH25" s="257"/>
      <c r="AI25" s="257"/>
      <c r="AJ25" s="257">
        <f t="shared" si="0"/>
        <v>-1500000</v>
      </c>
      <c r="AK25" s="257">
        <f t="shared" si="1"/>
        <v>0</v>
      </c>
      <c r="AL25" s="257"/>
      <c r="AM25" s="236"/>
      <c r="AN25" s="257">
        <f t="shared" si="2"/>
        <v>0</v>
      </c>
      <c r="AO25" s="257">
        <f t="shared" si="15"/>
        <v>0</v>
      </c>
      <c r="AP25" s="257"/>
      <c r="AQ25" s="257"/>
      <c r="AR25" s="257"/>
      <c r="AS25" s="257"/>
      <c r="AT25" s="257"/>
      <c r="AU25" s="257"/>
      <c r="AV25" s="257"/>
      <c r="AW25" s="257"/>
      <c r="AX25" s="257">
        <f t="shared" si="20"/>
        <v>0</v>
      </c>
      <c r="AY25" s="257">
        <f t="shared" si="17"/>
        <v>0</v>
      </c>
      <c r="AZ25" s="257"/>
      <c r="BA25" s="257"/>
      <c r="BB25" s="257"/>
      <c r="BC25" s="257"/>
      <c r="BD25" s="257"/>
      <c r="BE25" s="257">
        <f t="shared" si="18"/>
        <v>-1500000</v>
      </c>
      <c r="BF25" s="257">
        <f t="shared" si="19"/>
        <v>0</v>
      </c>
      <c r="BG25" s="257">
        <f t="shared" si="4"/>
        <v>-1500000</v>
      </c>
      <c r="BH25" s="257"/>
      <c r="BI25" s="257"/>
      <c r="BJ25" s="257"/>
      <c r="BK25" s="257"/>
      <c r="BL25" s="257"/>
    </row>
    <row r="26" spans="1:71" ht="30" customHeight="1">
      <c r="A26" s="213">
        <f t="shared" si="5"/>
        <v>21</v>
      </c>
      <c r="B26" s="761">
        <v>1833</v>
      </c>
      <c r="C26" s="213" t="s">
        <v>1145</v>
      </c>
      <c r="D26" s="257">
        <v>29000000</v>
      </c>
      <c r="E26" s="257">
        <v>29000000</v>
      </c>
      <c r="F26" s="257">
        <f t="shared" si="6"/>
        <v>0</v>
      </c>
      <c r="G26" s="257">
        <v>29000000</v>
      </c>
      <c r="H26" s="257">
        <v>28969915</v>
      </c>
      <c r="I26" s="257"/>
      <c r="J26" s="257"/>
      <c r="K26" s="257">
        <f t="shared" si="7"/>
        <v>0</v>
      </c>
      <c r="L26" s="257">
        <f t="shared" si="8"/>
        <v>28969915</v>
      </c>
      <c r="M26" s="257">
        <f>P26+S26-30000</f>
        <v>85</v>
      </c>
      <c r="N26" s="257">
        <v>30000</v>
      </c>
      <c r="O26" s="257">
        <f t="shared" si="9"/>
        <v>0</v>
      </c>
      <c r="P26" s="257">
        <f t="shared" si="10"/>
        <v>30085</v>
      </c>
      <c r="Q26" s="257"/>
      <c r="R26" s="257"/>
      <c r="S26" s="257">
        <f t="shared" si="11"/>
        <v>0</v>
      </c>
      <c r="T26" s="257">
        <f t="shared" si="12"/>
        <v>30000</v>
      </c>
      <c r="U26" s="257">
        <f t="shared" si="13"/>
        <v>0</v>
      </c>
      <c r="V26" s="257">
        <f t="shared" si="14"/>
        <v>0</v>
      </c>
      <c r="W26" s="257"/>
      <c r="X26" s="257"/>
      <c r="Y26" s="257"/>
      <c r="Z26" s="257"/>
      <c r="AA26" s="213"/>
      <c r="AB26" s="213" t="s">
        <v>956</v>
      </c>
      <c r="AC26" s="213">
        <v>829000</v>
      </c>
      <c r="AD26" s="257"/>
      <c r="AE26" s="257"/>
      <c r="AF26" s="257"/>
      <c r="AG26" s="257"/>
      <c r="AH26" s="257"/>
      <c r="AI26" s="257"/>
      <c r="AJ26" s="257">
        <f t="shared" si="0"/>
        <v>0</v>
      </c>
      <c r="AK26" s="257">
        <f t="shared" si="1"/>
        <v>0</v>
      </c>
      <c r="AL26" s="257"/>
      <c r="AM26" s="236"/>
      <c r="AN26" s="257">
        <f t="shared" si="2"/>
        <v>0</v>
      </c>
      <c r="AO26" s="257">
        <f t="shared" si="15"/>
        <v>0</v>
      </c>
      <c r="AP26" s="257"/>
      <c r="AQ26" s="257"/>
      <c r="AR26" s="257"/>
      <c r="AS26" s="257"/>
      <c r="AT26" s="257"/>
      <c r="AU26" s="257"/>
      <c r="AV26" s="257"/>
      <c r="AW26" s="257"/>
      <c r="AX26" s="257">
        <f>AN26-AW26</f>
        <v>0</v>
      </c>
      <c r="AY26" s="257">
        <f t="shared" si="17"/>
        <v>0</v>
      </c>
      <c r="AZ26" s="257"/>
      <c r="BA26" s="257"/>
      <c r="BB26" s="257"/>
      <c r="BC26" s="257"/>
      <c r="BD26" s="257"/>
      <c r="BE26" s="257">
        <f t="shared" si="18"/>
        <v>0</v>
      </c>
      <c r="BF26" s="257">
        <f t="shared" si="19"/>
        <v>0</v>
      </c>
      <c r="BG26" s="257">
        <f t="shared" si="4"/>
        <v>0</v>
      </c>
      <c r="BH26" s="257"/>
      <c r="BI26" s="257"/>
      <c r="BJ26" s="257"/>
      <c r="BK26" s="257"/>
      <c r="BL26" s="257"/>
    </row>
    <row r="27" spans="1:71" s="126" customFormat="1" ht="30" customHeight="1">
      <c r="A27" s="213">
        <f t="shared" si="5"/>
        <v>22</v>
      </c>
      <c r="B27" s="213">
        <v>1834</v>
      </c>
      <c r="C27" s="213" t="s">
        <v>82</v>
      </c>
      <c r="D27" s="257">
        <f>62000000+120000+630000+1500000+800000</f>
        <v>65050000</v>
      </c>
      <c r="E27" s="257">
        <f>62000000+120000</f>
        <v>62120000</v>
      </c>
      <c r="F27" s="257">
        <f t="shared" si="6"/>
        <v>2930000</v>
      </c>
      <c r="G27" s="257">
        <f>62000000+120000</f>
        <v>62120000</v>
      </c>
      <c r="H27" s="257">
        <v>61523822</v>
      </c>
      <c r="I27" s="257"/>
      <c r="J27" s="257">
        <v>31203</v>
      </c>
      <c r="K27" s="257">
        <f t="shared" si="7"/>
        <v>31203</v>
      </c>
      <c r="L27" s="257">
        <f t="shared" si="8"/>
        <v>61555025</v>
      </c>
      <c r="M27" s="257">
        <f>P27+S27-560000</f>
        <v>4975</v>
      </c>
      <c r="N27" s="257">
        <f>630000+1500000+800000+560000</f>
        <v>3490000</v>
      </c>
      <c r="O27" s="257">
        <f t="shared" si="9"/>
        <v>0</v>
      </c>
      <c r="P27" s="257">
        <f t="shared" si="10"/>
        <v>564975</v>
      </c>
      <c r="Q27" s="257"/>
      <c r="R27" s="257"/>
      <c r="S27" s="257">
        <f t="shared" si="11"/>
        <v>0</v>
      </c>
      <c r="T27" s="257">
        <f t="shared" si="12"/>
        <v>560000</v>
      </c>
      <c r="U27" s="257">
        <f t="shared" si="13"/>
        <v>2930000</v>
      </c>
      <c r="V27" s="257">
        <f>U27-W27-X27-Y27-Z27-AA27</f>
        <v>2746220</v>
      </c>
      <c r="W27" s="257"/>
      <c r="X27" s="257"/>
      <c r="Y27" s="257"/>
      <c r="Z27" s="257"/>
      <c r="AA27" s="257">
        <v>183780</v>
      </c>
      <c r="AB27" s="19" t="s">
        <v>698</v>
      </c>
      <c r="AC27" s="213">
        <v>824000</v>
      </c>
      <c r="AD27" s="257"/>
      <c r="AE27" s="257">
        <v>2500000</v>
      </c>
      <c r="AF27" s="257"/>
      <c r="AG27" s="257">
        <v>183780</v>
      </c>
      <c r="AH27" s="257"/>
      <c r="AI27" s="257"/>
      <c r="AJ27" s="257">
        <f t="shared" si="0"/>
        <v>2683780</v>
      </c>
      <c r="AK27" s="760">
        <f t="shared" si="1"/>
        <v>246220</v>
      </c>
      <c r="AL27" s="257"/>
      <c r="AM27" s="236"/>
      <c r="AN27" s="257">
        <f t="shared" si="2"/>
        <v>246220</v>
      </c>
      <c r="AO27" s="257">
        <f t="shared" si="15"/>
        <v>246220</v>
      </c>
      <c r="AP27" s="257"/>
      <c r="AQ27" s="257"/>
      <c r="AR27" s="257"/>
      <c r="AS27" s="257"/>
      <c r="AT27" s="257"/>
      <c r="AU27" s="257"/>
      <c r="AV27" s="257"/>
      <c r="AW27" s="257"/>
      <c r="AX27" s="257">
        <f t="shared" si="20"/>
        <v>246220</v>
      </c>
      <c r="AY27" s="257">
        <f t="shared" si="17"/>
        <v>246220</v>
      </c>
      <c r="AZ27" s="257"/>
      <c r="BA27" s="257"/>
      <c r="BB27" s="257"/>
      <c r="BC27" s="257"/>
      <c r="BD27" s="257"/>
      <c r="BE27" s="257">
        <f t="shared" si="18"/>
        <v>2930000</v>
      </c>
      <c r="BF27" s="257">
        <f t="shared" si="19"/>
        <v>0</v>
      </c>
      <c r="BG27" s="257">
        <f t="shared" si="4"/>
        <v>2746220</v>
      </c>
      <c r="BH27" s="257"/>
      <c r="BI27" s="257"/>
      <c r="BJ27" s="257"/>
      <c r="BK27" s="257"/>
      <c r="BL27" s="257">
        <v>183780</v>
      </c>
      <c r="BN27" s="123"/>
      <c r="BO27" s="123"/>
      <c r="BP27" s="123"/>
      <c r="BQ27" s="123"/>
      <c r="BR27" s="123"/>
      <c r="BS27" s="123"/>
    </row>
    <row r="28" spans="1:71" s="126" customFormat="1" ht="30" customHeight="1">
      <c r="A28" s="213">
        <f t="shared" si="5"/>
        <v>23</v>
      </c>
      <c r="B28" s="213">
        <v>1835</v>
      </c>
      <c r="C28" s="213" t="s">
        <v>266</v>
      </c>
      <c r="D28" s="257">
        <v>51500000</v>
      </c>
      <c r="E28" s="257">
        <v>51500000</v>
      </c>
      <c r="F28" s="257">
        <f t="shared" si="6"/>
        <v>0</v>
      </c>
      <c r="G28" s="257">
        <v>21900000</v>
      </c>
      <c r="H28" s="257">
        <v>15533156</v>
      </c>
      <c r="I28" s="257"/>
      <c r="J28" s="257"/>
      <c r="K28" s="257">
        <f t="shared" si="7"/>
        <v>0</v>
      </c>
      <c r="L28" s="257">
        <f t="shared" si="8"/>
        <v>15533156</v>
      </c>
      <c r="M28" s="257">
        <f>P28+S28-4000000-2350000</f>
        <v>16844</v>
      </c>
      <c r="N28" s="257">
        <f>29600000+4000000-11600000-9000000-4000000+2350000-1350000</f>
        <v>10000000</v>
      </c>
      <c r="O28" s="257">
        <f t="shared" si="9"/>
        <v>25950000</v>
      </c>
      <c r="P28" s="257">
        <f t="shared" si="10"/>
        <v>6366844</v>
      </c>
      <c r="Q28" s="257"/>
      <c r="R28" s="257"/>
      <c r="S28" s="257">
        <f t="shared" si="11"/>
        <v>0</v>
      </c>
      <c r="T28" s="257">
        <f t="shared" si="12"/>
        <v>6350000</v>
      </c>
      <c r="U28" s="257">
        <f t="shared" si="13"/>
        <v>3650000</v>
      </c>
      <c r="V28" s="257">
        <f t="shared" si="14"/>
        <v>-3852853</v>
      </c>
      <c r="W28" s="257"/>
      <c r="X28" s="257"/>
      <c r="Y28" s="257"/>
      <c r="Z28" s="257"/>
      <c r="AA28" s="257">
        <f>6597000+905853</f>
        <v>7502853</v>
      </c>
      <c r="AB28" s="19" t="s">
        <v>714</v>
      </c>
      <c r="AC28" s="213">
        <v>824000</v>
      </c>
      <c r="AD28" s="760"/>
      <c r="AE28" s="257"/>
      <c r="AF28" s="257"/>
      <c r="AG28" s="257"/>
      <c r="AH28" s="257">
        <v>1500000</v>
      </c>
      <c r="AI28" s="257"/>
      <c r="AJ28" s="257">
        <f t="shared" si="0"/>
        <v>1500000</v>
      </c>
      <c r="AK28" s="257">
        <f t="shared" si="1"/>
        <v>2150000</v>
      </c>
      <c r="AL28" s="257"/>
      <c r="AM28" s="236"/>
      <c r="AN28" s="257">
        <f t="shared" si="2"/>
        <v>2150000</v>
      </c>
      <c r="AO28" s="257">
        <f t="shared" si="15"/>
        <v>0</v>
      </c>
      <c r="AP28" s="257"/>
      <c r="AQ28" s="257"/>
      <c r="AR28" s="257"/>
      <c r="AS28" s="257"/>
      <c r="AT28" s="257">
        <v>2150000</v>
      </c>
      <c r="AU28" s="257"/>
      <c r="AV28" s="257"/>
      <c r="AW28" s="257"/>
      <c r="AX28" s="257">
        <f>AN28-AW28</f>
        <v>2150000</v>
      </c>
      <c r="AY28" s="257">
        <f t="shared" si="17"/>
        <v>0</v>
      </c>
      <c r="AZ28" s="257"/>
      <c r="BA28" s="257"/>
      <c r="BB28" s="257"/>
      <c r="BC28" s="257"/>
      <c r="BD28" s="257">
        <v>2150000</v>
      </c>
      <c r="BE28" s="257">
        <f t="shared" si="18"/>
        <v>3650000</v>
      </c>
      <c r="BF28" s="257">
        <f t="shared" si="19"/>
        <v>0</v>
      </c>
      <c r="BG28" s="257">
        <f t="shared" si="4"/>
        <v>-3852853</v>
      </c>
      <c r="BH28" s="257"/>
      <c r="BI28" s="257"/>
      <c r="BJ28" s="257"/>
      <c r="BK28" s="257"/>
      <c r="BL28" s="257">
        <v>7502853</v>
      </c>
      <c r="BN28" s="123"/>
      <c r="BO28" s="123"/>
      <c r="BP28" s="123"/>
      <c r="BQ28" s="123"/>
      <c r="BR28" s="123"/>
      <c r="BS28" s="123"/>
    </row>
    <row r="29" spans="1:71" ht="30" customHeight="1">
      <c r="A29" s="213">
        <f t="shared" si="5"/>
        <v>24</v>
      </c>
      <c r="B29" s="761">
        <v>1845</v>
      </c>
      <c r="C29" s="213" t="s">
        <v>1361</v>
      </c>
      <c r="D29" s="257">
        <f>6000000+131500000</f>
        <v>137500000</v>
      </c>
      <c r="E29" s="257">
        <v>6000000</v>
      </c>
      <c r="F29" s="257">
        <f t="shared" si="6"/>
        <v>131500000</v>
      </c>
      <c r="G29" s="257">
        <v>2740000</v>
      </c>
      <c r="H29" s="257">
        <v>2721383</v>
      </c>
      <c r="I29" s="257"/>
      <c r="J29" s="257"/>
      <c r="K29" s="257">
        <f t="shared" si="7"/>
        <v>0</v>
      </c>
      <c r="L29" s="257">
        <f t="shared" si="8"/>
        <v>2721383</v>
      </c>
      <c r="M29" s="257">
        <f>P29+S29</f>
        <v>18617</v>
      </c>
      <c r="N29" s="257">
        <f>40000000-40000000</f>
        <v>0</v>
      </c>
      <c r="O29" s="257">
        <f t="shared" si="9"/>
        <v>134760000</v>
      </c>
      <c r="P29" s="257">
        <f t="shared" si="10"/>
        <v>18617</v>
      </c>
      <c r="Q29" s="257"/>
      <c r="R29" s="257"/>
      <c r="S29" s="257">
        <f t="shared" si="11"/>
        <v>0</v>
      </c>
      <c r="T29" s="257">
        <f t="shared" si="12"/>
        <v>0</v>
      </c>
      <c r="U29" s="257">
        <f t="shared" si="13"/>
        <v>0</v>
      </c>
      <c r="V29" s="257">
        <f t="shared" si="14"/>
        <v>0</v>
      </c>
      <c r="W29" s="257"/>
      <c r="X29" s="257"/>
      <c r="Y29" s="257"/>
      <c r="Z29" s="257"/>
      <c r="AA29" s="213"/>
      <c r="AB29" s="213" t="s">
        <v>957</v>
      </c>
      <c r="AC29" s="213">
        <v>742000</v>
      </c>
      <c r="AD29" s="257"/>
      <c r="AE29" s="257"/>
      <c r="AF29" s="257"/>
      <c r="AG29" s="257"/>
      <c r="AH29" s="257"/>
      <c r="AI29" s="257"/>
      <c r="AJ29" s="257">
        <f t="shared" si="0"/>
        <v>0</v>
      </c>
      <c r="AK29" s="257">
        <f t="shared" si="1"/>
        <v>0</v>
      </c>
      <c r="AL29" s="257"/>
      <c r="AM29" s="236"/>
      <c r="AN29" s="257">
        <f t="shared" si="2"/>
        <v>0</v>
      </c>
      <c r="AO29" s="257">
        <f t="shared" si="15"/>
        <v>0</v>
      </c>
      <c r="AP29" s="257"/>
      <c r="AQ29" s="257"/>
      <c r="AR29" s="257"/>
      <c r="AS29" s="257"/>
      <c r="AT29" s="257"/>
      <c r="AU29" s="257"/>
      <c r="AV29" s="257"/>
      <c r="AW29" s="257"/>
      <c r="AX29" s="257">
        <f t="shared" ref="AX29:AX31" si="21">AN29-AW29</f>
        <v>0</v>
      </c>
      <c r="AY29" s="257">
        <f t="shared" si="17"/>
        <v>0</v>
      </c>
      <c r="AZ29" s="257"/>
      <c r="BA29" s="257"/>
      <c r="BB29" s="257"/>
      <c r="BC29" s="257"/>
      <c r="BD29" s="257"/>
      <c r="BE29" s="257">
        <f t="shared" si="18"/>
        <v>0</v>
      </c>
      <c r="BF29" s="257">
        <f t="shared" si="19"/>
        <v>0</v>
      </c>
      <c r="BG29" s="257">
        <f t="shared" si="4"/>
        <v>0</v>
      </c>
      <c r="BH29" s="257"/>
      <c r="BI29" s="257"/>
      <c r="BJ29" s="257"/>
      <c r="BK29" s="257"/>
      <c r="BL29" s="257"/>
    </row>
    <row r="30" spans="1:71" ht="30" customHeight="1">
      <c r="A30" s="213">
        <f t="shared" si="5"/>
        <v>25</v>
      </c>
      <c r="B30" s="761">
        <v>1896</v>
      </c>
      <c r="C30" s="213" t="s">
        <v>267</v>
      </c>
      <c r="D30" s="257">
        <f>7800000+1500000+1000000</f>
        <v>10300000</v>
      </c>
      <c r="E30" s="257">
        <v>7800000</v>
      </c>
      <c r="F30" s="257">
        <f t="shared" si="6"/>
        <v>2500000</v>
      </c>
      <c r="G30" s="257">
        <v>7800000</v>
      </c>
      <c r="H30" s="257">
        <v>6432030</v>
      </c>
      <c r="I30" s="257"/>
      <c r="J30" s="257">
        <v>951442</v>
      </c>
      <c r="K30" s="257">
        <f t="shared" si="7"/>
        <v>951442</v>
      </c>
      <c r="L30" s="257">
        <f t="shared" si="8"/>
        <v>7383472</v>
      </c>
      <c r="M30" s="257">
        <f>P30+S30-400000</f>
        <v>16528</v>
      </c>
      <c r="N30" s="257">
        <f>1500000+1000000+400000</f>
        <v>2900000</v>
      </c>
      <c r="O30" s="257">
        <f t="shared" si="9"/>
        <v>0</v>
      </c>
      <c r="P30" s="257">
        <f t="shared" si="10"/>
        <v>416528</v>
      </c>
      <c r="Q30" s="257"/>
      <c r="R30" s="257"/>
      <c r="S30" s="257">
        <f t="shared" si="11"/>
        <v>0</v>
      </c>
      <c r="T30" s="257">
        <f t="shared" si="12"/>
        <v>400000</v>
      </c>
      <c r="U30" s="257">
        <f t="shared" si="13"/>
        <v>2500000</v>
      </c>
      <c r="V30" s="257">
        <f t="shared" si="14"/>
        <v>2500000</v>
      </c>
      <c r="W30" s="257"/>
      <c r="X30" s="257"/>
      <c r="Y30" s="257"/>
      <c r="Z30" s="257"/>
      <c r="AA30" s="213"/>
      <c r="AB30" s="213" t="s">
        <v>607</v>
      </c>
      <c r="AC30" s="213">
        <v>829000</v>
      </c>
      <c r="AD30" s="257"/>
      <c r="AE30" s="257"/>
      <c r="AF30" s="257"/>
      <c r="AG30" s="257">
        <f>850000+250000</f>
        <v>1100000</v>
      </c>
      <c r="AH30" s="257">
        <v>1400000</v>
      </c>
      <c r="AI30" s="257"/>
      <c r="AJ30" s="257">
        <f t="shared" si="0"/>
        <v>2500000</v>
      </c>
      <c r="AK30" s="257">
        <f t="shared" si="1"/>
        <v>0</v>
      </c>
      <c r="AL30" s="257"/>
      <c r="AM30" s="236"/>
      <c r="AN30" s="257">
        <f t="shared" si="2"/>
        <v>0</v>
      </c>
      <c r="AO30" s="257">
        <f t="shared" si="15"/>
        <v>0</v>
      </c>
      <c r="AP30" s="257"/>
      <c r="AQ30" s="257"/>
      <c r="AR30" s="257"/>
      <c r="AS30" s="257"/>
      <c r="AT30" s="257"/>
      <c r="AU30" s="257"/>
      <c r="AV30" s="257"/>
      <c r="AW30" s="257"/>
      <c r="AX30" s="257">
        <f t="shared" si="21"/>
        <v>0</v>
      </c>
      <c r="AY30" s="257">
        <f t="shared" si="17"/>
        <v>0</v>
      </c>
      <c r="AZ30" s="257"/>
      <c r="BA30" s="257"/>
      <c r="BB30" s="257"/>
      <c r="BC30" s="257"/>
      <c r="BD30" s="257"/>
      <c r="BE30" s="257">
        <f t="shared" si="18"/>
        <v>2500000</v>
      </c>
      <c r="BF30" s="257">
        <f t="shared" si="19"/>
        <v>0</v>
      </c>
      <c r="BG30" s="257">
        <f t="shared" si="4"/>
        <v>2500000</v>
      </c>
      <c r="BH30" s="257"/>
      <c r="BI30" s="257"/>
      <c r="BJ30" s="257"/>
      <c r="BK30" s="257"/>
      <c r="BL30" s="257"/>
    </row>
    <row r="31" spans="1:71" ht="30" customHeight="1">
      <c r="A31" s="213">
        <f t="shared" si="5"/>
        <v>26</v>
      </c>
      <c r="B31" s="761">
        <v>1921</v>
      </c>
      <c r="C31" s="213" t="s">
        <v>87</v>
      </c>
      <c r="D31" s="257">
        <f>29716000+15284000</f>
        <v>45000000</v>
      </c>
      <c r="E31" s="257">
        <v>29716000</v>
      </c>
      <c r="F31" s="257">
        <f t="shared" si="6"/>
        <v>15284000</v>
      </c>
      <c r="G31" s="257">
        <f>10166000+200000</f>
        <v>10366000</v>
      </c>
      <c r="H31" s="257">
        <v>10815733</v>
      </c>
      <c r="I31" s="257"/>
      <c r="J31" s="257">
        <v>38153</v>
      </c>
      <c r="K31" s="257">
        <f t="shared" si="7"/>
        <v>38153</v>
      </c>
      <c r="L31" s="257">
        <f t="shared" si="8"/>
        <v>10853886</v>
      </c>
      <c r="M31" s="257">
        <f>P31+S31-2860000</f>
        <v>2114</v>
      </c>
      <c r="N31" s="257">
        <f>16000000+4000000-15000000-5000000+2860000</f>
        <v>2860000</v>
      </c>
      <c r="O31" s="257">
        <f t="shared" si="9"/>
        <v>31284000</v>
      </c>
      <c r="P31" s="257">
        <f t="shared" si="10"/>
        <v>-487886</v>
      </c>
      <c r="Q31" s="257">
        <f>3550000-200000</f>
        <v>3350000</v>
      </c>
      <c r="R31" s="257"/>
      <c r="S31" s="257">
        <f t="shared" si="11"/>
        <v>3350000</v>
      </c>
      <c r="T31" s="257">
        <f t="shared" si="12"/>
        <v>2860000</v>
      </c>
      <c r="U31" s="257">
        <f t="shared" si="13"/>
        <v>0</v>
      </c>
      <c r="V31" s="257">
        <f t="shared" si="14"/>
        <v>0</v>
      </c>
      <c r="W31" s="257"/>
      <c r="X31" s="257"/>
      <c r="Y31" s="257"/>
      <c r="Z31" s="257"/>
      <c r="AA31" s="213"/>
      <c r="AB31" s="207" t="s">
        <v>673</v>
      </c>
      <c r="AC31" s="213">
        <v>829000</v>
      </c>
      <c r="AD31" s="257"/>
      <c r="AE31" s="257"/>
      <c r="AF31" s="257"/>
      <c r="AG31" s="257"/>
      <c r="AH31" s="257"/>
      <c r="AI31" s="257"/>
      <c r="AJ31" s="257">
        <f t="shared" si="0"/>
        <v>0</v>
      </c>
      <c r="AK31" s="257">
        <f t="shared" si="1"/>
        <v>0</v>
      </c>
      <c r="AL31" s="257"/>
      <c r="AM31" s="236"/>
      <c r="AN31" s="257">
        <f t="shared" si="2"/>
        <v>0</v>
      </c>
      <c r="AO31" s="257">
        <f t="shared" si="15"/>
        <v>0</v>
      </c>
      <c r="AP31" s="257"/>
      <c r="AQ31" s="257"/>
      <c r="AR31" s="257"/>
      <c r="AS31" s="257"/>
      <c r="AT31" s="257"/>
      <c r="AU31" s="257"/>
      <c r="AV31" s="257"/>
      <c r="AW31" s="257"/>
      <c r="AX31" s="257">
        <f t="shared" si="21"/>
        <v>0</v>
      </c>
      <c r="AY31" s="257">
        <f t="shared" si="17"/>
        <v>0</v>
      </c>
      <c r="AZ31" s="257"/>
      <c r="BA31" s="257"/>
      <c r="BB31" s="257"/>
      <c r="BC31" s="257"/>
      <c r="BD31" s="257"/>
      <c r="BE31" s="257">
        <f t="shared" si="18"/>
        <v>0</v>
      </c>
      <c r="BF31" s="257">
        <f t="shared" si="19"/>
        <v>0</v>
      </c>
      <c r="BG31" s="257">
        <f t="shared" si="4"/>
        <v>0</v>
      </c>
      <c r="BH31" s="257"/>
      <c r="BI31" s="257"/>
      <c r="BJ31" s="257"/>
      <c r="BK31" s="257"/>
      <c r="BL31" s="257"/>
    </row>
    <row r="32" spans="1:71" ht="30" customHeight="1">
      <c r="A32" s="213">
        <f t="shared" si="5"/>
        <v>27</v>
      </c>
      <c r="B32" s="761">
        <v>1957</v>
      </c>
      <c r="C32" s="213" t="s">
        <v>1362</v>
      </c>
      <c r="D32" s="257">
        <f>60000000+12500000-12500000+15000000</f>
        <v>75000000</v>
      </c>
      <c r="E32" s="257">
        <v>60000000</v>
      </c>
      <c r="F32" s="257">
        <f t="shared" si="6"/>
        <v>15000000</v>
      </c>
      <c r="G32" s="257">
        <f>28026967+2000000</f>
        <v>30026967</v>
      </c>
      <c r="H32" s="257">
        <v>33624938</v>
      </c>
      <c r="I32" s="257"/>
      <c r="J32" s="257"/>
      <c r="K32" s="257">
        <f t="shared" si="7"/>
        <v>0</v>
      </c>
      <c r="L32" s="257">
        <f t="shared" si="8"/>
        <v>33624938</v>
      </c>
      <c r="M32" s="257">
        <f>P32+S32-470000</f>
        <v>6511</v>
      </c>
      <c r="N32" s="257">
        <f>23973033+1925518+15000000+470000-10000000-1300000</f>
        <v>30068551</v>
      </c>
      <c r="O32" s="257">
        <f t="shared" si="9"/>
        <v>11300000</v>
      </c>
      <c r="P32" s="257">
        <f t="shared" si="10"/>
        <v>-3597971</v>
      </c>
      <c r="Q32" s="257">
        <f>2555855+1518627</f>
        <v>4074482</v>
      </c>
      <c r="R32" s="257"/>
      <c r="S32" s="257">
        <f t="shared" si="11"/>
        <v>4074482</v>
      </c>
      <c r="T32" s="257">
        <f t="shared" si="12"/>
        <v>470000</v>
      </c>
      <c r="U32" s="257">
        <f t="shared" si="13"/>
        <v>29598551</v>
      </c>
      <c r="V32" s="257">
        <f t="shared" si="14"/>
        <v>26873393</v>
      </c>
      <c r="W32" s="257">
        <v>1500000</v>
      </c>
      <c r="X32" s="257"/>
      <c r="Y32" s="257"/>
      <c r="Z32" s="257"/>
      <c r="AA32" s="257">
        <f>1225158</f>
        <v>1225158</v>
      </c>
      <c r="AB32" s="213" t="s">
        <v>958</v>
      </c>
      <c r="AC32" s="213">
        <v>810000</v>
      </c>
      <c r="AD32" s="257"/>
      <c r="AE32" s="257">
        <v>4000000</v>
      </c>
      <c r="AF32" s="257">
        <v>3500000</v>
      </c>
      <c r="AG32" s="257">
        <f>500000+2500000+645000</f>
        <v>3645000</v>
      </c>
      <c r="AH32" s="257">
        <f>2500000+153377</f>
        <v>2653377</v>
      </c>
      <c r="AI32" s="257"/>
      <c r="AJ32" s="257">
        <f t="shared" si="0"/>
        <v>18898377</v>
      </c>
      <c r="AK32" s="257">
        <f t="shared" si="1"/>
        <v>10700174</v>
      </c>
      <c r="AL32" s="257">
        <v>5100000</v>
      </c>
      <c r="AM32" s="236"/>
      <c r="AN32" s="257">
        <f t="shared" si="2"/>
        <v>10700174</v>
      </c>
      <c r="AO32" s="257">
        <f t="shared" si="15"/>
        <v>8128393</v>
      </c>
      <c r="AP32" s="257">
        <v>1500000</v>
      </c>
      <c r="AQ32" s="257"/>
      <c r="AR32" s="257"/>
      <c r="AS32" s="257"/>
      <c r="AT32" s="257">
        <f>1225158-153377</f>
        <v>1071781</v>
      </c>
      <c r="AU32" s="257"/>
      <c r="AV32" s="257">
        <v>5000000</v>
      </c>
      <c r="AW32" s="257">
        <v>1071781</v>
      </c>
      <c r="AX32" s="257">
        <f>AN32-AW32</f>
        <v>9628393</v>
      </c>
      <c r="AY32" s="257">
        <f t="shared" si="17"/>
        <v>8128393</v>
      </c>
      <c r="AZ32" s="257">
        <v>1500000</v>
      </c>
      <c r="BA32" s="257"/>
      <c r="BB32" s="257"/>
      <c r="BC32" s="257"/>
      <c r="BD32" s="257"/>
      <c r="BE32" s="257">
        <f t="shared" si="18"/>
        <v>28526770</v>
      </c>
      <c r="BF32" s="257">
        <f t="shared" si="19"/>
        <v>1071781</v>
      </c>
      <c r="BG32" s="257">
        <f t="shared" si="4"/>
        <v>26873393</v>
      </c>
      <c r="BH32" s="257">
        <v>1500000</v>
      </c>
      <c r="BI32" s="257"/>
      <c r="BJ32" s="257"/>
      <c r="BK32" s="257"/>
      <c r="BL32" s="257">
        <v>153377</v>
      </c>
    </row>
    <row r="33" spans="1:71" ht="30" customHeight="1">
      <c r="A33" s="213">
        <f t="shared" si="5"/>
        <v>28</v>
      </c>
      <c r="B33" s="761">
        <v>1961</v>
      </c>
      <c r="C33" s="213" t="s">
        <v>1159</v>
      </c>
      <c r="D33" s="257">
        <f>128000000-127500000-200000</f>
        <v>300000</v>
      </c>
      <c r="E33" s="257">
        <v>128000000</v>
      </c>
      <c r="F33" s="257">
        <f t="shared" si="6"/>
        <v>-127700000</v>
      </c>
      <c r="G33" s="257">
        <v>500000</v>
      </c>
      <c r="H33" s="257"/>
      <c r="I33" s="257"/>
      <c r="J33" s="257"/>
      <c r="K33" s="257">
        <f t="shared" si="7"/>
        <v>0</v>
      </c>
      <c r="L33" s="257">
        <f t="shared" si="8"/>
        <v>0</v>
      </c>
      <c r="M33" s="257">
        <f>P33+S33-500000</f>
        <v>0</v>
      </c>
      <c r="N33" s="257">
        <v>300000</v>
      </c>
      <c r="O33" s="257">
        <f t="shared" si="9"/>
        <v>0</v>
      </c>
      <c r="P33" s="257">
        <f t="shared" si="10"/>
        <v>500000</v>
      </c>
      <c r="Q33" s="257"/>
      <c r="R33" s="257"/>
      <c r="S33" s="257">
        <f t="shared" si="11"/>
        <v>0</v>
      </c>
      <c r="T33" s="257">
        <f t="shared" si="12"/>
        <v>500000</v>
      </c>
      <c r="U33" s="257">
        <f t="shared" si="13"/>
        <v>-200000</v>
      </c>
      <c r="V33" s="257">
        <f t="shared" si="14"/>
        <v>-200000</v>
      </c>
      <c r="W33" s="257"/>
      <c r="X33" s="257"/>
      <c r="Y33" s="257"/>
      <c r="Z33" s="257"/>
      <c r="AA33" s="213"/>
      <c r="AB33" s="237" t="s">
        <v>959</v>
      </c>
      <c r="AC33" s="213">
        <v>742000</v>
      </c>
      <c r="AD33" s="257">
        <v>-200000</v>
      </c>
      <c r="AE33" s="257"/>
      <c r="AF33" s="257"/>
      <c r="AG33" s="257"/>
      <c r="AH33" s="257"/>
      <c r="AI33" s="257"/>
      <c r="AJ33" s="257">
        <f t="shared" si="0"/>
        <v>-200000</v>
      </c>
      <c r="AK33" s="257">
        <f t="shared" si="1"/>
        <v>0</v>
      </c>
      <c r="AL33" s="257"/>
      <c r="AM33" s="236"/>
      <c r="AN33" s="257">
        <f t="shared" si="2"/>
        <v>0</v>
      </c>
      <c r="AO33" s="257">
        <f t="shared" si="15"/>
        <v>0</v>
      </c>
      <c r="AP33" s="257"/>
      <c r="AQ33" s="257"/>
      <c r="AR33" s="257"/>
      <c r="AS33" s="257"/>
      <c r="AT33" s="257"/>
      <c r="AU33" s="257"/>
      <c r="AV33" s="257"/>
      <c r="AW33" s="257"/>
      <c r="AX33" s="257">
        <f>AN33-AW33</f>
        <v>0</v>
      </c>
      <c r="AY33" s="257">
        <f t="shared" si="17"/>
        <v>0</v>
      </c>
      <c r="AZ33" s="257"/>
      <c r="BA33" s="257"/>
      <c r="BB33" s="257"/>
      <c r="BC33" s="257"/>
      <c r="BD33" s="257"/>
      <c r="BE33" s="257">
        <f t="shared" si="18"/>
        <v>-200000</v>
      </c>
      <c r="BF33" s="257">
        <f t="shared" si="19"/>
        <v>0</v>
      </c>
      <c r="BG33" s="257">
        <f t="shared" si="4"/>
        <v>-200000</v>
      </c>
      <c r="BH33" s="257"/>
      <c r="BI33" s="257"/>
      <c r="BJ33" s="257"/>
      <c r="BK33" s="257"/>
      <c r="BL33" s="257"/>
    </row>
    <row r="34" spans="1:71" s="569" customFormat="1" ht="30" customHeight="1">
      <c r="A34" s="213">
        <f t="shared" si="5"/>
        <v>29</v>
      </c>
      <c r="B34" s="19">
        <v>2001</v>
      </c>
      <c r="C34" s="19" t="s">
        <v>102</v>
      </c>
      <c r="D34" s="257">
        <f>30000000-9000000+4000000</f>
        <v>25000000</v>
      </c>
      <c r="E34" s="257">
        <v>18500000</v>
      </c>
      <c r="F34" s="257">
        <f t="shared" si="6"/>
        <v>6500000</v>
      </c>
      <c r="G34" s="257">
        <v>8398700</v>
      </c>
      <c r="H34" s="257">
        <v>6406298</v>
      </c>
      <c r="I34" s="257"/>
      <c r="J34" s="257"/>
      <c r="K34" s="257">
        <f t="shared" si="7"/>
        <v>0</v>
      </c>
      <c r="L34" s="257">
        <f t="shared" si="8"/>
        <v>6406298</v>
      </c>
      <c r="M34" s="257">
        <f>P34+S34-1990000</f>
        <v>2402</v>
      </c>
      <c r="N34" s="257">
        <f>21601300-9000000+1990000-3000000</f>
        <v>11591300</v>
      </c>
      <c r="O34" s="257">
        <f t="shared" si="9"/>
        <v>7000000</v>
      </c>
      <c r="P34" s="257">
        <f t="shared" si="10"/>
        <v>1992402</v>
      </c>
      <c r="Q34" s="257"/>
      <c r="R34" s="257"/>
      <c r="S34" s="257">
        <f t="shared" si="11"/>
        <v>0</v>
      </c>
      <c r="T34" s="257">
        <f t="shared" si="12"/>
        <v>1990000</v>
      </c>
      <c r="U34" s="257">
        <f t="shared" si="13"/>
        <v>9601300</v>
      </c>
      <c r="V34" s="257">
        <f t="shared" si="14"/>
        <v>8601300</v>
      </c>
      <c r="W34" s="257">
        <v>1000000</v>
      </c>
      <c r="X34" s="257"/>
      <c r="Y34" s="257"/>
      <c r="Z34" s="257"/>
      <c r="AA34" s="213"/>
      <c r="AB34" s="19" t="s">
        <v>726</v>
      </c>
      <c r="AC34" s="19">
        <v>810000</v>
      </c>
      <c r="AD34" s="257"/>
      <c r="AE34" s="257">
        <v>7000000</v>
      </c>
      <c r="AF34" s="257">
        <v>1000000</v>
      </c>
      <c r="AG34" s="257"/>
      <c r="AH34" s="257"/>
      <c r="AI34" s="257"/>
      <c r="AJ34" s="257">
        <f t="shared" si="0"/>
        <v>8000000</v>
      </c>
      <c r="AK34" s="257">
        <f t="shared" si="1"/>
        <v>1601300</v>
      </c>
      <c r="AL34" s="257"/>
      <c r="AM34" s="236"/>
      <c r="AN34" s="257">
        <f t="shared" si="2"/>
        <v>1601300</v>
      </c>
      <c r="AO34" s="257">
        <f t="shared" si="15"/>
        <v>1601300</v>
      </c>
      <c r="AP34" s="257"/>
      <c r="AQ34" s="257"/>
      <c r="AR34" s="257"/>
      <c r="AS34" s="257"/>
      <c r="AT34" s="257"/>
      <c r="AU34" s="257">
        <v>10000000</v>
      </c>
      <c r="AV34" s="257"/>
      <c r="AW34" s="257"/>
      <c r="AX34" s="257">
        <f t="shared" ref="AX34" si="22">AN34-AW34</f>
        <v>1601300</v>
      </c>
      <c r="AY34" s="257">
        <f t="shared" si="17"/>
        <v>1601300</v>
      </c>
      <c r="AZ34" s="257"/>
      <c r="BA34" s="257"/>
      <c r="BB34" s="257"/>
      <c r="BC34" s="257"/>
      <c r="BD34" s="257"/>
      <c r="BE34" s="257">
        <f t="shared" si="18"/>
        <v>9601300</v>
      </c>
      <c r="BF34" s="257">
        <f t="shared" si="19"/>
        <v>0</v>
      </c>
      <c r="BG34" s="257">
        <f t="shared" si="4"/>
        <v>8601300</v>
      </c>
      <c r="BH34" s="257">
        <v>1000000</v>
      </c>
      <c r="BI34" s="257"/>
      <c r="BJ34" s="257"/>
      <c r="BK34" s="257"/>
      <c r="BL34" s="257"/>
      <c r="BN34" s="123"/>
      <c r="BO34" s="123"/>
      <c r="BP34" s="123"/>
      <c r="BQ34" s="123"/>
      <c r="BR34" s="123"/>
      <c r="BS34" s="123"/>
    </row>
    <row r="35" spans="1:71" s="131" customFormat="1" ht="30" customHeight="1">
      <c r="A35" s="213">
        <f t="shared" si="5"/>
        <v>30</v>
      </c>
      <c r="B35" s="213">
        <v>2002</v>
      </c>
      <c r="C35" s="213" t="s">
        <v>106</v>
      </c>
      <c r="D35" s="257">
        <f>1500000+500000+300000</f>
        <v>2300000</v>
      </c>
      <c r="E35" s="257">
        <v>1500000</v>
      </c>
      <c r="F35" s="257">
        <f t="shared" si="6"/>
        <v>800000</v>
      </c>
      <c r="G35" s="257">
        <v>1500000</v>
      </c>
      <c r="H35" s="257">
        <v>1495997</v>
      </c>
      <c r="I35" s="257"/>
      <c r="J35" s="257"/>
      <c r="K35" s="257">
        <f t="shared" si="7"/>
        <v>0</v>
      </c>
      <c r="L35" s="257">
        <f t="shared" si="8"/>
        <v>1495997</v>
      </c>
      <c r="M35" s="257">
        <f>P35+S35</f>
        <v>4003</v>
      </c>
      <c r="N35" s="257">
        <v>500000</v>
      </c>
      <c r="O35" s="257">
        <f t="shared" si="9"/>
        <v>300000</v>
      </c>
      <c r="P35" s="257">
        <f t="shared" si="10"/>
        <v>4003</v>
      </c>
      <c r="Q35" s="257"/>
      <c r="R35" s="257"/>
      <c r="S35" s="257">
        <f t="shared" si="11"/>
        <v>0</v>
      </c>
      <c r="T35" s="257">
        <f t="shared" si="12"/>
        <v>0</v>
      </c>
      <c r="U35" s="257">
        <f t="shared" si="13"/>
        <v>500000</v>
      </c>
      <c r="V35" s="257">
        <f t="shared" si="14"/>
        <v>500000</v>
      </c>
      <c r="W35" s="257"/>
      <c r="X35" s="257"/>
      <c r="Y35" s="257"/>
      <c r="Z35" s="257"/>
      <c r="AA35" s="213"/>
      <c r="AB35" s="213" t="s">
        <v>608</v>
      </c>
      <c r="AC35" s="213">
        <v>742000</v>
      </c>
      <c r="AD35" s="257"/>
      <c r="AE35" s="257"/>
      <c r="AF35" s="257"/>
      <c r="AG35" s="257"/>
      <c r="AH35" s="257"/>
      <c r="AI35" s="257"/>
      <c r="AJ35" s="257">
        <f t="shared" si="0"/>
        <v>0</v>
      </c>
      <c r="AK35" s="257">
        <f t="shared" si="1"/>
        <v>500000</v>
      </c>
      <c r="AL35" s="257"/>
      <c r="AM35" s="236">
        <v>-400000</v>
      </c>
      <c r="AN35" s="257">
        <f t="shared" si="2"/>
        <v>100000</v>
      </c>
      <c r="AO35" s="257">
        <f t="shared" si="15"/>
        <v>100000</v>
      </c>
      <c r="AP35" s="257"/>
      <c r="AQ35" s="257"/>
      <c r="AR35" s="257"/>
      <c r="AS35" s="257"/>
      <c r="AT35" s="257"/>
      <c r="AU35" s="257"/>
      <c r="AV35" s="257"/>
      <c r="AW35" s="257"/>
      <c r="AX35" s="257">
        <f>AN35-AW35</f>
        <v>100000</v>
      </c>
      <c r="AY35" s="257">
        <f t="shared" si="17"/>
        <v>100000</v>
      </c>
      <c r="AZ35" s="257"/>
      <c r="BA35" s="257"/>
      <c r="BB35" s="257"/>
      <c r="BC35" s="257"/>
      <c r="BD35" s="257"/>
      <c r="BE35" s="257">
        <f t="shared" si="18"/>
        <v>100000</v>
      </c>
      <c r="BF35" s="257">
        <f t="shared" si="19"/>
        <v>400000</v>
      </c>
      <c r="BG35" s="257">
        <f t="shared" si="4"/>
        <v>100000</v>
      </c>
      <c r="BH35" s="257"/>
      <c r="BI35" s="257"/>
      <c r="BJ35" s="257"/>
      <c r="BK35" s="257"/>
      <c r="BL35" s="257"/>
      <c r="BN35" s="123"/>
      <c r="BO35" s="123"/>
      <c r="BP35" s="123"/>
      <c r="BQ35" s="123"/>
      <c r="BR35" s="123"/>
      <c r="BS35" s="123"/>
    </row>
    <row r="36" spans="1:71" s="131" customFormat="1" ht="30" customHeight="1">
      <c r="A36" s="213">
        <f t="shared" si="5"/>
        <v>31</v>
      </c>
      <c r="B36" s="213">
        <v>2008</v>
      </c>
      <c r="C36" s="213" t="s">
        <v>209</v>
      </c>
      <c r="D36" s="257">
        <v>2500000</v>
      </c>
      <c r="E36" s="257">
        <v>2500000</v>
      </c>
      <c r="F36" s="257">
        <f t="shared" si="6"/>
        <v>0</v>
      </c>
      <c r="G36" s="257">
        <v>450000</v>
      </c>
      <c r="H36" s="257">
        <v>41210</v>
      </c>
      <c r="I36" s="257"/>
      <c r="J36" s="257"/>
      <c r="K36" s="257">
        <f t="shared" si="7"/>
        <v>0</v>
      </c>
      <c r="L36" s="257">
        <f t="shared" si="8"/>
        <v>41210</v>
      </c>
      <c r="M36" s="257">
        <f>P36+S36-700000</f>
        <v>8790</v>
      </c>
      <c r="N36" s="257">
        <f>1750000+700000-750000</f>
        <v>1700000</v>
      </c>
      <c r="O36" s="257">
        <f t="shared" si="9"/>
        <v>750000</v>
      </c>
      <c r="P36" s="257">
        <f t="shared" si="10"/>
        <v>408790</v>
      </c>
      <c r="Q36" s="257">
        <v>300000</v>
      </c>
      <c r="R36" s="257"/>
      <c r="S36" s="257">
        <f t="shared" si="11"/>
        <v>300000</v>
      </c>
      <c r="T36" s="257">
        <f t="shared" si="12"/>
        <v>700000</v>
      </c>
      <c r="U36" s="257">
        <f t="shared" si="13"/>
        <v>1000000</v>
      </c>
      <c r="V36" s="257">
        <f t="shared" si="14"/>
        <v>1000000</v>
      </c>
      <c r="W36" s="257"/>
      <c r="X36" s="257"/>
      <c r="Y36" s="257"/>
      <c r="Z36" s="257"/>
      <c r="AA36" s="213"/>
      <c r="AB36" s="762" t="s">
        <v>364</v>
      </c>
      <c r="AC36" s="213">
        <v>742000</v>
      </c>
      <c r="AD36" s="257"/>
      <c r="AE36" s="257"/>
      <c r="AF36" s="257"/>
      <c r="AG36" s="257"/>
      <c r="AH36" s="257"/>
      <c r="AI36" s="257"/>
      <c r="AJ36" s="257">
        <f t="shared" si="0"/>
        <v>0</v>
      </c>
      <c r="AK36" s="257">
        <f t="shared" si="1"/>
        <v>1000000</v>
      </c>
      <c r="AL36" s="257"/>
      <c r="AM36" s="236"/>
      <c r="AN36" s="257">
        <f t="shared" si="2"/>
        <v>1000000</v>
      </c>
      <c r="AO36" s="257">
        <f t="shared" si="15"/>
        <v>1000000</v>
      </c>
      <c r="AP36" s="257"/>
      <c r="AQ36" s="257"/>
      <c r="AR36" s="257"/>
      <c r="AS36" s="257"/>
      <c r="AT36" s="257"/>
      <c r="AU36" s="257"/>
      <c r="AV36" s="257"/>
      <c r="AW36" s="257">
        <v>1000000</v>
      </c>
      <c r="AX36" s="257">
        <f t="shared" ref="AX36:AX40" si="23">AN36-AW36</f>
        <v>0</v>
      </c>
      <c r="AY36" s="257">
        <f t="shared" si="17"/>
        <v>0</v>
      </c>
      <c r="AZ36" s="257"/>
      <c r="BA36" s="257"/>
      <c r="BB36" s="257"/>
      <c r="BC36" s="257"/>
      <c r="BD36" s="257"/>
      <c r="BE36" s="257">
        <f t="shared" si="18"/>
        <v>0</v>
      </c>
      <c r="BF36" s="257">
        <f t="shared" si="19"/>
        <v>1000000</v>
      </c>
      <c r="BG36" s="257">
        <f t="shared" si="4"/>
        <v>0</v>
      </c>
      <c r="BH36" s="257"/>
      <c r="BI36" s="257"/>
      <c r="BJ36" s="257"/>
      <c r="BK36" s="257"/>
      <c r="BL36" s="257"/>
      <c r="BN36" s="123"/>
      <c r="BO36" s="123"/>
      <c r="BP36" s="123"/>
      <c r="BQ36" s="123"/>
      <c r="BR36" s="123"/>
      <c r="BS36" s="123"/>
    </row>
    <row r="37" spans="1:71" s="5" customFormat="1" ht="30" customHeight="1">
      <c r="A37" s="213">
        <f t="shared" si="5"/>
        <v>32</v>
      </c>
      <c r="B37" s="19">
        <v>2009</v>
      </c>
      <c r="C37" s="19" t="s">
        <v>186</v>
      </c>
      <c r="D37" s="257">
        <v>13700000</v>
      </c>
      <c r="E37" s="257">
        <v>13700000</v>
      </c>
      <c r="F37" s="257">
        <f t="shared" si="6"/>
        <v>0</v>
      </c>
      <c r="G37" s="257">
        <v>2200000</v>
      </c>
      <c r="H37" s="257">
        <v>3711086</v>
      </c>
      <c r="I37" s="257"/>
      <c r="J37" s="257"/>
      <c r="K37" s="257">
        <f t="shared" si="7"/>
        <v>0</v>
      </c>
      <c r="L37" s="257">
        <f t="shared" si="8"/>
        <v>3711086</v>
      </c>
      <c r="M37" s="257">
        <f>P37+S37-485000</f>
        <v>3914</v>
      </c>
      <c r="N37" s="257">
        <f>9500000-3500000+485000-1000000</f>
        <v>5485000</v>
      </c>
      <c r="O37" s="257">
        <f t="shared" si="9"/>
        <v>4500000</v>
      </c>
      <c r="P37" s="257">
        <f t="shared" si="10"/>
        <v>-1511086</v>
      </c>
      <c r="Q37" s="257">
        <v>2000000</v>
      </c>
      <c r="R37" s="257"/>
      <c r="S37" s="257">
        <f t="shared" si="11"/>
        <v>2000000</v>
      </c>
      <c r="T37" s="257">
        <f t="shared" si="12"/>
        <v>485000</v>
      </c>
      <c r="U37" s="257">
        <f t="shared" si="13"/>
        <v>5000000</v>
      </c>
      <c r="V37" s="257">
        <f t="shared" si="14"/>
        <v>-300952</v>
      </c>
      <c r="W37" s="257"/>
      <c r="X37" s="257"/>
      <c r="Y37" s="257"/>
      <c r="Z37" s="257"/>
      <c r="AA37" s="257">
        <v>5300952</v>
      </c>
      <c r="AB37" s="19" t="s">
        <v>700</v>
      </c>
      <c r="AC37" s="19">
        <v>742000</v>
      </c>
      <c r="AD37" s="760"/>
      <c r="AE37" s="257">
        <v>1500000</v>
      </c>
      <c r="AF37" s="257"/>
      <c r="AG37" s="257">
        <v>56386</v>
      </c>
      <c r="AH37" s="257">
        <f>1000000+2443614</f>
        <v>3443614</v>
      </c>
      <c r="AI37" s="257"/>
      <c r="AJ37" s="257">
        <f t="shared" si="0"/>
        <v>5000000</v>
      </c>
      <c r="AK37" s="257">
        <f t="shared" si="1"/>
        <v>0</v>
      </c>
      <c r="AL37" s="257"/>
      <c r="AM37" s="236"/>
      <c r="AN37" s="257">
        <f t="shared" si="2"/>
        <v>0</v>
      </c>
      <c r="AO37" s="257">
        <f t="shared" si="15"/>
        <v>0</v>
      </c>
      <c r="AP37" s="257"/>
      <c r="AQ37" s="257"/>
      <c r="AR37" s="257"/>
      <c r="AS37" s="257"/>
      <c r="AT37" s="257"/>
      <c r="AU37" s="257"/>
      <c r="AV37" s="257"/>
      <c r="AW37" s="257"/>
      <c r="AX37" s="257">
        <f t="shared" si="23"/>
        <v>0</v>
      </c>
      <c r="AY37" s="257">
        <f t="shared" si="17"/>
        <v>0</v>
      </c>
      <c r="AZ37" s="257"/>
      <c r="BA37" s="257"/>
      <c r="BB37" s="257"/>
      <c r="BC37" s="257"/>
      <c r="BD37" s="257"/>
      <c r="BE37" s="257">
        <f t="shared" si="18"/>
        <v>5000000</v>
      </c>
      <c r="BF37" s="257">
        <f t="shared" si="19"/>
        <v>0</v>
      </c>
      <c r="BG37" s="257">
        <f t="shared" si="4"/>
        <v>-300952</v>
      </c>
      <c r="BH37" s="257"/>
      <c r="BI37" s="257"/>
      <c r="BJ37" s="257"/>
      <c r="BK37" s="257"/>
      <c r="BL37" s="257">
        <v>5300952</v>
      </c>
      <c r="BN37" s="123"/>
      <c r="BO37" s="123"/>
      <c r="BP37" s="123"/>
      <c r="BQ37" s="123"/>
      <c r="BR37" s="123"/>
      <c r="BS37" s="123"/>
    </row>
    <row r="38" spans="1:71" s="5" customFormat="1" ht="30" customHeight="1">
      <c r="A38" s="213">
        <f t="shared" si="5"/>
        <v>33</v>
      </c>
      <c r="B38" s="19">
        <v>2011</v>
      </c>
      <c r="C38" s="19" t="s">
        <v>1160</v>
      </c>
      <c r="D38" s="257">
        <v>80000000</v>
      </c>
      <c r="E38" s="257">
        <v>80000000</v>
      </c>
      <c r="F38" s="257">
        <f t="shared" si="6"/>
        <v>0</v>
      </c>
      <c r="G38" s="257">
        <f>37562673+5000000</f>
        <v>42562673</v>
      </c>
      <c r="H38" s="257">
        <v>48280954</v>
      </c>
      <c r="I38" s="257"/>
      <c r="J38" s="257"/>
      <c r="K38" s="257">
        <f t="shared" si="7"/>
        <v>0</v>
      </c>
      <c r="L38" s="257">
        <f t="shared" si="8"/>
        <v>48280954</v>
      </c>
      <c r="M38" s="257">
        <f>P38+S38-280000</f>
        <v>1719</v>
      </c>
      <c r="N38" s="257">
        <f>31437327+280000-5000000-1600000</f>
        <v>25117327</v>
      </c>
      <c r="O38" s="257">
        <f t="shared" si="9"/>
        <v>6600000</v>
      </c>
      <c r="P38" s="257">
        <f t="shared" si="10"/>
        <v>-5718281</v>
      </c>
      <c r="Q38" s="257">
        <f>11000000-5000000</f>
        <v>6000000</v>
      </c>
      <c r="R38" s="257"/>
      <c r="S38" s="257">
        <f t="shared" si="11"/>
        <v>6000000</v>
      </c>
      <c r="T38" s="257">
        <f t="shared" si="12"/>
        <v>280000</v>
      </c>
      <c r="U38" s="257">
        <f t="shared" si="13"/>
        <v>24837327</v>
      </c>
      <c r="V38" s="257">
        <f t="shared" si="14"/>
        <v>24837327</v>
      </c>
      <c r="W38" s="257"/>
      <c r="X38" s="257"/>
      <c r="Y38" s="257"/>
      <c r="Z38" s="257"/>
      <c r="AA38" s="213"/>
      <c r="AB38" s="19" t="s">
        <v>398</v>
      </c>
      <c r="AC38" s="19">
        <v>742000</v>
      </c>
      <c r="AD38" s="257"/>
      <c r="AE38" s="257">
        <v>5000000</v>
      </c>
      <c r="AF38" s="257">
        <f>6000000+5000000</f>
        <v>11000000</v>
      </c>
      <c r="AG38" s="257"/>
      <c r="AH38" s="257">
        <v>3000000</v>
      </c>
      <c r="AI38" s="257"/>
      <c r="AJ38" s="257">
        <f t="shared" ref="AJ38:AJ69" si="24">SUM(AD38:AI38)+AL38</f>
        <v>19000000</v>
      </c>
      <c r="AK38" s="257">
        <f t="shared" si="1"/>
        <v>5837327</v>
      </c>
      <c r="AL38" s="257"/>
      <c r="AM38" s="236"/>
      <c r="AN38" s="257">
        <f t="shared" ref="AN38:AN69" si="25">AK38+AM38</f>
        <v>5837327</v>
      </c>
      <c r="AO38" s="257">
        <f t="shared" si="15"/>
        <v>5837327</v>
      </c>
      <c r="AP38" s="257"/>
      <c r="AQ38" s="257"/>
      <c r="AR38" s="257"/>
      <c r="AS38" s="257"/>
      <c r="AT38" s="257"/>
      <c r="AU38" s="257"/>
      <c r="AV38" s="257"/>
      <c r="AW38" s="257"/>
      <c r="AX38" s="257">
        <f t="shared" si="23"/>
        <v>5837327</v>
      </c>
      <c r="AY38" s="257">
        <f t="shared" si="17"/>
        <v>5837327</v>
      </c>
      <c r="AZ38" s="257"/>
      <c r="BA38" s="257"/>
      <c r="BB38" s="257"/>
      <c r="BC38" s="257"/>
      <c r="BD38" s="257"/>
      <c r="BE38" s="257">
        <f t="shared" si="18"/>
        <v>24837327</v>
      </c>
      <c r="BF38" s="257">
        <f t="shared" si="19"/>
        <v>0</v>
      </c>
      <c r="BG38" s="257">
        <f t="shared" ref="BG38:BG69" si="26">BE38-BH38-BI38-BJ38-BK38-BL38</f>
        <v>24837327</v>
      </c>
      <c r="BH38" s="257"/>
      <c r="BI38" s="257"/>
      <c r="BJ38" s="257"/>
      <c r="BK38" s="257"/>
      <c r="BL38" s="257"/>
      <c r="BN38" s="123"/>
      <c r="BO38" s="123"/>
      <c r="BP38" s="123"/>
      <c r="BQ38" s="123"/>
      <c r="BR38" s="123"/>
      <c r="BS38" s="123"/>
    </row>
    <row r="39" spans="1:71" s="131" customFormat="1" ht="30" customHeight="1">
      <c r="A39" s="213">
        <f t="shared" si="5"/>
        <v>34</v>
      </c>
      <c r="B39" s="213">
        <v>2015</v>
      </c>
      <c r="C39" s="207" t="s">
        <v>1363</v>
      </c>
      <c r="D39" s="257">
        <v>54000000</v>
      </c>
      <c r="E39" s="257">
        <v>54000000</v>
      </c>
      <c r="F39" s="257">
        <f t="shared" si="6"/>
        <v>0</v>
      </c>
      <c r="G39" s="257">
        <f>41234031+2500000</f>
        <v>43734031</v>
      </c>
      <c r="H39" s="257">
        <v>45608729</v>
      </c>
      <c r="I39" s="257"/>
      <c r="J39" s="257">
        <v>15678</v>
      </c>
      <c r="K39" s="257">
        <f t="shared" si="7"/>
        <v>15678</v>
      </c>
      <c r="L39" s="257">
        <f t="shared" si="8"/>
        <v>45624407</v>
      </c>
      <c r="M39" s="257">
        <f>P39+S39-100000</f>
        <v>9624</v>
      </c>
      <c r="N39" s="257">
        <f>8265969+100000</f>
        <v>8365969</v>
      </c>
      <c r="O39" s="257">
        <f t="shared" si="9"/>
        <v>0</v>
      </c>
      <c r="P39" s="257">
        <f t="shared" si="10"/>
        <v>-1890376</v>
      </c>
      <c r="Q39" s="257">
        <f>4500000-2500000</f>
        <v>2000000</v>
      </c>
      <c r="R39" s="257"/>
      <c r="S39" s="257">
        <f t="shared" si="11"/>
        <v>2000000</v>
      </c>
      <c r="T39" s="257">
        <f t="shared" si="12"/>
        <v>100000</v>
      </c>
      <c r="U39" s="257">
        <f t="shared" si="13"/>
        <v>8265969</v>
      </c>
      <c r="V39" s="257">
        <f t="shared" si="14"/>
        <v>8265969</v>
      </c>
      <c r="W39" s="257"/>
      <c r="X39" s="257"/>
      <c r="Y39" s="257"/>
      <c r="Z39" s="257"/>
      <c r="AA39" s="213"/>
      <c r="AB39" s="213" t="s">
        <v>1364</v>
      </c>
      <c r="AC39" s="213">
        <v>810000</v>
      </c>
      <c r="AD39" s="257"/>
      <c r="AE39" s="257">
        <v>1500000</v>
      </c>
      <c r="AF39" s="257">
        <v>550000</v>
      </c>
      <c r="AG39" s="257"/>
      <c r="AH39" s="257">
        <f>2000000+4215969</f>
        <v>6215969</v>
      </c>
      <c r="AI39" s="257"/>
      <c r="AJ39" s="257">
        <f t="shared" si="24"/>
        <v>8265969</v>
      </c>
      <c r="AK39" s="257">
        <f t="shared" si="1"/>
        <v>0</v>
      </c>
      <c r="AL39" s="257"/>
      <c r="AM39" s="236"/>
      <c r="AN39" s="257">
        <f t="shared" si="25"/>
        <v>0</v>
      </c>
      <c r="AO39" s="257">
        <f t="shared" si="15"/>
        <v>0</v>
      </c>
      <c r="AP39" s="257"/>
      <c r="AQ39" s="257"/>
      <c r="AR39" s="257"/>
      <c r="AS39" s="257"/>
      <c r="AT39" s="257"/>
      <c r="AU39" s="257"/>
      <c r="AV39" s="257"/>
      <c r="AW39" s="257"/>
      <c r="AX39" s="257">
        <f>AN39-AW39</f>
        <v>0</v>
      </c>
      <c r="AY39" s="257">
        <f t="shared" si="17"/>
        <v>0</v>
      </c>
      <c r="AZ39" s="257"/>
      <c r="BA39" s="257"/>
      <c r="BB39" s="257"/>
      <c r="BC39" s="257"/>
      <c r="BD39" s="257"/>
      <c r="BE39" s="257">
        <f t="shared" si="18"/>
        <v>8265969</v>
      </c>
      <c r="BF39" s="257">
        <f t="shared" si="19"/>
        <v>0</v>
      </c>
      <c r="BG39" s="257">
        <f t="shared" si="26"/>
        <v>8265969</v>
      </c>
      <c r="BH39" s="257"/>
      <c r="BI39" s="257"/>
      <c r="BJ39" s="257"/>
      <c r="BK39" s="257"/>
      <c r="BL39" s="257"/>
      <c r="BN39" s="123"/>
      <c r="BO39" s="123"/>
      <c r="BP39" s="123"/>
      <c r="BQ39" s="123"/>
      <c r="BR39" s="123"/>
      <c r="BS39" s="123"/>
    </row>
    <row r="40" spans="1:71" ht="30" customHeight="1">
      <c r="A40" s="213">
        <f t="shared" si="5"/>
        <v>35</v>
      </c>
      <c r="B40" s="213">
        <v>2017</v>
      </c>
      <c r="C40" s="213" t="s">
        <v>1365</v>
      </c>
      <c r="D40" s="257">
        <f>37100000+2000000-2000000</f>
        <v>37100000</v>
      </c>
      <c r="E40" s="257">
        <v>37100000</v>
      </c>
      <c r="F40" s="257">
        <f t="shared" si="6"/>
        <v>0</v>
      </c>
      <c r="G40" s="257">
        <f>20100000+3000000</f>
        <v>23100000</v>
      </c>
      <c r="H40" s="257">
        <v>25401294</v>
      </c>
      <c r="I40" s="257"/>
      <c r="J40" s="257"/>
      <c r="K40" s="257">
        <f t="shared" si="7"/>
        <v>0</v>
      </c>
      <c r="L40" s="257">
        <f t="shared" si="8"/>
        <v>25401294</v>
      </c>
      <c r="M40" s="257">
        <f>P40+S40-1690000</f>
        <v>8706</v>
      </c>
      <c r="N40" s="257">
        <f>10000000-3000000+1690000-2000000</f>
        <v>6690000</v>
      </c>
      <c r="O40" s="257">
        <f t="shared" si="9"/>
        <v>5000000</v>
      </c>
      <c r="P40" s="257">
        <f t="shared" si="10"/>
        <v>-2301294</v>
      </c>
      <c r="Q40" s="257">
        <f>7000000-3000000</f>
        <v>4000000</v>
      </c>
      <c r="R40" s="257"/>
      <c r="S40" s="257">
        <f t="shared" si="11"/>
        <v>4000000</v>
      </c>
      <c r="T40" s="257">
        <f t="shared" si="12"/>
        <v>1690000</v>
      </c>
      <c r="U40" s="257">
        <f t="shared" si="13"/>
        <v>5000000</v>
      </c>
      <c r="V40" s="257">
        <f t="shared" si="14"/>
        <v>-981581</v>
      </c>
      <c r="W40" s="257"/>
      <c r="X40" s="257"/>
      <c r="Y40" s="257"/>
      <c r="Z40" s="257"/>
      <c r="AA40" s="257">
        <f>616624+5364957</f>
        <v>5981581</v>
      </c>
      <c r="AB40" s="213" t="s">
        <v>746</v>
      </c>
      <c r="AC40" s="213">
        <v>824000</v>
      </c>
      <c r="AD40" s="760"/>
      <c r="AE40" s="257"/>
      <c r="AF40" s="257">
        <v>2500000</v>
      </c>
      <c r="AG40" s="257"/>
      <c r="AH40" s="257">
        <v>1500000</v>
      </c>
      <c r="AI40" s="257"/>
      <c r="AJ40" s="257">
        <f t="shared" si="24"/>
        <v>4000000</v>
      </c>
      <c r="AK40" s="257">
        <f t="shared" si="1"/>
        <v>1000000</v>
      </c>
      <c r="AL40" s="257"/>
      <c r="AM40" s="236"/>
      <c r="AN40" s="257">
        <f t="shared" si="25"/>
        <v>1000000</v>
      </c>
      <c r="AO40" s="257">
        <f t="shared" si="15"/>
        <v>0</v>
      </c>
      <c r="AP40" s="257"/>
      <c r="AQ40" s="257"/>
      <c r="AR40" s="257"/>
      <c r="AS40" s="257"/>
      <c r="AT40" s="257">
        <v>1000000</v>
      </c>
      <c r="AU40" s="257"/>
      <c r="AV40" s="257"/>
      <c r="AW40" s="257"/>
      <c r="AX40" s="257">
        <f t="shared" si="23"/>
        <v>1000000</v>
      </c>
      <c r="AY40" s="257">
        <f t="shared" si="17"/>
        <v>0</v>
      </c>
      <c r="AZ40" s="257"/>
      <c r="BA40" s="257"/>
      <c r="BB40" s="257"/>
      <c r="BC40" s="257"/>
      <c r="BD40" s="257">
        <v>1000000</v>
      </c>
      <c r="BE40" s="257">
        <f t="shared" si="18"/>
        <v>5000000</v>
      </c>
      <c r="BF40" s="257">
        <f t="shared" si="19"/>
        <v>0</v>
      </c>
      <c r="BG40" s="257">
        <f t="shared" si="26"/>
        <v>-981581</v>
      </c>
      <c r="BH40" s="257"/>
      <c r="BI40" s="257"/>
      <c r="BJ40" s="257"/>
      <c r="BK40" s="257"/>
      <c r="BL40" s="257">
        <v>5981581</v>
      </c>
    </row>
    <row r="41" spans="1:71" ht="30" customHeight="1">
      <c r="A41" s="213">
        <f t="shared" si="5"/>
        <v>36</v>
      </c>
      <c r="B41" s="213">
        <v>2018</v>
      </c>
      <c r="C41" s="213" t="s">
        <v>220</v>
      </c>
      <c r="D41" s="257">
        <f>3600000-250000</f>
        <v>3350000</v>
      </c>
      <c r="E41" s="257">
        <v>3600000</v>
      </c>
      <c r="F41" s="257">
        <f t="shared" si="6"/>
        <v>-250000</v>
      </c>
      <c r="G41" s="257">
        <v>3600000</v>
      </c>
      <c r="H41" s="257">
        <v>3060025</v>
      </c>
      <c r="I41" s="257"/>
      <c r="J41" s="257"/>
      <c r="K41" s="257">
        <f t="shared" si="7"/>
        <v>0</v>
      </c>
      <c r="L41" s="257">
        <f t="shared" si="8"/>
        <v>3060025</v>
      </c>
      <c r="M41" s="257">
        <f>P41+S41-535000</f>
        <v>4975</v>
      </c>
      <c r="N41" s="257">
        <f>535000-250000</f>
        <v>285000</v>
      </c>
      <c r="O41" s="257">
        <f t="shared" si="9"/>
        <v>0</v>
      </c>
      <c r="P41" s="257">
        <f t="shared" si="10"/>
        <v>539975</v>
      </c>
      <c r="Q41" s="257"/>
      <c r="R41" s="257"/>
      <c r="S41" s="257">
        <f t="shared" si="11"/>
        <v>0</v>
      </c>
      <c r="T41" s="257">
        <f t="shared" si="12"/>
        <v>535000</v>
      </c>
      <c r="U41" s="257">
        <f t="shared" si="13"/>
        <v>-250000</v>
      </c>
      <c r="V41" s="257">
        <f t="shared" si="14"/>
        <v>-250000</v>
      </c>
      <c r="W41" s="257"/>
      <c r="X41" s="257"/>
      <c r="Y41" s="257"/>
      <c r="Z41" s="257"/>
      <c r="AA41" s="213"/>
      <c r="AB41" s="213" t="s">
        <v>1161</v>
      </c>
      <c r="AC41" s="213">
        <v>742000</v>
      </c>
      <c r="AD41" s="257">
        <v>-250000</v>
      </c>
      <c r="AE41" s="257"/>
      <c r="AF41" s="257"/>
      <c r="AG41" s="257"/>
      <c r="AH41" s="257"/>
      <c r="AI41" s="257"/>
      <c r="AJ41" s="257">
        <f t="shared" si="24"/>
        <v>-250000</v>
      </c>
      <c r="AK41" s="257">
        <f t="shared" si="1"/>
        <v>0</v>
      </c>
      <c r="AL41" s="257"/>
      <c r="AM41" s="236"/>
      <c r="AN41" s="257">
        <f t="shared" si="25"/>
        <v>0</v>
      </c>
      <c r="AO41" s="257">
        <f t="shared" si="15"/>
        <v>0</v>
      </c>
      <c r="AP41" s="257"/>
      <c r="AQ41" s="257"/>
      <c r="AR41" s="257"/>
      <c r="AS41" s="257"/>
      <c r="AT41" s="257"/>
      <c r="AU41" s="257"/>
      <c r="AV41" s="257"/>
      <c r="AW41" s="257"/>
      <c r="AX41" s="257">
        <f>AN41-AW41</f>
        <v>0</v>
      </c>
      <c r="AY41" s="257">
        <f t="shared" si="17"/>
        <v>0</v>
      </c>
      <c r="AZ41" s="257"/>
      <c r="BA41" s="257"/>
      <c r="BB41" s="257"/>
      <c r="BC41" s="257"/>
      <c r="BD41" s="257"/>
      <c r="BE41" s="257">
        <f t="shared" si="18"/>
        <v>-250000</v>
      </c>
      <c r="BF41" s="257">
        <f t="shared" si="19"/>
        <v>0</v>
      </c>
      <c r="BG41" s="257">
        <f t="shared" si="26"/>
        <v>-250000</v>
      </c>
      <c r="BH41" s="257"/>
      <c r="BI41" s="257"/>
      <c r="BJ41" s="257"/>
      <c r="BK41" s="257"/>
      <c r="BL41" s="257"/>
    </row>
    <row r="42" spans="1:71" s="126" customFormat="1" ht="30" customHeight="1">
      <c r="A42" s="213">
        <f t="shared" si="5"/>
        <v>37</v>
      </c>
      <c r="B42" s="213">
        <v>2022</v>
      </c>
      <c r="C42" s="213" t="s">
        <v>1146</v>
      </c>
      <c r="D42" s="257">
        <f>14000000-100000+50000</f>
        <v>13950000</v>
      </c>
      <c r="E42" s="257">
        <v>14000000</v>
      </c>
      <c r="F42" s="257">
        <f t="shared" si="6"/>
        <v>-50000</v>
      </c>
      <c r="G42" s="257">
        <v>14000000</v>
      </c>
      <c r="H42" s="257">
        <v>13897589</v>
      </c>
      <c r="I42" s="257"/>
      <c r="J42" s="257"/>
      <c r="K42" s="257">
        <f t="shared" si="7"/>
        <v>0</v>
      </c>
      <c r="L42" s="257">
        <f t="shared" si="8"/>
        <v>13897589</v>
      </c>
      <c r="M42" s="257">
        <f>P42+S42-100000</f>
        <v>2411</v>
      </c>
      <c r="N42" s="257">
        <v>50000</v>
      </c>
      <c r="O42" s="257">
        <f t="shared" si="9"/>
        <v>0</v>
      </c>
      <c r="P42" s="257">
        <f t="shared" si="10"/>
        <v>102411</v>
      </c>
      <c r="Q42" s="257"/>
      <c r="R42" s="257"/>
      <c r="S42" s="257">
        <f t="shared" si="11"/>
        <v>0</v>
      </c>
      <c r="T42" s="257">
        <f t="shared" si="12"/>
        <v>100000</v>
      </c>
      <c r="U42" s="257">
        <f t="shared" si="13"/>
        <v>-50000</v>
      </c>
      <c r="V42" s="257">
        <f t="shared" si="14"/>
        <v>-50000</v>
      </c>
      <c r="W42" s="257"/>
      <c r="X42" s="257"/>
      <c r="Y42" s="257"/>
      <c r="Z42" s="257"/>
      <c r="AA42" s="213"/>
      <c r="AB42" s="213" t="s">
        <v>960</v>
      </c>
      <c r="AC42" s="213">
        <v>829000</v>
      </c>
      <c r="AD42" s="257">
        <v>-50000</v>
      </c>
      <c r="AE42" s="257"/>
      <c r="AF42" s="257"/>
      <c r="AG42" s="257"/>
      <c r="AH42" s="257"/>
      <c r="AI42" s="257"/>
      <c r="AJ42" s="257">
        <f t="shared" si="24"/>
        <v>-50000</v>
      </c>
      <c r="AK42" s="257">
        <f t="shared" si="1"/>
        <v>0</v>
      </c>
      <c r="AL42" s="257"/>
      <c r="AM42" s="236"/>
      <c r="AN42" s="257">
        <f t="shared" si="25"/>
        <v>0</v>
      </c>
      <c r="AO42" s="257">
        <f t="shared" si="15"/>
        <v>0</v>
      </c>
      <c r="AP42" s="257"/>
      <c r="AQ42" s="257"/>
      <c r="AR42" s="257"/>
      <c r="AS42" s="257"/>
      <c r="AT42" s="257"/>
      <c r="AU42" s="257"/>
      <c r="AV42" s="257"/>
      <c r="AW42" s="257"/>
      <c r="AX42" s="257">
        <f t="shared" ref="AX42:AX51" si="27">AN42-AW42</f>
        <v>0</v>
      </c>
      <c r="AY42" s="257">
        <f t="shared" si="17"/>
        <v>0</v>
      </c>
      <c r="AZ42" s="257"/>
      <c r="BA42" s="257"/>
      <c r="BB42" s="257"/>
      <c r="BC42" s="257"/>
      <c r="BD42" s="257"/>
      <c r="BE42" s="257">
        <f t="shared" si="18"/>
        <v>-50000</v>
      </c>
      <c r="BF42" s="257">
        <f t="shared" si="19"/>
        <v>0</v>
      </c>
      <c r="BG42" s="257">
        <f t="shared" si="26"/>
        <v>-50000</v>
      </c>
      <c r="BH42" s="257"/>
      <c r="BI42" s="257"/>
      <c r="BJ42" s="257"/>
      <c r="BK42" s="257"/>
      <c r="BL42" s="257"/>
      <c r="BN42" s="123"/>
      <c r="BO42" s="123"/>
      <c r="BP42" s="123"/>
      <c r="BQ42" s="123"/>
      <c r="BR42" s="123"/>
      <c r="BS42" s="123"/>
    </row>
    <row r="43" spans="1:71" s="126" customFormat="1" ht="30" customHeight="1">
      <c r="A43" s="213">
        <f t="shared" si="5"/>
        <v>38</v>
      </c>
      <c r="B43" s="213">
        <v>2023</v>
      </c>
      <c r="C43" s="213" t="s">
        <v>1366</v>
      </c>
      <c r="D43" s="257">
        <v>7340000</v>
      </c>
      <c r="E43" s="257">
        <v>7340000</v>
      </c>
      <c r="F43" s="257">
        <f t="shared" si="6"/>
        <v>0</v>
      </c>
      <c r="G43" s="257">
        <v>230000</v>
      </c>
      <c r="H43" s="257">
        <v>228151</v>
      </c>
      <c r="I43" s="257"/>
      <c r="J43" s="257"/>
      <c r="K43" s="257">
        <f t="shared" si="7"/>
        <v>0</v>
      </c>
      <c r="L43" s="257">
        <f t="shared" si="8"/>
        <v>228151</v>
      </c>
      <c r="M43" s="257">
        <f>P43+S43</f>
        <v>1849</v>
      </c>
      <c r="N43" s="257"/>
      <c r="O43" s="257">
        <f t="shared" si="9"/>
        <v>7110000</v>
      </c>
      <c r="P43" s="257">
        <f t="shared" si="10"/>
        <v>1849</v>
      </c>
      <c r="Q43" s="257"/>
      <c r="R43" s="257"/>
      <c r="S43" s="257">
        <f t="shared" si="11"/>
        <v>0</v>
      </c>
      <c r="T43" s="257">
        <f t="shared" si="12"/>
        <v>0</v>
      </c>
      <c r="U43" s="257">
        <f t="shared" si="13"/>
        <v>0</v>
      </c>
      <c r="V43" s="257">
        <f t="shared" si="14"/>
        <v>0</v>
      </c>
      <c r="W43" s="257"/>
      <c r="X43" s="257"/>
      <c r="Y43" s="257"/>
      <c r="Z43" s="257"/>
      <c r="AA43" s="213"/>
      <c r="AB43" s="213" t="s">
        <v>1367</v>
      </c>
      <c r="AC43" s="213">
        <v>810000</v>
      </c>
      <c r="AD43" s="257"/>
      <c r="AE43" s="257"/>
      <c r="AF43" s="257"/>
      <c r="AG43" s="257"/>
      <c r="AH43" s="257"/>
      <c r="AI43" s="257"/>
      <c r="AJ43" s="257">
        <f t="shared" si="24"/>
        <v>0</v>
      </c>
      <c r="AK43" s="257">
        <f t="shared" si="1"/>
        <v>0</v>
      </c>
      <c r="AL43" s="257"/>
      <c r="AM43" s="236"/>
      <c r="AN43" s="257">
        <f t="shared" si="25"/>
        <v>0</v>
      </c>
      <c r="AO43" s="257">
        <f t="shared" si="15"/>
        <v>0</v>
      </c>
      <c r="AP43" s="257"/>
      <c r="AQ43" s="257"/>
      <c r="AR43" s="257"/>
      <c r="AS43" s="257"/>
      <c r="AT43" s="257"/>
      <c r="AU43" s="257"/>
      <c r="AV43" s="257"/>
      <c r="AW43" s="257"/>
      <c r="AX43" s="257">
        <f t="shared" si="27"/>
        <v>0</v>
      </c>
      <c r="AY43" s="257">
        <f t="shared" si="17"/>
        <v>0</v>
      </c>
      <c r="AZ43" s="257"/>
      <c r="BA43" s="257"/>
      <c r="BB43" s="257"/>
      <c r="BC43" s="257"/>
      <c r="BD43" s="257"/>
      <c r="BE43" s="257">
        <f t="shared" si="18"/>
        <v>0</v>
      </c>
      <c r="BF43" s="257">
        <f t="shared" si="19"/>
        <v>0</v>
      </c>
      <c r="BG43" s="257">
        <f t="shared" si="26"/>
        <v>0</v>
      </c>
      <c r="BH43" s="257"/>
      <c r="BI43" s="257"/>
      <c r="BJ43" s="257"/>
      <c r="BK43" s="257"/>
      <c r="BL43" s="257"/>
      <c r="BN43" s="123"/>
      <c r="BO43" s="123"/>
      <c r="BP43" s="123"/>
      <c r="BQ43" s="123"/>
      <c r="BR43" s="123"/>
      <c r="BS43" s="123"/>
    </row>
    <row r="44" spans="1:71" s="126" customFormat="1" ht="30" customHeight="1">
      <c r="A44" s="213">
        <f t="shared" si="5"/>
        <v>39</v>
      </c>
      <c r="B44" s="213">
        <v>2024</v>
      </c>
      <c r="C44" s="213" t="s">
        <v>221</v>
      </c>
      <c r="D44" s="257">
        <f>16300000+2100000</f>
        <v>18400000</v>
      </c>
      <c r="E44" s="257">
        <v>16300000</v>
      </c>
      <c r="F44" s="257">
        <f t="shared" si="6"/>
        <v>2100000</v>
      </c>
      <c r="G44" s="257">
        <v>16300000</v>
      </c>
      <c r="H44" s="257">
        <v>11225590</v>
      </c>
      <c r="I44" s="257"/>
      <c r="J44" s="257"/>
      <c r="K44" s="257">
        <f t="shared" si="7"/>
        <v>0</v>
      </c>
      <c r="L44" s="257">
        <f t="shared" si="8"/>
        <v>11225590</v>
      </c>
      <c r="M44" s="257">
        <f>P44+S44-5050000</f>
        <v>24410</v>
      </c>
      <c r="N44" s="257">
        <f>2100000+5050000</f>
        <v>7150000</v>
      </c>
      <c r="O44" s="257">
        <f t="shared" si="9"/>
        <v>0</v>
      </c>
      <c r="P44" s="257">
        <f t="shared" si="10"/>
        <v>5074410</v>
      </c>
      <c r="Q44" s="257"/>
      <c r="R44" s="257"/>
      <c r="S44" s="257">
        <f t="shared" si="11"/>
        <v>0</v>
      </c>
      <c r="T44" s="257">
        <f t="shared" si="12"/>
        <v>5050000</v>
      </c>
      <c r="U44" s="257">
        <f t="shared" si="13"/>
        <v>2100000</v>
      </c>
      <c r="V44" s="257">
        <f t="shared" si="14"/>
        <v>1654749</v>
      </c>
      <c r="W44" s="257"/>
      <c r="X44" s="257"/>
      <c r="Y44" s="257"/>
      <c r="Z44" s="257"/>
      <c r="AA44" s="257">
        <f>78000+367251</f>
        <v>445251</v>
      </c>
      <c r="AB44" s="213" t="s">
        <v>1368</v>
      </c>
      <c r="AC44" s="213">
        <v>810000</v>
      </c>
      <c r="AD44" s="257"/>
      <c r="AE44" s="257"/>
      <c r="AF44" s="257"/>
      <c r="AG44" s="257">
        <f>1654749+78000</f>
        <v>1732749</v>
      </c>
      <c r="AH44" s="257"/>
      <c r="AI44" s="257"/>
      <c r="AJ44" s="257">
        <f t="shared" si="24"/>
        <v>1732749</v>
      </c>
      <c r="AK44" s="257">
        <f t="shared" si="1"/>
        <v>367251</v>
      </c>
      <c r="AL44" s="257"/>
      <c r="AM44" s="236"/>
      <c r="AN44" s="257">
        <f t="shared" si="25"/>
        <v>367251</v>
      </c>
      <c r="AO44" s="257">
        <f t="shared" si="15"/>
        <v>0</v>
      </c>
      <c r="AP44" s="257"/>
      <c r="AQ44" s="257"/>
      <c r="AR44" s="257"/>
      <c r="AS44" s="257"/>
      <c r="AT44" s="257">
        <v>367251</v>
      </c>
      <c r="AU44" s="257"/>
      <c r="AV44" s="257"/>
      <c r="AW44" s="257">
        <v>367251</v>
      </c>
      <c r="AX44" s="257">
        <f t="shared" si="27"/>
        <v>0</v>
      </c>
      <c r="AY44" s="257">
        <f t="shared" si="17"/>
        <v>0</v>
      </c>
      <c r="AZ44" s="257"/>
      <c r="BA44" s="257"/>
      <c r="BB44" s="257"/>
      <c r="BC44" s="257"/>
      <c r="BD44" s="257">
        <f>367251-367251</f>
        <v>0</v>
      </c>
      <c r="BE44" s="257">
        <f t="shared" si="18"/>
        <v>1732749</v>
      </c>
      <c r="BF44" s="257">
        <f t="shared" si="19"/>
        <v>367251</v>
      </c>
      <c r="BG44" s="257">
        <f t="shared" si="26"/>
        <v>1654749</v>
      </c>
      <c r="BH44" s="257"/>
      <c r="BI44" s="257"/>
      <c r="BJ44" s="257"/>
      <c r="BK44" s="257"/>
      <c r="BL44" s="257">
        <f>445251-367251</f>
        <v>78000</v>
      </c>
      <c r="BN44" s="123"/>
      <c r="BO44" s="123"/>
      <c r="BP44" s="123"/>
      <c r="BQ44" s="123"/>
      <c r="BR44" s="123"/>
      <c r="BS44" s="123"/>
    </row>
    <row r="45" spans="1:71" ht="30" customHeight="1">
      <c r="A45" s="213">
        <f t="shared" si="5"/>
        <v>40</v>
      </c>
      <c r="B45" s="761">
        <v>2064</v>
      </c>
      <c r="C45" s="213" t="s">
        <v>1162</v>
      </c>
      <c r="D45" s="257">
        <f>2463705-30000</f>
        <v>2433705</v>
      </c>
      <c r="E45" s="257">
        <v>2463705</v>
      </c>
      <c r="F45" s="257">
        <f t="shared" si="6"/>
        <v>-30000</v>
      </c>
      <c r="G45" s="257">
        <v>2463705</v>
      </c>
      <c r="H45" s="257">
        <v>2429685</v>
      </c>
      <c r="I45" s="257"/>
      <c r="J45" s="257"/>
      <c r="K45" s="257">
        <f t="shared" si="7"/>
        <v>0</v>
      </c>
      <c r="L45" s="257">
        <f t="shared" si="8"/>
        <v>2429685</v>
      </c>
      <c r="M45" s="257">
        <f>P45+S45-30000</f>
        <v>4020</v>
      </c>
      <c r="N45" s="257"/>
      <c r="O45" s="257">
        <f t="shared" si="9"/>
        <v>0</v>
      </c>
      <c r="P45" s="257">
        <f t="shared" si="10"/>
        <v>34020</v>
      </c>
      <c r="Q45" s="257"/>
      <c r="R45" s="257"/>
      <c r="S45" s="257">
        <f t="shared" si="11"/>
        <v>0</v>
      </c>
      <c r="T45" s="257">
        <f t="shared" si="12"/>
        <v>30000</v>
      </c>
      <c r="U45" s="257">
        <f t="shared" si="13"/>
        <v>-30000</v>
      </c>
      <c r="V45" s="257">
        <f t="shared" si="14"/>
        <v>-30000</v>
      </c>
      <c r="W45" s="257"/>
      <c r="X45" s="257"/>
      <c r="Y45" s="257"/>
      <c r="Z45" s="257"/>
      <c r="AA45" s="213"/>
      <c r="AB45" s="213" t="s">
        <v>961</v>
      </c>
      <c r="AC45" s="213">
        <v>829000</v>
      </c>
      <c r="AD45" s="257">
        <v>-30000</v>
      </c>
      <c r="AE45" s="257"/>
      <c r="AF45" s="257"/>
      <c r="AG45" s="257"/>
      <c r="AH45" s="257"/>
      <c r="AI45" s="257"/>
      <c r="AJ45" s="257">
        <f t="shared" si="24"/>
        <v>-30000</v>
      </c>
      <c r="AK45" s="257">
        <f t="shared" si="1"/>
        <v>0</v>
      </c>
      <c r="AL45" s="257"/>
      <c r="AM45" s="236"/>
      <c r="AN45" s="257">
        <f t="shared" si="25"/>
        <v>0</v>
      </c>
      <c r="AO45" s="257">
        <f t="shared" si="15"/>
        <v>0</v>
      </c>
      <c r="AP45" s="257"/>
      <c r="AQ45" s="257"/>
      <c r="AR45" s="257"/>
      <c r="AS45" s="257"/>
      <c r="AT45" s="257"/>
      <c r="AU45" s="257"/>
      <c r="AV45" s="257"/>
      <c r="AW45" s="257"/>
      <c r="AX45" s="257">
        <f>AN45-AW45</f>
        <v>0</v>
      </c>
      <c r="AY45" s="257">
        <f t="shared" si="17"/>
        <v>0</v>
      </c>
      <c r="AZ45" s="257"/>
      <c r="BA45" s="257"/>
      <c r="BB45" s="257"/>
      <c r="BC45" s="257"/>
      <c r="BD45" s="257"/>
      <c r="BE45" s="257">
        <f t="shared" si="18"/>
        <v>-30000</v>
      </c>
      <c r="BF45" s="257">
        <f t="shared" si="19"/>
        <v>0</v>
      </c>
      <c r="BG45" s="257">
        <f t="shared" si="26"/>
        <v>-30000</v>
      </c>
      <c r="BH45" s="257"/>
      <c r="BI45" s="257"/>
      <c r="BJ45" s="257"/>
      <c r="BK45" s="257"/>
      <c r="BL45" s="257"/>
    </row>
    <row r="46" spans="1:71" ht="30" customHeight="1">
      <c r="A46" s="213">
        <f t="shared" si="5"/>
        <v>41</v>
      </c>
      <c r="B46" s="761">
        <v>2073</v>
      </c>
      <c r="C46" s="213" t="s">
        <v>1369</v>
      </c>
      <c r="D46" s="257">
        <f>60000000+5000000+21000000-12000000-62650000</f>
        <v>11350000</v>
      </c>
      <c r="E46" s="257">
        <v>11350000</v>
      </c>
      <c r="F46" s="257">
        <f t="shared" si="6"/>
        <v>0</v>
      </c>
      <c r="G46" s="257">
        <v>1600000</v>
      </c>
      <c r="H46" s="257">
        <v>501947</v>
      </c>
      <c r="I46" s="257"/>
      <c r="J46" s="257"/>
      <c r="K46" s="257">
        <f t="shared" si="7"/>
        <v>0</v>
      </c>
      <c r="L46" s="257">
        <f t="shared" si="8"/>
        <v>501947</v>
      </c>
      <c r="M46" s="257">
        <f>P46+S46-1090000</f>
        <v>8053</v>
      </c>
      <c r="N46" s="257">
        <f>30000000-20000000-4000000+1090000-6000000-300000</f>
        <v>790000</v>
      </c>
      <c r="O46" s="257">
        <f t="shared" si="9"/>
        <v>10050000</v>
      </c>
      <c r="P46" s="257">
        <f t="shared" si="10"/>
        <v>1098053</v>
      </c>
      <c r="Q46" s="257"/>
      <c r="R46" s="257"/>
      <c r="S46" s="257">
        <f t="shared" si="11"/>
        <v>0</v>
      </c>
      <c r="T46" s="257">
        <f t="shared" si="12"/>
        <v>1090000</v>
      </c>
      <c r="U46" s="257">
        <f t="shared" si="13"/>
        <v>-300000</v>
      </c>
      <c r="V46" s="257">
        <f t="shared" si="14"/>
        <v>-300000</v>
      </c>
      <c r="W46" s="257"/>
      <c r="X46" s="257"/>
      <c r="Y46" s="257"/>
      <c r="Z46" s="257"/>
      <c r="AA46" s="213"/>
      <c r="AB46" s="213" t="s">
        <v>962</v>
      </c>
      <c r="AC46" s="213">
        <v>829000</v>
      </c>
      <c r="AD46" s="257">
        <v>-300000</v>
      </c>
      <c r="AE46" s="257"/>
      <c r="AF46" s="257"/>
      <c r="AG46" s="257"/>
      <c r="AH46" s="257"/>
      <c r="AI46" s="257"/>
      <c r="AJ46" s="257">
        <f t="shared" si="24"/>
        <v>-300000</v>
      </c>
      <c r="AK46" s="257">
        <f t="shared" si="1"/>
        <v>0</v>
      </c>
      <c r="AL46" s="257"/>
      <c r="AM46" s="236"/>
      <c r="AN46" s="257">
        <f t="shared" si="25"/>
        <v>0</v>
      </c>
      <c r="AO46" s="257">
        <f t="shared" si="15"/>
        <v>0</v>
      </c>
      <c r="AP46" s="257"/>
      <c r="AQ46" s="257"/>
      <c r="AR46" s="257"/>
      <c r="AS46" s="257"/>
      <c r="AT46" s="257"/>
      <c r="AU46" s="257"/>
      <c r="AV46" s="257"/>
      <c r="AW46" s="257"/>
      <c r="AX46" s="257">
        <f t="shared" si="27"/>
        <v>0</v>
      </c>
      <c r="AY46" s="257">
        <f t="shared" si="17"/>
        <v>0</v>
      </c>
      <c r="AZ46" s="257"/>
      <c r="BA46" s="257"/>
      <c r="BB46" s="257"/>
      <c r="BC46" s="257"/>
      <c r="BD46" s="257"/>
      <c r="BE46" s="257">
        <f t="shared" si="18"/>
        <v>-300000</v>
      </c>
      <c r="BF46" s="257">
        <f t="shared" si="19"/>
        <v>0</v>
      </c>
      <c r="BG46" s="257">
        <f t="shared" si="26"/>
        <v>-300000</v>
      </c>
      <c r="BH46" s="257"/>
      <c r="BI46" s="257"/>
      <c r="BJ46" s="257"/>
      <c r="BK46" s="257"/>
      <c r="BL46" s="257"/>
    </row>
    <row r="47" spans="1:71" ht="30" customHeight="1">
      <c r="A47" s="213">
        <f t="shared" si="5"/>
        <v>42</v>
      </c>
      <c r="B47" s="761">
        <v>2076</v>
      </c>
      <c r="C47" s="213" t="s">
        <v>222</v>
      </c>
      <c r="D47" s="257">
        <v>2350000</v>
      </c>
      <c r="E47" s="257">
        <v>2350000</v>
      </c>
      <c r="F47" s="257">
        <f t="shared" si="6"/>
        <v>0</v>
      </c>
      <c r="G47" s="257">
        <v>1450000</v>
      </c>
      <c r="H47" s="257">
        <v>231641</v>
      </c>
      <c r="I47" s="257"/>
      <c r="J47" s="257"/>
      <c r="K47" s="257">
        <f t="shared" si="7"/>
        <v>0</v>
      </c>
      <c r="L47" s="257">
        <f t="shared" si="8"/>
        <v>231641</v>
      </c>
      <c r="M47" s="257">
        <f>P47+S47-900000-1200000</f>
        <v>18359</v>
      </c>
      <c r="N47" s="257">
        <f>900000+1200000-400000</f>
        <v>1700000</v>
      </c>
      <c r="O47" s="257">
        <f t="shared" si="9"/>
        <v>400000</v>
      </c>
      <c r="P47" s="257">
        <f t="shared" si="10"/>
        <v>1218359</v>
      </c>
      <c r="Q47" s="257">
        <v>900000</v>
      </c>
      <c r="R47" s="257"/>
      <c r="S47" s="257">
        <f t="shared" si="11"/>
        <v>900000</v>
      </c>
      <c r="T47" s="257">
        <f t="shared" si="12"/>
        <v>2100000</v>
      </c>
      <c r="U47" s="257">
        <f t="shared" si="13"/>
        <v>-400000</v>
      </c>
      <c r="V47" s="257">
        <f t="shared" si="14"/>
        <v>-400000</v>
      </c>
      <c r="W47" s="257"/>
      <c r="X47" s="257"/>
      <c r="Y47" s="257"/>
      <c r="Z47" s="257"/>
      <c r="AA47" s="213"/>
      <c r="AB47" s="213" t="s">
        <v>242</v>
      </c>
      <c r="AC47" s="213">
        <v>850000</v>
      </c>
      <c r="AD47" s="257">
        <v>-400000</v>
      </c>
      <c r="AE47" s="257"/>
      <c r="AF47" s="257"/>
      <c r="AG47" s="257"/>
      <c r="AH47" s="257"/>
      <c r="AI47" s="257"/>
      <c r="AJ47" s="257">
        <f t="shared" si="24"/>
        <v>-400000</v>
      </c>
      <c r="AK47" s="257">
        <f t="shared" si="1"/>
        <v>0</v>
      </c>
      <c r="AL47" s="257"/>
      <c r="AM47" s="236"/>
      <c r="AN47" s="257">
        <f t="shared" si="25"/>
        <v>0</v>
      </c>
      <c r="AO47" s="257">
        <f t="shared" si="15"/>
        <v>0</v>
      </c>
      <c r="AP47" s="257"/>
      <c r="AQ47" s="257"/>
      <c r="AR47" s="257"/>
      <c r="AS47" s="257"/>
      <c r="AT47" s="257"/>
      <c r="AU47" s="257"/>
      <c r="AV47" s="257">
        <v>400000</v>
      </c>
      <c r="AW47" s="257"/>
      <c r="AX47" s="257">
        <f t="shared" si="27"/>
        <v>0</v>
      </c>
      <c r="AY47" s="257">
        <f t="shared" si="17"/>
        <v>0</v>
      </c>
      <c r="AZ47" s="257"/>
      <c r="BA47" s="257"/>
      <c r="BB47" s="257"/>
      <c r="BC47" s="257"/>
      <c r="BD47" s="257"/>
      <c r="BE47" s="257">
        <f t="shared" si="18"/>
        <v>-400000</v>
      </c>
      <c r="BF47" s="257">
        <f t="shared" si="19"/>
        <v>0</v>
      </c>
      <c r="BG47" s="257">
        <f t="shared" si="26"/>
        <v>-400000</v>
      </c>
      <c r="BH47" s="257"/>
      <c r="BI47" s="257"/>
      <c r="BJ47" s="257"/>
      <c r="BK47" s="257"/>
      <c r="BL47" s="257"/>
    </row>
    <row r="48" spans="1:71" s="5" customFormat="1" ht="30" customHeight="1">
      <c r="A48" s="213">
        <f t="shared" si="5"/>
        <v>43</v>
      </c>
      <c r="B48" s="19">
        <v>2078</v>
      </c>
      <c r="C48" s="19" t="s">
        <v>210</v>
      </c>
      <c r="D48" s="257">
        <v>2460000</v>
      </c>
      <c r="E48" s="257">
        <v>2460000</v>
      </c>
      <c r="F48" s="257">
        <f t="shared" si="6"/>
        <v>0</v>
      </c>
      <c r="G48" s="257">
        <v>1960000</v>
      </c>
      <c r="H48" s="257">
        <v>239106</v>
      </c>
      <c r="I48" s="257"/>
      <c r="J48" s="257"/>
      <c r="K48" s="257">
        <f t="shared" si="7"/>
        <v>0</v>
      </c>
      <c r="L48" s="257">
        <f t="shared" si="8"/>
        <v>239106</v>
      </c>
      <c r="M48" s="257">
        <f>P48+S48-500000-1700000</f>
        <v>20894</v>
      </c>
      <c r="N48" s="257">
        <f>500000+1700000-100000</f>
        <v>2100000</v>
      </c>
      <c r="O48" s="257">
        <f t="shared" si="9"/>
        <v>100000</v>
      </c>
      <c r="P48" s="257">
        <f t="shared" si="10"/>
        <v>1720894</v>
      </c>
      <c r="Q48" s="257">
        <v>500000</v>
      </c>
      <c r="R48" s="257"/>
      <c r="S48" s="257">
        <f t="shared" si="11"/>
        <v>500000</v>
      </c>
      <c r="T48" s="257">
        <f t="shared" si="12"/>
        <v>2200000</v>
      </c>
      <c r="U48" s="257">
        <f t="shared" si="13"/>
        <v>-100000</v>
      </c>
      <c r="V48" s="257">
        <f t="shared" si="14"/>
        <v>-100000</v>
      </c>
      <c r="W48" s="257"/>
      <c r="X48" s="257"/>
      <c r="Y48" s="257"/>
      <c r="Z48" s="257"/>
      <c r="AA48" s="213"/>
      <c r="AB48" s="19" t="s">
        <v>264</v>
      </c>
      <c r="AC48" s="19">
        <v>742000</v>
      </c>
      <c r="AD48" s="257">
        <v>-100000</v>
      </c>
      <c r="AE48" s="257"/>
      <c r="AF48" s="257"/>
      <c r="AG48" s="257"/>
      <c r="AH48" s="257"/>
      <c r="AI48" s="257"/>
      <c r="AJ48" s="257">
        <f t="shared" si="24"/>
        <v>-100000</v>
      </c>
      <c r="AK48" s="257">
        <f t="shared" si="1"/>
        <v>0</v>
      </c>
      <c r="AL48" s="257"/>
      <c r="AM48" s="236"/>
      <c r="AN48" s="257">
        <f t="shared" si="25"/>
        <v>0</v>
      </c>
      <c r="AO48" s="257">
        <f t="shared" si="15"/>
        <v>0</v>
      </c>
      <c r="AP48" s="257"/>
      <c r="AQ48" s="257"/>
      <c r="AR48" s="257"/>
      <c r="AS48" s="257"/>
      <c r="AT48" s="257"/>
      <c r="AU48" s="257"/>
      <c r="AV48" s="257"/>
      <c r="AW48" s="257"/>
      <c r="AX48" s="257">
        <f>AN48-AW48</f>
        <v>0</v>
      </c>
      <c r="AY48" s="257">
        <f t="shared" si="17"/>
        <v>0</v>
      </c>
      <c r="AZ48" s="257"/>
      <c r="BA48" s="257"/>
      <c r="BB48" s="257"/>
      <c r="BC48" s="257"/>
      <c r="BD48" s="257"/>
      <c r="BE48" s="257">
        <f t="shared" si="18"/>
        <v>-100000</v>
      </c>
      <c r="BF48" s="257">
        <f t="shared" si="19"/>
        <v>0</v>
      </c>
      <c r="BG48" s="257">
        <f t="shared" si="26"/>
        <v>-100000</v>
      </c>
      <c r="BH48" s="257"/>
      <c r="BI48" s="257"/>
      <c r="BJ48" s="257"/>
      <c r="BK48" s="257"/>
      <c r="BL48" s="257"/>
      <c r="BN48" s="123"/>
      <c r="BO48" s="123"/>
      <c r="BP48" s="123"/>
      <c r="BQ48" s="123"/>
      <c r="BR48" s="123"/>
      <c r="BS48" s="123"/>
    </row>
    <row r="49" spans="1:71" ht="30" customHeight="1">
      <c r="A49" s="213">
        <f t="shared" si="5"/>
        <v>44</v>
      </c>
      <c r="B49" s="19">
        <v>2097</v>
      </c>
      <c r="C49" s="213" t="s">
        <v>223</v>
      </c>
      <c r="D49" s="257">
        <v>79000000</v>
      </c>
      <c r="E49" s="257">
        <v>79000000</v>
      </c>
      <c r="F49" s="257">
        <f t="shared" si="6"/>
        <v>0</v>
      </c>
      <c r="G49" s="257">
        <f>26619617+2852702</f>
        <v>29472319</v>
      </c>
      <c r="H49" s="257">
        <v>34007912</v>
      </c>
      <c r="I49" s="257"/>
      <c r="J49" s="257">
        <v>448008</v>
      </c>
      <c r="K49" s="257">
        <f t="shared" si="7"/>
        <v>448008</v>
      </c>
      <c r="L49" s="257">
        <f t="shared" si="8"/>
        <v>34455920</v>
      </c>
      <c r="M49" s="257">
        <f>P49+S49-6650000</f>
        <v>13697</v>
      </c>
      <c r="N49" s="257">
        <f>37880383-27880383+3901997-4000000+6650000-2000000</f>
        <v>14551997</v>
      </c>
      <c r="O49" s="257">
        <f t="shared" si="9"/>
        <v>29978386</v>
      </c>
      <c r="P49" s="257">
        <f t="shared" si="10"/>
        <v>-4983601</v>
      </c>
      <c r="Q49" s="257">
        <f>14500000-2852702</f>
        <v>11647298</v>
      </c>
      <c r="R49" s="257"/>
      <c r="S49" s="257">
        <f t="shared" si="11"/>
        <v>11647298</v>
      </c>
      <c r="T49" s="257">
        <f t="shared" si="12"/>
        <v>6650000</v>
      </c>
      <c r="U49" s="257">
        <f t="shared" si="13"/>
        <v>7901997</v>
      </c>
      <c r="V49" s="257">
        <f t="shared" si="14"/>
        <v>4000000</v>
      </c>
      <c r="W49" s="257"/>
      <c r="X49" s="257"/>
      <c r="Y49" s="257"/>
      <c r="Z49" s="257"/>
      <c r="AA49" s="257">
        <f>382200+141574+3378223</f>
        <v>3901997</v>
      </c>
      <c r="AB49" s="213" t="s">
        <v>1163</v>
      </c>
      <c r="AC49" s="213">
        <v>810000</v>
      </c>
      <c r="AD49" s="257"/>
      <c r="AE49" s="257"/>
      <c r="AF49" s="257">
        <v>2000000</v>
      </c>
      <c r="AG49" s="257">
        <f>269484+382200+2000000+141574</f>
        <v>2793258</v>
      </c>
      <c r="AH49" s="257"/>
      <c r="AI49" s="257"/>
      <c r="AJ49" s="257">
        <f t="shared" si="24"/>
        <v>4793258</v>
      </c>
      <c r="AK49" s="257">
        <f t="shared" si="1"/>
        <v>3108739</v>
      </c>
      <c r="AL49" s="257"/>
      <c r="AM49" s="236"/>
      <c r="AN49" s="257">
        <f t="shared" si="25"/>
        <v>3108739</v>
      </c>
      <c r="AO49" s="257">
        <f t="shared" si="15"/>
        <v>0</v>
      </c>
      <c r="AP49" s="257"/>
      <c r="AQ49" s="257"/>
      <c r="AR49" s="257"/>
      <c r="AS49" s="257"/>
      <c r="AT49" s="257">
        <v>3108739</v>
      </c>
      <c r="AU49" s="257">
        <v>10000000</v>
      </c>
      <c r="AV49" s="257">
        <v>7500000</v>
      </c>
      <c r="AW49" s="257">
        <v>3108739</v>
      </c>
      <c r="AX49" s="257">
        <f t="shared" si="27"/>
        <v>0</v>
      </c>
      <c r="AY49" s="257">
        <f t="shared" si="17"/>
        <v>0</v>
      </c>
      <c r="AZ49" s="257"/>
      <c r="BA49" s="257"/>
      <c r="BB49" s="257"/>
      <c r="BC49" s="257"/>
      <c r="BD49" s="257"/>
      <c r="BE49" s="257">
        <f t="shared" si="18"/>
        <v>4793258</v>
      </c>
      <c r="BF49" s="257">
        <f t="shared" si="19"/>
        <v>3108739</v>
      </c>
      <c r="BG49" s="257">
        <f t="shared" si="26"/>
        <v>4000000</v>
      </c>
      <c r="BH49" s="257"/>
      <c r="BI49" s="257"/>
      <c r="BJ49" s="257"/>
      <c r="BK49" s="257"/>
      <c r="BL49" s="257">
        <v>793258</v>
      </c>
    </row>
    <row r="50" spans="1:71" ht="30" customHeight="1">
      <c r="A50" s="213">
        <f t="shared" si="5"/>
        <v>45</v>
      </c>
      <c r="B50" s="19">
        <v>2099</v>
      </c>
      <c r="C50" s="213" t="s">
        <v>224</v>
      </c>
      <c r="D50" s="257">
        <f>17650000+3150000+60000</f>
        <v>20860000</v>
      </c>
      <c r="E50" s="257">
        <v>17650000</v>
      </c>
      <c r="F50" s="257">
        <f t="shared" si="6"/>
        <v>3210000</v>
      </c>
      <c r="G50" s="257">
        <f>15000000+1500000</f>
        <v>16500000</v>
      </c>
      <c r="H50" s="257">
        <v>15906185</v>
      </c>
      <c r="I50" s="257"/>
      <c r="J50" s="257"/>
      <c r="K50" s="257">
        <f t="shared" si="7"/>
        <v>0</v>
      </c>
      <c r="L50" s="257">
        <f t="shared" si="8"/>
        <v>15906185</v>
      </c>
      <c r="M50" s="257">
        <f>P50+S50-590000</f>
        <v>3815</v>
      </c>
      <c r="N50" s="257">
        <f>1150000+3150000+60000+590000</f>
        <v>4950000</v>
      </c>
      <c r="O50" s="257">
        <f t="shared" si="9"/>
        <v>0</v>
      </c>
      <c r="P50" s="257">
        <f t="shared" si="10"/>
        <v>593815</v>
      </c>
      <c r="Q50" s="257">
        <f>1500000-1500000</f>
        <v>0</v>
      </c>
      <c r="R50" s="257"/>
      <c r="S50" s="257">
        <f t="shared" si="11"/>
        <v>0</v>
      </c>
      <c r="T50" s="257">
        <f t="shared" si="12"/>
        <v>590000</v>
      </c>
      <c r="U50" s="257">
        <f t="shared" si="13"/>
        <v>4360000</v>
      </c>
      <c r="V50" s="257">
        <f t="shared" si="14"/>
        <v>4360000</v>
      </c>
      <c r="W50" s="257"/>
      <c r="X50" s="257"/>
      <c r="Y50" s="257"/>
      <c r="Z50" s="257"/>
      <c r="AA50" s="213"/>
      <c r="AB50" s="207" t="s">
        <v>405</v>
      </c>
      <c r="AC50" s="213">
        <v>826000</v>
      </c>
      <c r="AD50" s="257"/>
      <c r="AE50" s="257">
        <v>1000000</v>
      </c>
      <c r="AF50" s="257"/>
      <c r="AG50" s="257"/>
      <c r="AH50" s="257">
        <v>3360000</v>
      </c>
      <c r="AI50" s="257"/>
      <c r="AJ50" s="257">
        <f t="shared" si="24"/>
        <v>4360000</v>
      </c>
      <c r="AK50" s="257">
        <f t="shared" si="1"/>
        <v>0</v>
      </c>
      <c r="AL50" s="257"/>
      <c r="AM50" s="236"/>
      <c r="AN50" s="257">
        <f t="shared" si="25"/>
        <v>0</v>
      </c>
      <c r="AO50" s="257">
        <f t="shared" si="15"/>
        <v>0</v>
      </c>
      <c r="AP50" s="257"/>
      <c r="AQ50" s="257"/>
      <c r="AR50" s="257"/>
      <c r="AS50" s="257"/>
      <c r="AT50" s="257"/>
      <c r="AU50" s="257"/>
      <c r="AV50" s="257"/>
      <c r="AW50" s="257"/>
      <c r="AX50" s="257">
        <f>AN50-AW50</f>
        <v>0</v>
      </c>
      <c r="AY50" s="257">
        <f t="shared" si="17"/>
        <v>0</v>
      </c>
      <c r="AZ50" s="257"/>
      <c r="BA50" s="257"/>
      <c r="BB50" s="257"/>
      <c r="BC50" s="257"/>
      <c r="BD50" s="257"/>
      <c r="BE50" s="257">
        <f t="shared" si="18"/>
        <v>4360000</v>
      </c>
      <c r="BF50" s="257">
        <f t="shared" si="19"/>
        <v>0</v>
      </c>
      <c r="BG50" s="257">
        <f t="shared" si="26"/>
        <v>4360000</v>
      </c>
      <c r="BH50" s="257"/>
      <c r="BI50" s="257"/>
      <c r="BJ50" s="257"/>
      <c r="BK50" s="257"/>
      <c r="BL50" s="257"/>
    </row>
    <row r="51" spans="1:71" ht="30" customHeight="1">
      <c r="A51" s="213">
        <f t="shared" si="5"/>
        <v>46</v>
      </c>
      <c r="B51" s="19">
        <v>2101</v>
      </c>
      <c r="C51" s="213" t="s">
        <v>346</v>
      </c>
      <c r="D51" s="257">
        <v>24200000</v>
      </c>
      <c r="E51" s="257">
        <v>24200000</v>
      </c>
      <c r="F51" s="257">
        <f t="shared" si="6"/>
        <v>0</v>
      </c>
      <c r="G51" s="257">
        <f>1500000+1500000</f>
        <v>3000000</v>
      </c>
      <c r="H51" s="257">
        <v>4730972</v>
      </c>
      <c r="I51" s="257"/>
      <c r="J51" s="257"/>
      <c r="K51" s="257">
        <f t="shared" si="7"/>
        <v>0</v>
      </c>
      <c r="L51" s="257">
        <f t="shared" si="8"/>
        <v>4730972</v>
      </c>
      <c r="M51" s="257">
        <f>P51+S51-2750000</f>
        <v>19028</v>
      </c>
      <c r="N51" s="257">
        <f>16700000-8000000+2750000-1000000</f>
        <v>10450000</v>
      </c>
      <c r="O51" s="257">
        <f t="shared" si="9"/>
        <v>9000000</v>
      </c>
      <c r="P51" s="257">
        <f t="shared" si="10"/>
        <v>-1730972</v>
      </c>
      <c r="Q51" s="257">
        <f>6000000-1500000</f>
        <v>4500000</v>
      </c>
      <c r="R51" s="257"/>
      <c r="S51" s="257">
        <f t="shared" si="11"/>
        <v>4500000</v>
      </c>
      <c r="T51" s="257">
        <f t="shared" si="12"/>
        <v>2750000</v>
      </c>
      <c r="U51" s="257">
        <f t="shared" si="13"/>
        <v>7700000</v>
      </c>
      <c r="V51" s="257">
        <f t="shared" si="14"/>
        <v>7700000</v>
      </c>
      <c r="W51" s="257">
        <f>500000+20000+188000-500000-20000-188000</f>
        <v>0</v>
      </c>
      <c r="X51" s="257"/>
      <c r="Y51" s="257"/>
      <c r="Z51" s="257"/>
      <c r="AA51" s="257">
        <f>W51*0.7</f>
        <v>0</v>
      </c>
      <c r="AB51" s="207" t="s">
        <v>659</v>
      </c>
      <c r="AC51" s="213">
        <v>840000</v>
      </c>
      <c r="AD51" s="257"/>
      <c r="AE51" s="257"/>
      <c r="AF51" s="257">
        <v>1500000</v>
      </c>
      <c r="AG51" s="257"/>
      <c r="AH51" s="257"/>
      <c r="AI51" s="257"/>
      <c r="AJ51" s="257">
        <f t="shared" si="24"/>
        <v>1500000</v>
      </c>
      <c r="AK51" s="257">
        <f t="shared" si="1"/>
        <v>6200000</v>
      </c>
      <c r="AL51" s="257"/>
      <c r="AM51" s="236"/>
      <c r="AN51" s="257">
        <f t="shared" si="25"/>
        <v>6200000</v>
      </c>
      <c r="AO51" s="257">
        <f t="shared" si="15"/>
        <v>6200000</v>
      </c>
      <c r="AP51" s="257"/>
      <c r="AQ51" s="257"/>
      <c r="AR51" s="257"/>
      <c r="AS51" s="257"/>
      <c r="AT51" s="257"/>
      <c r="AU51" s="257"/>
      <c r="AV51" s="257">
        <v>2000000</v>
      </c>
      <c r="AW51" s="257"/>
      <c r="AX51" s="257">
        <f t="shared" si="27"/>
        <v>6200000</v>
      </c>
      <c r="AY51" s="257">
        <f t="shared" si="17"/>
        <v>6200000</v>
      </c>
      <c r="AZ51" s="257"/>
      <c r="BA51" s="257"/>
      <c r="BB51" s="257"/>
      <c r="BC51" s="257"/>
      <c r="BD51" s="257"/>
      <c r="BE51" s="257">
        <f t="shared" si="18"/>
        <v>7700000</v>
      </c>
      <c r="BF51" s="257">
        <f t="shared" si="19"/>
        <v>0</v>
      </c>
      <c r="BG51" s="257">
        <f t="shared" si="26"/>
        <v>7700000</v>
      </c>
      <c r="BH51" s="257"/>
      <c r="BI51" s="257"/>
      <c r="BJ51" s="257"/>
      <c r="BK51" s="257"/>
      <c r="BL51" s="257"/>
    </row>
    <row r="52" spans="1:71" ht="30" customHeight="1">
      <c r="A52" s="213">
        <f t="shared" si="5"/>
        <v>47</v>
      </c>
      <c r="B52" s="19">
        <v>2103</v>
      </c>
      <c r="C52" s="213" t="s">
        <v>1370</v>
      </c>
      <c r="D52" s="257">
        <v>4200000</v>
      </c>
      <c r="E52" s="257">
        <v>4200000</v>
      </c>
      <c r="F52" s="257">
        <f t="shared" si="6"/>
        <v>0</v>
      </c>
      <c r="G52" s="257">
        <v>1000000</v>
      </c>
      <c r="H52" s="257">
        <v>875595</v>
      </c>
      <c r="I52" s="257"/>
      <c r="J52" s="257"/>
      <c r="K52" s="257">
        <f t="shared" si="7"/>
        <v>0</v>
      </c>
      <c r="L52" s="257">
        <f t="shared" si="8"/>
        <v>875595</v>
      </c>
      <c r="M52" s="257">
        <f>P52+S52-700000-120000</f>
        <v>4405</v>
      </c>
      <c r="N52" s="257">
        <v>120000</v>
      </c>
      <c r="O52" s="257">
        <f t="shared" si="9"/>
        <v>3200000</v>
      </c>
      <c r="P52" s="257">
        <f t="shared" si="10"/>
        <v>124405</v>
      </c>
      <c r="Q52" s="257">
        <v>700000</v>
      </c>
      <c r="R52" s="257"/>
      <c r="S52" s="257">
        <f t="shared" si="11"/>
        <v>700000</v>
      </c>
      <c r="T52" s="257">
        <f t="shared" si="12"/>
        <v>820000</v>
      </c>
      <c r="U52" s="257">
        <f t="shared" si="13"/>
        <v>-700000</v>
      </c>
      <c r="V52" s="257">
        <f t="shared" si="14"/>
        <v>-700000</v>
      </c>
      <c r="W52" s="257"/>
      <c r="X52" s="257"/>
      <c r="Y52" s="257"/>
      <c r="Z52" s="257"/>
      <c r="AA52" s="213"/>
      <c r="AB52" s="213" t="s">
        <v>963</v>
      </c>
      <c r="AC52" s="213">
        <v>848000</v>
      </c>
      <c r="AD52" s="257">
        <v>-700000</v>
      </c>
      <c r="AE52" s="257"/>
      <c r="AF52" s="257"/>
      <c r="AG52" s="257"/>
      <c r="AH52" s="257"/>
      <c r="AI52" s="257"/>
      <c r="AJ52" s="257">
        <f t="shared" si="24"/>
        <v>-700000</v>
      </c>
      <c r="AK52" s="257">
        <f t="shared" si="1"/>
        <v>0</v>
      </c>
      <c r="AL52" s="257"/>
      <c r="AM52" s="236"/>
      <c r="AN52" s="257">
        <f t="shared" si="25"/>
        <v>0</v>
      </c>
      <c r="AO52" s="257">
        <f t="shared" si="15"/>
        <v>0</v>
      </c>
      <c r="AP52" s="257"/>
      <c r="AQ52" s="257"/>
      <c r="AR52" s="257"/>
      <c r="AS52" s="257"/>
      <c r="AT52" s="257"/>
      <c r="AU52" s="257"/>
      <c r="AV52" s="257"/>
      <c r="AW52" s="257"/>
      <c r="AX52" s="257">
        <f>AN52-AW52</f>
        <v>0</v>
      </c>
      <c r="AY52" s="257">
        <f t="shared" si="17"/>
        <v>0</v>
      </c>
      <c r="AZ52" s="257"/>
      <c r="BA52" s="257"/>
      <c r="BB52" s="257"/>
      <c r="BC52" s="257"/>
      <c r="BD52" s="257"/>
      <c r="BE52" s="257">
        <f t="shared" si="18"/>
        <v>-700000</v>
      </c>
      <c r="BF52" s="257">
        <f t="shared" si="19"/>
        <v>0</v>
      </c>
      <c r="BG52" s="257">
        <f t="shared" si="26"/>
        <v>-700000</v>
      </c>
      <c r="BH52" s="257"/>
      <c r="BI52" s="257"/>
      <c r="BJ52" s="257"/>
      <c r="BK52" s="257"/>
      <c r="BL52" s="257"/>
    </row>
    <row r="53" spans="1:71" s="6" customFormat="1" ht="30" customHeight="1">
      <c r="A53" s="213">
        <f t="shared" si="5"/>
        <v>48</v>
      </c>
      <c r="B53" s="19">
        <v>2106</v>
      </c>
      <c r="C53" s="19" t="s">
        <v>293</v>
      </c>
      <c r="D53" s="257">
        <v>15000000</v>
      </c>
      <c r="E53" s="257">
        <v>15000000</v>
      </c>
      <c r="F53" s="257">
        <f t="shared" si="6"/>
        <v>0</v>
      </c>
      <c r="G53" s="257">
        <v>4000000</v>
      </c>
      <c r="H53" s="257">
        <v>1908005</v>
      </c>
      <c r="I53" s="257"/>
      <c r="J53" s="257"/>
      <c r="K53" s="257">
        <f t="shared" si="7"/>
        <v>0</v>
      </c>
      <c r="L53" s="257">
        <f t="shared" si="8"/>
        <v>1908005</v>
      </c>
      <c r="M53" s="257">
        <f>P53+S53-500000-2050000</f>
        <v>41995</v>
      </c>
      <c r="N53" s="257">
        <f>500000+2050000</f>
        <v>2550000</v>
      </c>
      <c r="O53" s="257">
        <f t="shared" si="9"/>
        <v>10500000</v>
      </c>
      <c r="P53" s="257">
        <f t="shared" si="10"/>
        <v>2091995</v>
      </c>
      <c r="Q53" s="257">
        <v>500000</v>
      </c>
      <c r="R53" s="257"/>
      <c r="S53" s="257">
        <f t="shared" si="11"/>
        <v>500000</v>
      </c>
      <c r="T53" s="257">
        <f t="shared" si="12"/>
        <v>2550000</v>
      </c>
      <c r="U53" s="257">
        <f t="shared" si="13"/>
        <v>0</v>
      </c>
      <c r="V53" s="257">
        <f t="shared" si="14"/>
        <v>0</v>
      </c>
      <c r="W53" s="257"/>
      <c r="X53" s="257"/>
      <c r="Y53" s="257"/>
      <c r="Z53" s="257"/>
      <c r="AA53" s="213"/>
      <c r="AB53" s="213" t="s">
        <v>394</v>
      </c>
      <c r="AC53" s="19">
        <v>742000</v>
      </c>
      <c r="AD53" s="257"/>
      <c r="AE53" s="257"/>
      <c r="AF53" s="257"/>
      <c r="AG53" s="257"/>
      <c r="AH53" s="257"/>
      <c r="AI53" s="257"/>
      <c r="AJ53" s="257">
        <f t="shared" si="24"/>
        <v>0</v>
      </c>
      <c r="AK53" s="257">
        <f t="shared" si="1"/>
        <v>0</v>
      </c>
      <c r="AL53" s="257"/>
      <c r="AM53" s="236"/>
      <c r="AN53" s="257">
        <f t="shared" si="25"/>
        <v>0</v>
      </c>
      <c r="AO53" s="257">
        <f t="shared" si="15"/>
        <v>0</v>
      </c>
      <c r="AP53" s="257"/>
      <c r="AQ53" s="257"/>
      <c r="AR53" s="257"/>
      <c r="AS53" s="257"/>
      <c r="AT53" s="257"/>
      <c r="AU53" s="257"/>
      <c r="AV53" s="257"/>
      <c r="AW53" s="257"/>
      <c r="AX53" s="257">
        <f t="shared" ref="AX53:AX57" si="28">AN53-AW53</f>
        <v>0</v>
      </c>
      <c r="AY53" s="257">
        <f t="shared" si="17"/>
        <v>0</v>
      </c>
      <c r="AZ53" s="257"/>
      <c r="BA53" s="257"/>
      <c r="BB53" s="257"/>
      <c r="BC53" s="257"/>
      <c r="BD53" s="257"/>
      <c r="BE53" s="257">
        <f t="shared" si="18"/>
        <v>0</v>
      </c>
      <c r="BF53" s="257">
        <f t="shared" si="19"/>
        <v>0</v>
      </c>
      <c r="BG53" s="257">
        <f t="shared" si="26"/>
        <v>0</v>
      </c>
      <c r="BH53" s="257"/>
      <c r="BI53" s="257"/>
      <c r="BJ53" s="257"/>
      <c r="BK53" s="257"/>
      <c r="BL53" s="257"/>
      <c r="BN53" s="123"/>
      <c r="BO53" s="123"/>
      <c r="BP53" s="123"/>
      <c r="BQ53" s="123"/>
      <c r="BR53" s="123"/>
      <c r="BS53" s="123"/>
    </row>
    <row r="54" spans="1:71" s="5" customFormat="1" ht="30" customHeight="1">
      <c r="A54" s="213">
        <f t="shared" si="5"/>
        <v>49</v>
      </c>
      <c r="B54" s="19">
        <v>2109</v>
      </c>
      <c r="C54" s="19" t="s">
        <v>211</v>
      </c>
      <c r="D54" s="257">
        <f>2000000+5500000</f>
        <v>7500000</v>
      </c>
      <c r="E54" s="257">
        <v>2000000</v>
      </c>
      <c r="F54" s="257">
        <f t="shared" si="6"/>
        <v>5500000</v>
      </c>
      <c r="G54" s="257">
        <v>850000</v>
      </c>
      <c r="H54" s="257">
        <v>159190</v>
      </c>
      <c r="I54" s="257"/>
      <c r="J54" s="257"/>
      <c r="K54" s="257">
        <f t="shared" si="7"/>
        <v>0</v>
      </c>
      <c r="L54" s="257">
        <f t="shared" si="8"/>
        <v>159190</v>
      </c>
      <c r="M54" s="257">
        <f>P54+S54-690000</f>
        <v>810</v>
      </c>
      <c r="N54" s="257">
        <v>690000</v>
      </c>
      <c r="O54" s="257">
        <f t="shared" si="9"/>
        <v>6650000</v>
      </c>
      <c r="P54" s="257">
        <f t="shared" si="10"/>
        <v>690810</v>
      </c>
      <c r="Q54" s="257"/>
      <c r="R54" s="257"/>
      <c r="S54" s="257">
        <f t="shared" si="11"/>
        <v>0</v>
      </c>
      <c r="T54" s="257">
        <f t="shared" si="12"/>
        <v>690000</v>
      </c>
      <c r="U54" s="257">
        <f t="shared" si="13"/>
        <v>0</v>
      </c>
      <c r="V54" s="257">
        <f t="shared" si="14"/>
        <v>0</v>
      </c>
      <c r="W54" s="257"/>
      <c r="X54" s="257"/>
      <c r="Y54" s="257"/>
      <c r="Z54" s="257"/>
      <c r="AA54" s="213"/>
      <c r="AB54" s="19" t="s">
        <v>1371</v>
      </c>
      <c r="AC54" s="19">
        <v>742000</v>
      </c>
      <c r="AD54" s="257"/>
      <c r="AE54" s="257"/>
      <c r="AF54" s="257"/>
      <c r="AG54" s="257"/>
      <c r="AH54" s="257"/>
      <c r="AI54" s="257"/>
      <c r="AJ54" s="257">
        <f t="shared" si="24"/>
        <v>0</v>
      </c>
      <c r="AK54" s="257">
        <f t="shared" si="1"/>
        <v>0</v>
      </c>
      <c r="AL54" s="257"/>
      <c r="AM54" s="236"/>
      <c r="AN54" s="257">
        <f t="shared" si="25"/>
        <v>0</v>
      </c>
      <c r="AO54" s="257">
        <f t="shared" si="15"/>
        <v>0</v>
      </c>
      <c r="AP54" s="257"/>
      <c r="AQ54" s="257"/>
      <c r="AR54" s="257"/>
      <c r="AS54" s="257"/>
      <c r="AT54" s="257"/>
      <c r="AU54" s="257"/>
      <c r="AV54" s="257"/>
      <c r="AW54" s="257"/>
      <c r="AX54" s="257">
        <f t="shared" si="28"/>
        <v>0</v>
      </c>
      <c r="AY54" s="257">
        <f t="shared" si="17"/>
        <v>0</v>
      </c>
      <c r="AZ54" s="257"/>
      <c r="BA54" s="257"/>
      <c r="BB54" s="257"/>
      <c r="BC54" s="257"/>
      <c r="BD54" s="257"/>
      <c r="BE54" s="257">
        <f t="shared" si="18"/>
        <v>0</v>
      </c>
      <c r="BF54" s="257">
        <f t="shared" si="19"/>
        <v>0</v>
      </c>
      <c r="BG54" s="257">
        <f t="shared" si="26"/>
        <v>0</v>
      </c>
      <c r="BH54" s="257"/>
      <c r="BI54" s="257"/>
      <c r="BJ54" s="257"/>
      <c r="BK54" s="257"/>
      <c r="BL54" s="257"/>
      <c r="BN54" s="123"/>
      <c r="BO54" s="123"/>
      <c r="BP54" s="123"/>
      <c r="BQ54" s="123"/>
      <c r="BR54" s="123"/>
      <c r="BS54" s="123"/>
    </row>
    <row r="55" spans="1:71" s="5" customFormat="1" ht="30" customHeight="1">
      <c r="A55" s="213">
        <f t="shared" si="5"/>
        <v>50</v>
      </c>
      <c r="B55" s="19">
        <v>2110</v>
      </c>
      <c r="C55" s="19" t="s">
        <v>1147</v>
      </c>
      <c r="D55" s="257">
        <v>16000000</v>
      </c>
      <c r="E55" s="257">
        <v>16000000</v>
      </c>
      <c r="F55" s="257">
        <f t="shared" si="6"/>
        <v>0</v>
      </c>
      <c r="G55" s="257">
        <v>50000</v>
      </c>
      <c r="H55" s="257"/>
      <c r="I55" s="257"/>
      <c r="J55" s="257"/>
      <c r="K55" s="257">
        <f t="shared" si="7"/>
        <v>0</v>
      </c>
      <c r="L55" s="257">
        <f t="shared" si="8"/>
        <v>0</v>
      </c>
      <c r="M55" s="257">
        <f>P55+S55-50000</f>
        <v>0</v>
      </c>
      <c r="N55" s="257"/>
      <c r="O55" s="257">
        <f t="shared" si="9"/>
        <v>16000000</v>
      </c>
      <c r="P55" s="257">
        <f t="shared" si="10"/>
        <v>50000</v>
      </c>
      <c r="Q55" s="257"/>
      <c r="R55" s="257"/>
      <c r="S55" s="257">
        <f t="shared" si="11"/>
        <v>0</v>
      </c>
      <c r="T55" s="257">
        <f t="shared" si="12"/>
        <v>50000</v>
      </c>
      <c r="U55" s="257">
        <f t="shared" si="13"/>
        <v>-50000</v>
      </c>
      <c r="V55" s="257">
        <f t="shared" si="14"/>
        <v>-50000</v>
      </c>
      <c r="W55" s="257"/>
      <c r="X55" s="257"/>
      <c r="Y55" s="257"/>
      <c r="Z55" s="257"/>
      <c r="AA55" s="213"/>
      <c r="AB55" s="19" t="s">
        <v>964</v>
      </c>
      <c r="AC55" s="19">
        <v>742000</v>
      </c>
      <c r="AD55" s="257">
        <v>-50000</v>
      </c>
      <c r="AE55" s="257"/>
      <c r="AF55" s="257"/>
      <c r="AG55" s="257"/>
      <c r="AH55" s="257"/>
      <c r="AI55" s="257"/>
      <c r="AJ55" s="257">
        <f t="shared" si="24"/>
        <v>-50000</v>
      </c>
      <c r="AK55" s="257">
        <f t="shared" si="1"/>
        <v>0</v>
      </c>
      <c r="AL55" s="257"/>
      <c r="AM55" s="236"/>
      <c r="AN55" s="257">
        <f t="shared" si="25"/>
        <v>0</v>
      </c>
      <c r="AO55" s="257">
        <f t="shared" si="15"/>
        <v>0</v>
      </c>
      <c r="AP55" s="257"/>
      <c r="AQ55" s="257"/>
      <c r="AR55" s="257"/>
      <c r="AS55" s="257"/>
      <c r="AT55" s="257"/>
      <c r="AU55" s="257"/>
      <c r="AV55" s="257"/>
      <c r="AW55" s="257"/>
      <c r="AX55" s="257">
        <f t="shared" si="28"/>
        <v>0</v>
      </c>
      <c r="AY55" s="257">
        <f t="shared" si="17"/>
        <v>0</v>
      </c>
      <c r="AZ55" s="257"/>
      <c r="BA55" s="257"/>
      <c r="BB55" s="257"/>
      <c r="BC55" s="257"/>
      <c r="BD55" s="257"/>
      <c r="BE55" s="257">
        <f t="shared" si="18"/>
        <v>-50000</v>
      </c>
      <c r="BF55" s="257">
        <f t="shared" si="19"/>
        <v>0</v>
      </c>
      <c r="BG55" s="257">
        <f t="shared" si="26"/>
        <v>-50000</v>
      </c>
      <c r="BH55" s="257"/>
      <c r="BI55" s="257"/>
      <c r="BJ55" s="257"/>
      <c r="BK55" s="257"/>
      <c r="BL55" s="257"/>
      <c r="BN55" s="123"/>
      <c r="BO55" s="123"/>
      <c r="BP55" s="123"/>
      <c r="BQ55" s="123"/>
      <c r="BR55" s="123"/>
      <c r="BS55" s="123"/>
    </row>
    <row r="56" spans="1:71" s="5" customFormat="1" ht="30" customHeight="1">
      <c r="A56" s="213">
        <f t="shared" si="5"/>
        <v>51</v>
      </c>
      <c r="B56" s="19">
        <v>2111</v>
      </c>
      <c r="C56" s="19" t="s">
        <v>212</v>
      </c>
      <c r="D56" s="257">
        <v>15200000</v>
      </c>
      <c r="E56" s="257">
        <v>15200000</v>
      </c>
      <c r="F56" s="257">
        <f t="shared" si="6"/>
        <v>0</v>
      </c>
      <c r="G56" s="257">
        <v>100000</v>
      </c>
      <c r="H56" s="257"/>
      <c r="I56" s="257"/>
      <c r="J56" s="257"/>
      <c r="K56" s="257">
        <f t="shared" si="7"/>
        <v>0</v>
      </c>
      <c r="L56" s="257">
        <f t="shared" si="8"/>
        <v>0</v>
      </c>
      <c r="M56" s="257">
        <f>P56+S56-100000</f>
        <v>0</v>
      </c>
      <c r="N56" s="257">
        <f>15100000-14100000-1000000</f>
        <v>0</v>
      </c>
      <c r="O56" s="257">
        <f t="shared" si="9"/>
        <v>15200000</v>
      </c>
      <c r="P56" s="257">
        <f t="shared" si="10"/>
        <v>100000</v>
      </c>
      <c r="Q56" s="257"/>
      <c r="R56" s="257"/>
      <c r="S56" s="257">
        <f t="shared" si="11"/>
        <v>0</v>
      </c>
      <c r="T56" s="257">
        <f t="shared" si="12"/>
        <v>100000</v>
      </c>
      <c r="U56" s="257">
        <f t="shared" si="13"/>
        <v>-100000</v>
      </c>
      <c r="V56" s="257">
        <f t="shared" si="14"/>
        <v>-100000</v>
      </c>
      <c r="W56" s="257"/>
      <c r="X56" s="257"/>
      <c r="Y56" s="257"/>
      <c r="Z56" s="257"/>
      <c r="AA56" s="213"/>
      <c r="AB56" s="496" t="s">
        <v>965</v>
      </c>
      <c r="AC56" s="19">
        <v>742000</v>
      </c>
      <c r="AD56" s="257">
        <v>-100000</v>
      </c>
      <c r="AE56" s="257"/>
      <c r="AF56" s="257"/>
      <c r="AG56" s="257"/>
      <c r="AH56" s="257"/>
      <c r="AI56" s="257"/>
      <c r="AJ56" s="257">
        <f t="shared" si="24"/>
        <v>-100000</v>
      </c>
      <c r="AK56" s="257">
        <f t="shared" si="1"/>
        <v>0</v>
      </c>
      <c r="AL56" s="257"/>
      <c r="AM56" s="236"/>
      <c r="AN56" s="257">
        <f t="shared" si="25"/>
        <v>0</v>
      </c>
      <c r="AO56" s="257">
        <f t="shared" si="15"/>
        <v>0</v>
      </c>
      <c r="AP56" s="257"/>
      <c r="AQ56" s="257"/>
      <c r="AR56" s="257"/>
      <c r="AS56" s="257"/>
      <c r="AT56" s="257"/>
      <c r="AU56" s="257"/>
      <c r="AV56" s="257"/>
      <c r="AW56" s="257"/>
      <c r="AX56" s="257">
        <f>AN56-AW56</f>
        <v>0</v>
      </c>
      <c r="AY56" s="257">
        <f t="shared" si="17"/>
        <v>0</v>
      </c>
      <c r="AZ56" s="257"/>
      <c r="BA56" s="257"/>
      <c r="BB56" s="257"/>
      <c r="BC56" s="257"/>
      <c r="BD56" s="257"/>
      <c r="BE56" s="257">
        <f t="shared" si="18"/>
        <v>-100000</v>
      </c>
      <c r="BF56" s="257">
        <f t="shared" si="19"/>
        <v>0</v>
      </c>
      <c r="BG56" s="257">
        <f t="shared" si="26"/>
        <v>-100000</v>
      </c>
      <c r="BH56" s="257"/>
      <c r="BI56" s="257"/>
      <c r="BJ56" s="257"/>
      <c r="BK56" s="257"/>
      <c r="BL56" s="257"/>
      <c r="BN56" s="123"/>
      <c r="BO56" s="123"/>
      <c r="BP56" s="123"/>
      <c r="BQ56" s="123"/>
      <c r="BR56" s="123"/>
      <c r="BS56" s="123"/>
    </row>
    <row r="57" spans="1:71" s="6" customFormat="1" ht="30" customHeight="1">
      <c r="A57" s="213">
        <f t="shared" si="5"/>
        <v>52</v>
      </c>
      <c r="B57" s="19">
        <v>2115</v>
      </c>
      <c r="C57" s="19" t="s">
        <v>214</v>
      </c>
      <c r="D57" s="257">
        <f>3100000+600000</f>
        <v>3700000</v>
      </c>
      <c r="E57" s="257">
        <v>3100000</v>
      </c>
      <c r="F57" s="257">
        <f t="shared" si="6"/>
        <v>600000</v>
      </c>
      <c r="G57" s="257">
        <v>2300000</v>
      </c>
      <c r="H57" s="257">
        <v>2300000</v>
      </c>
      <c r="I57" s="257"/>
      <c r="J57" s="257"/>
      <c r="K57" s="257">
        <f t="shared" si="7"/>
        <v>0</v>
      </c>
      <c r="L57" s="257">
        <f t="shared" si="8"/>
        <v>2300000</v>
      </c>
      <c r="M57" s="257">
        <f>P57+S57</f>
        <v>0</v>
      </c>
      <c r="N57" s="257">
        <f>500000+300000+600000</f>
        <v>1400000</v>
      </c>
      <c r="O57" s="257">
        <f t="shared" si="9"/>
        <v>0</v>
      </c>
      <c r="P57" s="257">
        <f t="shared" si="10"/>
        <v>0</v>
      </c>
      <c r="Q57" s="257"/>
      <c r="R57" s="257"/>
      <c r="S57" s="257">
        <f t="shared" si="11"/>
        <v>0</v>
      </c>
      <c r="T57" s="257">
        <f t="shared" si="12"/>
        <v>0</v>
      </c>
      <c r="U57" s="257">
        <f t="shared" si="13"/>
        <v>1400000</v>
      </c>
      <c r="V57" s="257">
        <f t="shared" si="14"/>
        <v>1400000</v>
      </c>
      <c r="W57" s="257"/>
      <c r="X57" s="257"/>
      <c r="Y57" s="257"/>
      <c r="Z57" s="257"/>
      <c r="AA57" s="213"/>
      <c r="AB57" s="19" t="s">
        <v>690</v>
      </c>
      <c r="AC57" s="19">
        <v>732000</v>
      </c>
      <c r="AD57" s="257"/>
      <c r="AE57" s="257">
        <v>300000</v>
      </c>
      <c r="AF57" s="257"/>
      <c r="AG57" s="257"/>
      <c r="AH57" s="257"/>
      <c r="AI57" s="257"/>
      <c r="AJ57" s="257">
        <f t="shared" si="24"/>
        <v>300000</v>
      </c>
      <c r="AK57" s="236">
        <f t="shared" si="1"/>
        <v>1100000</v>
      </c>
      <c r="AL57" s="257"/>
      <c r="AM57" s="236">
        <v>-300000</v>
      </c>
      <c r="AN57" s="257">
        <f t="shared" si="25"/>
        <v>800000</v>
      </c>
      <c r="AO57" s="257">
        <f t="shared" si="15"/>
        <v>800000</v>
      </c>
      <c r="AP57" s="257"/>
      <c r="AQ57" s="257"/>
      <c r="AR57" s="257"/>
      <c r="AS57" s="257"/>
      <c r="AT57" s="257"/>
      <c r="AU57" s="257"/>
      <c r="AV57" s="257"/>
      <c r="AW57" s="257"/>
      <c r="AX57" s="257">
        <f t="shared" si="28"/>
        <v>800000</v>
      </c>
      <c r="AY57" s="257">
        <f t="shared" si="17"/>
        <v>800000</v>
      </c>
      <c r="AZ57" s="257"/>
      <c r="BA57" s="257"/>
      <c r="BB57" s="257"/>
      <c r="BC57" s="257"/>
      <c r="BD57" s="257"/>
      <c r="BE57" s="257">
        <f t="shared" si="18"/>
        <v>1100000</v>
      </c>
      <c r="BF57" s="257">
        <f t="shared" si="19"/>
        <v>300000</v>
      </c>
      <c r="BG57" s="257">
        <f t="shared" si="26"/>
        <v>1100000</v>
      </c>
      <c r="BH57" s="257"/>
      <c r="BI57" s="257"/>
      <c r="BJ57" s="257"/>
      <c r="BK57" s="257"/>
      <c r="BL57" s="257"/>
      <c r="BN57" s="123"/>
      <c r="BO57" s="123"/>
      <c r="BP57" s="123"/>
      <c r="BQ57" s="123"/>
      <c r="BR57" s="123"/>
      <c r="BS57" s="123"/>
    </row>
    <row r="58" spans="1:71" s="6" customFormat="1" ht="30" customHeight="1">
      <c r="A58" s="213">
        <f t="shared" si="5"/>
        <v>53</v>
      </c>
      <c r="B58" s="19">
        <v>2118</v>
      </c>
      <c r="C58" s="19" t="s">
        <v>215</v>
      </c>
      <c r="D58" s="257">
        <v>2600000</v>
      </c>
      <c r="E58" s="257">
        <v>2600000</v>
      </c>
      <c r="F58" s="257">
        <f t="shared" si="6"/>
        <v>0</v>
      </c>
      <c r="G58" s="257">
        <v>2600000</v>
      </c>
      <c r="H58" s="257">
        <v>2049405</v>
      </c>
      <c r="I58" s="257"/>
      <c r="J58" s="257"/>
      <c r="K58" s="257">
        <f t="shared" si="7"/>
        <v>0</v>
      </c>
      <c r="L58" s="257">
        <f t="shared" si="8"/>
        <v>2049405</v>
      </c>
      <c r="M58" s="257">
        <f>P58+S58-550000</f>
        <v>595</v>
      </c>
      <c r="N58" s="257">
        <v>550000</v>
      </c>
      <c r="O58" s="257">
        <f t="shared" si="9"/>
        <v>0</v>
      </c>
      <c r="P58" s="257">
        <f t="shared" si="10"/>
        <v>550595</v>
      </c>
      <c r="Q58" s="257"/>
      <c r="R58" s="257"/>
      <c r="S58" s="257">
        <f t="shared" si="11"/>
        <v>0</v>
      </c>
      <c r="T58" s="257">
        <f t="shared" si="12"/>
        <v>550000</v>
      </c>
      <c r="U58" s="257">
        <f t="shared" si="13"/>
        <v>0</v>
      </c>
      <c r="V58" s="257">
        <f t="shared" si="14"/>
        <v>0</v>
      </c>
      <c r="W58" s="257"/>
      <c r="X58" s="257"/>
      <c r="Y58" s="257"/>
      <c r="Z58" s="257"/>
      <c r="AA58" s="213"/>
      <c r="AB58" s="203" t="s">
        <v>679</v>
      </c>
      <c r="AC58" s="19">
        <v>746000</v>
      </c>
      <c r="AD58" s="257"/>
      <c r="AE58" s="257"/>
      <c r="AF58" s="257"/>
      <c r="AG58" s="257"/>
      <c r="AH58" s="257"/>
      <c r="AI58" s="257"/>
      <c r="AJ58" s="257">
        <f t="shared" si="24"/>
        <v>0</v>
      </c>
      <c r="AK58" s="257">
        <f t="shared" si="1"/>
        <v>0</v>
      </c>
      <c r="AL58" s="257"/>
      <c r="AM58" s="236"/>
      <c r="AN58" s="257">
        <f t="shared" si="25"/>
        <v>0</v>
      </c>
      <c r="AO58" s="257">
        <f t="shared" si="15"/>
        <v>0</v>
      </c>
      <c r="AP58" s="257"/>
      <c r="AQ58" s="257"/>
      <c r="AR58" s="257"/>
      <c r="AS58" s="257"/>
      <c r="AT58" s="257"/>
      <c r="AU58" s="257"/>
      <c r="AV58" s="257"/>
      <c r="AW58" s="257"/>
      <c r="AX58" s="257">
        <f>AN58-AW58</f>
        <v>0</v>
      </c>
      <c r="AY58" s="257">
        <f t="shared" si="17"/>
        <v>0</v>
      </c>
      <c r="AZ58" s="257"/>
      <c r="BA58" s="257"/>
      <c r="BB58" s="257"/>
      <c r="BC58" s="257"/>
      <c r="BD58" s="257"/>
      <c r="BE58" s="257">
        <f t="shared" si="18"/>
        <v>0</v>
      </c>
      <c r="BF58" s="257">
        <f t="shared" si="19"/>
        <v>0</v>
      </c>
      <c r="BG58" s="257">
        <f t="shared" si="26"/>
        <v>0</v>
      </c>
      <c r="BH58" s="257"/>
      <c r="BI58" s="257"/>
      <c r="BJ58" s="257"/>
      <c r="BK58" s="257"/>
      <c r="BL58" s="257"/>
      <c r="BN58" s="123"/>
      <c r="BO58" s="123"/>
      <c r="BP58" s="123"/>
      <c r="BQ58" s="123"/>
      <c r="BR58" s="123"/>
      <c r="BS58" s="123"/>
    </row>
    <row r="59" spans="1:71" s="5" customFormat="1" ht="30" customHeight="1">
      <c r="A59" s="213">
        <f t="shared" si="5"/>
        <v>54</v>
      </c>
      <c r="B59" s="19">
        <v>2119</v>
      </c>
      <c r="C59" s="19" t="s">
        <v>216</v>
      </c>
      <c r="D59" s="257">
        <v>6000000</v>
      </c>
      <c r="E59" s="257">
        <v>6000000</v>
      </c>
      <c r="F59" s="257">
        <f t="shared" si="6"/>
        <v>0</v>
      </c>
      <c r="G59" s="257">
        <v>6000000</v>
      </c>
      <c r="H59" s="257">
        <v>3301431</v>
      </c>
      <c r="I59" s="257"/>
      <c r="J59" s="257"/>
      <c r="K59" s="257">
        <f t="shared" si="7"/>
        <v>0</v>
      </c>
      <c r="L59" s="257">
        <f t="shared" si="8"/>
        <v>3301431</v>
      </c>
      <c r="M59" s="257">
        <f>P59+S59-2690000</f>
        <v>8569</v>
      </c>
      <c r="N59" s="257">
        <v>2690000</v>
      </c>
      <c r="O59" s="257">
        <f t="shared" si="9"/>
        <v>0</v>
      </c>
      <c r="P59" s="257">
        <f t="shared" si="10"/>
        <v>2698569</v>
      </c>
      <c r="Q59" s="257"/>
      <c r="R59" s="257"/>
      <c r="S59" s="257">
        <f t="shared" si="11"/>
        <v>0</v>
      </c>
      <c r="T59" s="257">
        <f t="shared" si="12"/>
        <v>2690000</v>
      </c>
      <c r="U59" s="257">
        <f t="shared" si="13"/>
        <v>0</v>
      </c>
      <c r="V59" s="257">
        <f t="shared" si="14"/>
        <v>0</v>
      </c>
      <c r="W59" s="257"/>
      <c r="X59" s="257"/>
      <c r="Y59" s="257"/>
      <c r="Z59" s="257"/>
      <c r="AA59" s="213"/>
      <c r="AB59" s="19" t="s">
        <v>217</v>
      </c>
      <c r="AC59" s="19">
        <v>742000</v>
      </c>
      <c r="AD59" s="257"/>
      <c r="AE59" s="257"/>
      <c r="AF59" s="257"/>
      <c r="AG59" s="257"/>
      <c r="AH59" s="257"/>
      <c r="AI59" s="257"/>
      <c r="AJ59" s="257">
        <f t="shared" si="24"/>
        <v>0</v>
      </c>
      <c r="AK59" s="257">
        <f t="shared" si="1"/>
        <v>0</v>
      </c>
      <c r="AL59" s="257"/>
      <c r="AM59" s="236"/>
      <c r="AN59" s="257">
        <f t="shared" si="25"/>
        <v>0</v>
      </c>
      <c r="AO59" s="257">
        <f t="shared" si="15"/>
        <v>0</v>
      </c>
      <c r="AP59" s="257"/>
      <c r="AQ59" s="257"/>
      <c r="AR59" s="257"/>
      <c r="AS59" s="257"/>
      <c r="AT59" s="257"/>
      <c r="AU59" s="257"/>
      <c r="AV59" s="257"/>
      <c r="AW59" s="257"/>
      <c r="AX59" s="257">
        <f t="shared" ref="AX59:AX60" si="29">AN59-AW59</f>
        <v>0</v>
      </c>
      <c r="AY59" s="257">
        <f t="shared" si="17"/>
        <v>0</v>
      </c>
      <c r="AZ59" s="257"/>
      <c r="BA59" s="257"/>
      <c r="BB59" s="257"/>
      <c r="BC59" s="257"/>
      <c r="BD59" s="257"/>
      <c r="BE59" s="257">
        <f t="shared" si="18"/>
        <v>0</v>
      </c>
      <c r="BF59" s="257">
        <f t="shared" si="19"/>
        <v>0</v>
      </c>
      <c r="BG59" s="257">
        <f t="shared" si="26"/>
        <v>0</v>
      </c>
      <c r="BH59" s="257"/>
      <c r="BI59" s="257"/>
      <c r="BJ59" s="257"/>
      <c r="BK59" s="257"/>
      <c r="BL59" s="257"/>
      <c r="BN59" s="123"/>
      <c r="BO59" s="123"/>
      <c r="BP59" s="123"/>
      <c r="BQ59" s="123"/>
      <c r="BR59" s="123"/>
      <c r="BS59" s="123"/>
    </row>
    <row r="60" spans="1:71" s="5" customFormat="1" ht="30" customHeight="1">
      <c r="A60" s="213">
        <f t="shared" si="5"/>
        <v>55</v>
      </c>
      <c r="B60" s="19">
        <v>2126</v>
      </c>
      <c r="C60" s="19" t="s">
        <v>1372</v>
      </c>
      <c r="D60" s="257">
        <v>1975000</v>
      </c>
      <c r="E60" s="257">
        <v>1975000</v>
      </c>
      <c r="F60" s="257">
        <f t="shared" si="6"/>
        <v>0</v>
      </c>
      <c r="G60" s="257">
        <v>0</v>
      </c>
      <c r="H60" s="257"/>
      <c r="I60" s="257"/>
      <c r="J60" s="257"/>
      <c r="K60" s="257">
        <f t="shared" si="7"/>
        <v>0</v>
      </c>
      <c r="L60" s="257">
        <f t="shared" si="8"/>
        <v>0</v>
      </c>
      <c r="M60" s="257">
        <f>P60+S60</f>
        <v>0</v>
      </c>
      <c r="N60" s="257"/>
      <c r="O60" s="257">
        <f t="shared" si="9"/>
        <v>1975000</v>
      </c>
      <c r="P60" s="257">
        <f t="shared" si="10"/>
        <v>0</v>
      </c>
      <c r="Q60" s="257"/>
      <c r="R60" s="257"/>
      <c r="S60" s="257">
        <f t="shared" si="11"/>
        <v>0</v>
      </c>
      <c r="T60" s="257">
        <f t="shared" si="12"/>
        <v>0</v>
      </c>
      <c r="U60" s="257">
        <f t="shared" si="13"/>
        <v>0</v>
      </c>
      <c r="V60" s="257">
        <f t="shared" si="14"/>
        <v>0</v>
      </c>
      <c r="W60" s="257"/>
      <c r="X60" s="257"/>
      <c r="Y60" s="257"/>
      <c r="Z60" s="257"/>
      <c r="AA60" s="213"/>
      <c r="AB60" s="19"/>
      <c r="AC60" s="19">
        <v>742000</v>
      </c>
      <c r="AD60" s="257"/>
      <c r="AE60" s="257"/>
      <c r="AF60" s="257"/>
      <c r="AG60" s="257"/>
      <c r="AH60" s="257"/>
      <c r="AI60" s="257"/>
      <c r="AJ60" s="257">
        <f t="shared" si="24"/>
        <v>0</v>
      </c>
      <c r="AK60" s="257">
        <f t="shared" si="1"/>
        <v>0</v>
      </c>
      <c r="AL60" s="257"/>
      <c r="AM60" s="236"/>
      <c r="AN60" s="257">
        <f t="shared" si="25"/>
        <v>0</v>
      </c>
      <c r="AO60" s="257">
        <f t="shared" si="15"/>
        <v>0</v>
      </c>
      <c r="AP60" s="257"/>
      <c r="AQ60" s="257"/>
      <c r="AR60" s="257"/>
      <c r="AS60" s="257"/>
      <c r="AT60" s="257"/>
      <c r="AU60" s="257"/>
      <c r="AV60" s="257"/>
      <c r="AW60" s="257"/>
      <c r="AX60" s="257">
        <f t="shared" si="29"/>
        <v>0</v>
      </c>
      <c r="AY60" s="257">
        <f t="shared" si="17"/>
        <v>0</v>
      </c>
      <c r="AZ60" s="257"/>
      <c r="BA60" s="257"/>
      <c r="BB60" s="257"/>
      <c r="BC60" s="257"/>
      <c r="BD60" s="257"/>
      <c r="BE60" s="257">
        <f t="shared" si="18"/>
        <v>0</v>
      </c>
      <c r="BF60" s="257">
        <f t="shared" si="19"/>
        <v>0</v>
      </c>
      <c r="BG60" s="257">
        <f t="shared" si="26"/>
        <v>0</v>
      </c>
      <c r="BH60" s="257"/>
      <c r="BI60" s="257"/>
      <c r="BJ60" s="257"/>
      <c r="BK60" s="257"/>
      <c r="BL60" s="257"/>
      <c r="BN60" s="123"/>
      <c r="BO60" s="123"/>
      <c r="BP60" s="123"/>
      <c r="BQ60" s="123"/>
      <c r="BR60" s="123"/>
      <c r="BS60" s="123"/>
    </row>
    <row r="61" spans="1:71" s="6" customFormat="1" ht="30" customHeight="1">
      <c r="A61" s="213">
        <f t="shared" si="5"/>
        <v>56</v>
      </c>
      <c r="B61" s="19">
        <v>2127</v>
      </c>
      <c r="C61" s="19" t="s">
        <v>304</v>
      </c>
      <c r="D61" s="257">
        <v>2259000</v>
      </c>
      <c r="E61" s="257">
        <v>2259000</v>
      </c>
      <c r="F61" s="257">
        <f t="shared" si="6"/>
        <v>0</v>
      </c>
      <c r="G61" s="257">
        <v>2259000</v>
      </c>
      <c r="H61" s="257">
        <v>645783</v>
      </c>
      <c r="I61" s="257"/>
      <c r="J61" s="257"/>
      <c r="K61" s="257">
        <f t="shared" si="7"/>
        <v>0</v>
      </c>
      <c r="L61" s="257">
        <f t="shared" si="8"/>
        <v>645783</v>
      </c>
      <c r="M61" s="257">
        <f>P61+S61-1000000-600000+600000-600000</f>
        <v>13217</v>
      </c>
      <c r="N61" s="257">
        <f>1000000-600000+600000</f>
        <v>1000000</v>
      </c>
      <c r="O61" s="257">
        <f t="shared" si="9"/>
        <v>600000</v>
      </c>
      <c r="P61" s="257">
        <f t="shared" si="10"/>
        <v>1613217</v>
      </c>
      <c r="Q61" s="257"/>
      <c r="R61" s="257"/>
      <c r="S61" s="257">
        <f t="shared" si="11"/>
        <v>0</v>
      </c>
      <c r="T61" s="257">
        <f t="shared" si="12"/>
        <v>1600000</v>
      </c>
      <c r="U61" s="257">
        <f t="shared" si="13"/>
        <v>-600000</v>
      </c>
      <c r="V61" s="257">
        <f t="shared" si="14"/>
        <v>-600000</v>
      </c>
      <c r="W61" s="257"/>
      <c r="X61" s="257"/>
      <c r="Y61" s="257"/>
      <c r="Z61" s="257"/>
      <c r="AA61" s="213"/>
      <c r="AB61" s="19" t="s">
        <v>525</v>
      </c>
      <c r="AC61" s="19">
        <v>747000</v>
      </c>
      <c r="AD61" s="257">
        <v>-600000</v>
      </c>
      <c r="AE61" s="257"/>
      <c r="AF61" s="257"/>
      <c r="AG61" s="257"/>
      <c r="AH61" s="257"/>
      <c r="AI61" s="257"/>
      <c r="AJ61" s="257">
        <f t="shared" si="24"/>
        <v>-600000</v>
      </c>
      <c r="AK61" s="257">
        <f t="shared" si="1"/>
        <v>0</v>
      </c>
      <c r="AL61" s="257"/>
      <c r="AM61" s="236"/>
      <c r="AN61" s="257">
        <f t="shared" si="25"/>
        <v>0</v>
      </c>
      <c r="AO61" s="257">
        <f t="shared" si="15"/>
        <v>0</v>
      </c>
      <c r="AP61" s="257"/>
      <c r="AQ61" s="257"/>
      <c r="AR61" s="257"/>
      <c r="AS61" s="257"/>
      <c r="AT61" s="257"/>
      <c r="AU61" s="257"/>
      <c r="AV61" s="257"/>
      <c r="AW61" s="257"/>
      <c r="AX61" s="257">
        <f>AN61-AW61</f>
        <v>0</v>
      </c>
      <c r="AY61" s="257">
        <f t="shared" si="17"/>
        <v>0</v>
      </c>
      <c r="AZ61" s="257"/>
      <c r="BA61" s="257"/>
      <c r="BB61" s="257"/>
      <c r="BC61" s="257"/>
      <c r="BD61" s="257"/>
      <c r="BE61" s="257">
        <f t="shared" si="18"/>
        <v>-600000</v>
      </c>
      <c r="BF61" s="257">
        <f t="shared" si="19"/>
        <v>0</v>
      </c>
      <c r="BG61" s="257">
        <f t="shared" si="26"/>
        <v>-600000</v>
      </c>
      <c r="BH61" s="257"/>
      <c r="BI61" s="257"/>
      <c r="BJ61" s="257"/>
      <c r="BK61" s="257"/>
      <c r="BL61" s="257"/>
      <c r="BN61" s="123"/>
      <c r="BO61" s="123"/>
      <c r="BP61" s="123"/>
      <c r="BQ61" s="123"/>
      <c r="BR61" s="123"/>
      <c r="BS61" s="123"/>
    </row>
    <row r="62" spans="1:71" s="6" customFormat="1" ht="30" customHeight="1">
      <c r="A62" s="213">
        <f t="shared" si="5"/>
        <v>57</v>
      </c>
      <c r="B62" s="19">
        <v>2130</v>
      </c>
      <c r="C62" s="19" t="s">
        <v>1463</v>
      </c>
      <c r="D62" s="257">
        <v>500000</v>
      </c>
      <c r="E62" s="257">
        <v>500000</v>
      </c>
      <c r="F62" s="257">
        <f t="shared" si="6"/>
        <v>0</v>
      </c>
      <c r="G62" s="257">
        <v>500000</v>
      </c>
      <c r="H62" s="257">
        <v>19942</v>
      </c>
      <c r="I62" s="257"/>
      <c r="J62" s="257"/>
      <c r="K62" s="257">
        <f t="shared" si="7"/>
        <v>0</v>
      </c>
      <c r="L62" s="257">
        <f t="shared" si="8"/>
        <v>19942</v>
      </c>
      <c r="M62" s="257">
        <f>P62+S62-480000</f>
        <v>58</v>
      </c>
      <c r="N62" s="257">
        <v>480000</v>
      </c>
      <c r="O62" s="257">
        <f t="shared" si="9"/>
        <v>0</v>
      </c>
      <c r="P62" s="257">
        <f t="shared" si="10"/>
        <v>480058</v>
      </c>
      <c r="Q62" s="257"/>
      <c r="R62" s="257"/>
      <c r="S62" s="257">
        <f t="shared" si="11"/>
        <v>0</v>
      </c>
      <c r="T62" s="257">
        <f t="shared" si="12"/>
        <v>480000</v>
      </c>
      <c r="U62" s="257">
        <f t="shared" si="13"/>
        <v>0</v>
      </c>
      <c r="V62" s="257">
        <f t="shared" si="14"/>
        <v>0</v>
      </c>
      <c r="W62" s="257"/>
      <c r="X62" s="257"/>
      <c r="Y62" s="257"/>
      <c r="Z62" s="257"/>
      <c r="AA62" s="213"/>
      <c r="AB62" s="19" t="s">
        <v>966</v>
      </c>
      <c r="AC62" s="19">
        <v>810000</v>
      </c>
      <c r="AD62" s="257"/>
      <c r="AE62" s="257"/>
      <c r="AF62" s="257"/>
      <c r="AG62" s="257"/>
      <c r="AH62" s="257"/>
      <c r="AI62" s="257"/>
      <c r="AJ62" s="257">
        <f t="shared" si="24"/>
        <v>0</v>
      </c>
      <c r="AK62" s="257">
        <f t="shared" si="1"/>
        <v>0</v>
      </c>
      <c r="AL62" s="257"/>
      <c r="AM62" s="236"/>
      <c r="AN62" s="257">
        <f t="shared" si="25"/>
        <v>0</v>
      </c>
      <c r="AO62" s="257">
        <f t="shared" si="15"/>
        <v>0</v>
      </c>
      <c r="AP62" s="257"/>
      <c r="AQ62" s="257"/>
      <c r="AR62" s="257"/>
      <c r="AS62" s="257"/>
      <c r="AT62" s="257"/>
      <c r="AU62" s="257"/>
      <c r="AV62" s="257"/>
      <c r="AW62" s="257"/>
      <c r="AX62" s="257">
        <f t="shared" ref="AX62:AX63" si="30">AN62-AW62</f>
        <v>0</v>
      </c>
      <c r="AY62" s="257">
        <f t="shared" si="17"/>
        <v>0</v>
      </c>
      <c r="AZ62" s="257"/>
      <c r="BA62" s="257"/>
      <c r="BB62" s="257"/>
      <c r="BC62" s="257"/>
      <c r="BD62" s="257"/>
      <c r="BE62" s="257">
        <f t="shared" si="18"/>
        <v>0</v>
      </c>
      <c r="BF62" s="257">
        <f t="shared" si="19"/>
        <v>0</v>
      </c>
      <c r="BG62" s="257">
        <f t="shared" si="26"/>
        <v>0</v>
      </c>
      <c r="BH62" s="257"/>
      <c r="BI62" s="257"/>
      <c r="BJ62" s="257"/>
      <c r="BK62" s="257"/>
      <c r="BL62" s="257"/>
      <c r="BN62" s="123"/>
      <c r="BO62" s="123"/>
      <c r="BP62" s="123"/>
      <c r="BQ62" s="123"/>
      <c r="BR62" s="123"/>
      <c r="BS62" s="123"/>
    </row>
    <row r="63" spans="1:71" s="5" customFormat="1" ht="30" customHeight="1">
      <c r="A63" s="213">
        <f t="shared" si="5"/>
        <v>58</v>
      </c>
      <c r="B63" s="19">
        <v>2149</v>
      </c>
      <c r="C63" s="19" t="s">
        <v>1373</v>
      </c>
      <c r="D63" s="257">
        <f>2000000+500000</f>
        <v>2500000</v>
      </c>
      <c r="E63" s="257">
        <v>2000000</v>
      </c>
      <c r="F63" s="257">
        <f t="shared" si="6"/>
        <v>500000</v>
      </c>
      <c r="G63" s="257">
        <v>1700000</v>
      </c>
      <c r="H63" s="257">
        <v>1232473</v>
      </c>
      <c r="I63" s="257"/>
      <c r="J63" s="257"/>
      <c r="K63" s="257">
        <f t="shared" si="7"/>
        <v>0</v>
      </c>
      <c r="L63" s="257">
        <f t="shared" si="8"/>
        <v>1232473</v>
      </c>
      <c r="M63" s="257">
        <f>P63+S63-300000-150000</f>
        <v>17527</v>
      </c>
      <c r="N63" s="257">
        <f>300000+800000+150000-200000</f>
        <v>1050000</v>
      </c>
      <c r="O63" s="257">
        <f t="shared" si="9"/>
        <v>200000</v>
      </c>
      <c r="P63" s="257">
        <f t="shared" si="10"/>
        <v>467527</v>
      </c>
      <c r="Q63" s="257"/>
      <c r="R63" s="257"/>
      <c r="S63" s="257">
        <f t="shared" si="11"/>
        <v>0</v>
      </c>
      <c r="T63" s="257">
        <f t="shared" si="12"/>
        <v>450000</v>
      </c>
      <c r="U63" s="257">
        <f t="shared" si="13"/>
        <v>600000</v>
      </c>
      <c r="V63" s="257">
        <f t="shared" si="14"/>
        <v>600000</v>
      </c>
      <c r="W63" s="257"/>
      <c r="X63" s="257"/>
      <c r="Y63" s="257"/>
      <c r="Z63" s="257"/>
      <c r="AA63" s="213"/>
      <c r="AB63" s="19" t="s">
        <v>967</v>
      </c>
      <c r="AC63" s="19">
        <v>810000</v>
      </c>
      <c r="AD63" s="257"/>
      <c r="AE63" s="257"/>
      <c r="AF63" s="257"/>
      <c r="AG63" s="257"/>
      <c r="AH63" s="257"/>
      <c r="AI63" s="257"/>
      <c r="AJ63" s="257">
        <f t="shared" si="24"/>
        <v>0</v>
      </c>
      <c r="AK63" s="257">
        <f t="shared" si="1"/>
        <v>600000</v>
      </c>
      <c r="AL63" s="257"/>
      <c r="AM63" s="236"/>
      <c r="AN63" s="257">
        <f t="shared" si="25"/>
        <v>600000</v>
      </c>
      <c r="AO63" s="257">
        <f t="shared" si="15"/>
        <v>600000</v>
      </c>
      <c r="AP63" s="257"/>
      <c r="AQ63" s="257"/>
      <c r="AR63" s="257"/>
      <c r="AS63" s="257"/>
      <c r="AT63" s="257"/>
      <c r="AU63" s="257"/>
      <c r="AV63" s="257"/>
      <c r="AW63" s="257"/>
      <c r="AX63" s="257">
        <f t="shared" si="30"/>
        <v>600000</v>
      </c>
      <c r="AY63" s="257">
        <f t="shared" si="17"/>
        <v>600000</v>
      </c>
      <c r="AZ63" s="257"/>
      <c r="BA63" s="257"/>
      <c r="BB63" s="257"/>
      <c r="BC63" s="257"/>
      <c r="BD63" s="257"/>
      <c r="BE63" s="257">
        <f t="shared" si="18"/>
        <v>600000</v>
      </c>
      <c r="BF63" s="257">
        <f t="shared" si="19"/>
        <v>0</v>
      </c>
      <c r="BG63" s="257">
        <f t="shared" si="26"/>
        <v>600000</v>
      </c>
      <c r="BH63" s="257"/>
      <c r="BI63" s="257"/>
      <c r="BJ63" s="257"/>
      <c r="BK63" s="257"/>
      <c r="BL63" s="257"/>
      <c r="BN63" s="123"/>
      <c r="BO63" s="123"/>
      <c r="BP63" s="123"/>
      <c r="BQ63" s="123"/>
      <c r="BR63" s="123"/>
      <c r="BS63" s="123"/>
    </row>
    <row r="64" spans="1:71" s="5" customFormat="1" ht="30" customHeight="1">
      <c r="A64" s="213">
        <f t="shared" si="5"/>
        <v>59</v>
      </c>
      <c r="B64" s="19">
        <v>2150</v>
      </c>
      <c r="C64" s="19" t="s">
        <v>1374</v>
      </c>
      <c r="D64" s="257">
        <v>23500000</v>
      </c>
      <c r="E64" s="257">
        <v>23500000</v>
      </c>
      <c r="F64" s="257">
        <f t="shared" si="6"/>
        <v>0</v>
      </c>
      <c r="G64" s="257">
        <v>14500000</v>
      </c>
      <c r="H64" s="257">
        <v>11935396</v>
      </c>
      <c r="I64" s="257"/>
      <c r="J64" s="257"/>
      <c r="K64" s="257">
        <f t="shared" si="7"/>
        <v>0</v>
      </c>
      <c r="L64" s="257">
        <f t="shared" si="8"/>
        <v>11935396</v>
      </c>
      <c r="M64" s="257">
        <f>P64+S64-2550000</f>
        <v>14604</v>
      </c>
      <c r="N64" s="257">
        <f>2550000-550000</f>
        <v>2000000</v>
      </c>
      <c r="O64" s="257">
        <f t="shared" si="9"/>
        <v>9550000</v>
      </c>
      <c r="P64" s="257">
        <f t="shared" si="10"/>
        <v>2564604</v>
      </c>
      <c r="Q64" s="257"/>
      <c r="R64" s="257"/>
      <c r="S64" s="257">
        <f t="shared" si="11"/>
        <v>0</v>
      </c>
      <c r="T64" s="257">
        <f t="shared" si="12"/>
        <v>2550000</v>
      </c>
      <c r="U64" s="257">
        <f t="shared" si="13"/>
        <v>-550000</v>
      </c>
      <c r="V64" s="257">
        <f t="shared" si="14"/>
        <v>-550000</v>
      </c>
      <c r="W64" s="257"/>
      <c r="X64" s="257"/>
      <c r="Y64" s="257"/>
      <c r="Z64" s="257"/>
      <c r="AA64" s="213"/>
      <c r="AB64" s="19" t="s">
        <v>518</v>
      </c>
      <c r="AC64" s="19">
        <v>746000</v>
      </c>
      <c r="AD64" s="257">
        <v>-550000</v>
      </c>
      <c r="AE64" s="257"/>
      <c r="AF64" s="257"/>
      <c r="AG64" s="257"/>
      <c r="AH64" s="257"/>
      <c r="AI64" s="257"/>
      <c r="AJ64" s="257">
        <f t="shared" si="24"/>
        <v>-550000</v>
      </c>
      <c r="AK64" s="257">
        <f t="shared" si="1"/>
        <v>0</v>
      </c>
      <c r="AL64" s="257"/>
      <c r="AM64" s="236"/>
      <c r="AN64" s="257">
        <f t="shared" si="25"/>
        <v>0</v>
      </c>
      <c r="AO64" s="257">
        <f t="shared" si="15"/>
        <v>0</v>
      </c>
      <c r="AP64" s="257"/>
      <c r="AQ64" s="257"/>
      <c r="AR64" s="257"/>
      <c r="AS64" s="257"/>
      <c r="AT64" s="257"/>
      <c r="AU64" s="257"/>
      <c r="AV64" s="257"/>
      <c r="AW64" s="257"/>
      <c r="AX64" s="257">
        <f>AN64-AW64</f>
        <v>0</v>
      </c>
      <c r="AY64" s="257">
        <f t="shared" si="17"/>
        <v>0</v>
      </c>
      <c r="AZ64" s="257"/>
      <c r="BA64" s="257"/>
      <c r="BB64" s="257"/>
      <c r="BC64" s="257"/>
      <c r="BD64" s="257"/>
      <c r="BE64" s="257">
        <f t="shared" si="18"/>
        <v>-550000</v>
      </c>
      <c r="BF64" s="257">
        <f t="shared" si="19"/>
        <v>0</v>
      </c>
      <c r="BG64" s="257">
        <f t="shared" si="26"/>
        <v>-550000</v>
      </c>
      <c r="BH64" s="257"/>
      <c r="BI64" s="257"/>
      <c r="BJ64" s="257"/>
      <c r="BK64" s="257"/>
      <c r="BL64" s="257"/>
      <c r="BN64" s="123"/>
      <c r="BO64" s="123"/>
      <c r="BP64" s="123"/>
      <c r="BQ64" s="123"/>
      <c r="BR64" s="123"/>
      <c r="BS64" s="123"/>
    </row>
    <row r="65" spans="1:71" s="5" customFormat="1" ht="30" customHeight="1">
      <c r="A65" s="213">
        <f t="shared" si="5"/>
        <v>60</v>
      </c>
      <c r="B65" s="19">
        <v>2151</v>
      </c>
      <c r="C65" s="19" t="s">
        <v>311</v>
      </c>
      <c r="D65" s="257">
        <v>54000000</v>
      </c>
      <c r="E65" s="257">
        <v>54000000</v>
      </c>
      <c r="F65" s="257">
        <f t="shared" si="6"/>
        <v>0</v>
      </c>
      <c r="G65" s="257">
        <v>5000000</v>
      </c>
      <c r="H65" s="257">
        <v>4443787</v>
      </c>
      <c r="I65" s="257"/>
      <c r="J65" s="257"/>
      <c r="K65" s="257">
        <f t="shared" si="7"/>
        <v>0</v>
      </c>
      <c r="L65" s="257">
        <f t="shared" si="8"/>
        <v>4443787</v>
      </c>
      <c r="M65" s="257">
        <f>P65+S65-1550000</f>
        <v>6213</v>
      </c>
      <c r="N65" s="257">
        <f>30000000-12000000-11000000+1550000-2000000</f>
        <v>6550000</v>
      </c>
      <c r="O65" s="257">
        <f t="shared" si="9"/>
        <v>43000000</v>
      </c>
      <c r="P65" s="257">
        <f t="shared" si="10"/>
        <v>556213</v>
      </c>
      <c r="Q65" s="257">
        <v>1000000</v>
      </c>
      <c r="R65" s="257"/>
      <c r="S65" s="257">
        <f t="shared" si="11"/>
        <v>1000000</v>
      </c>
      <c r="T65" s="257">
        <f t="shared" si="12"/>
        <v>1550000</v>
      </c>
      <c r="U65" s="257">
        <f t="shared" si="13"/>
        <v>5000000</v>
      </c>
      <c r="V65" s="257">
        <f t="shared" si="14"/>
        <v>5000000</v>
      </c>
      <c r="W65" s="257"/>
      <c r="X65" s="257"/>
      <c r="Y65" s="257"/>
      <c r="Z65" s="257"/>
      <c r="AA65" s="213"/>
      <c r="AB65" s="19" t="s">
        <v>508</v>
      </c>
      <c r="AC65" s="19">
        <v>742000</v>
      </c>
      <c r="AD65" s="257"/>
      <c r="AE65" s="257"/>
      <c r="AF65" s="257">
        <v>700000</v>
      </c>
      <c r="AG65" s="257"/>
      <c r="AH65" s="257">
        <v>2500000</v>
      </c>
      <c r="AI65" s="257"/>
      <c r="AJ65" s="257">
        <f t="shared" si="24"/>
        <v>3200000</v>
      </c>
      <c r="AK65" s="257">
        <f t="shared" si="1"/>
        <v>1800000</v>
      </c>
      <c r="AL65" s="257"/>
      <c r="AM65" s="236"/>
      <c r="AN65" s="257">
        <f t="shared" si="25"/>
        <v>1800000</v>
      </c>
      <c r="AO65" s="257">
        <f t="shared" si="15"/>
        <v>1800000</v>
      </c>
      <c r="AP65" s="257"/>
      <c r="AQ65" s="257"/>
      <c r="AR65" s="257"/>
      <c r="AS65" s="257"/>
      <c r="AT65" s="257"/>
      <c r="AU65" s="257"/>
      <c r="AV65" s="257">
        <v>4000000</v>
      </c>
      <c r="AW65" s="257"/>
      <c r="AX65" s="257">
        <f t="shared" ref="AX65:AX72" si="31">AN65-AW65</f>
        <v>1800000</v>
      </c>
      <c r="AY65" s="257">
        <f t="shared" si="17"/>
        <v>1800000</v>
      </c>
      <c r="AZ65" s="257"/>
      <c r="BA65" s="257"/>
      <c r="BB65" s="257"/>
      <c r="BC65" s="257"/>
      <c r="BD65" s="257"/>
      <c r="BE65" s="257">
        <f t="shared" si="18"/>
        <v>5000000</v>
      </c>
      <c r="BF65" s="257">
        <f t="shared" si="19"/>
        <v>0</v>
      </c>
      <c r="BG65" s="257">
        <f t="shared" si="26"/>
        <v>5000000</v>
      </c>
      <c r="BH65" s="257"/>
      <c r="BI65" s="257"/>
      <c r="BJ65" s="257"/>
      <c r="BK65" s="257"/>
      <c r="BL65" s="257"/>
      <c r="BN65" s="123"/>
      <c r="BO65" s="123"/>
      <c r="BP65" s="123"/>
      <c r="BQ65" s="123"/>
      <c r="BR65" s="123"/>
      <c r="BS65" s="123"/>
    </row>
    <row r="66" spans="1:71" s="5" customFormat="1" ht="30" customHeight="1">
      <c r="A66" s="213">
        <f t="shared" si="5"/>
        <v>61</v>
      </c>
      <c r="B66" s="19">
        <v>2152</v>
      </c>
      <c r="C66" s="19" t="s">
        <v>312</v>
      </c>
      <c r="D66" s="257">
        <f>16000000+7500000-7500000</f>
        <v>16000000</v>
      </c>
      <c r="E66" s="257">
        <v>16000000</v>
      </c>
      <c r="F66" s="257">
        <f t="shared" si="6"/>
        <v>0</v>
      </c>
      <c r="G66" s="257">
        <v>1331810</v>
      </c>
      <c r="H66" s="257">
        <v>1313273</v>
      </c>
      <c r="I66" s="257"/>
      <c r="J66" s="257"/>
      <c r="K66" s="257">
        <f t="shared" si="7"/>
        <v>0</v>
      </c>
      <c r="L66" s="257">
        <f t="shared" si="8"/>
        <v>1313273</v>
      </c>
      <c r="M66" s="257">
        <f>P66+S66</f>
        <v>18537</v>
      </c>
      <c r="N66" s="257">
        <f>14668190-7168190+4000000-6500000-5000000</f>
        <v>0</v>
      </c>
      <c r="O66" s="257">
        <f t="shared" si="9"/>
        <v>14668190</v>
      </c>
      <c r="P66" s="257">
        <f t="shared" si="10"/>
        <v>18537</v>
      </c>
      <c r="Q66" s="257"/>
      <c r="R66" s="257"/>
      <c r="S66" s="257">
        <f t="shared" si="11"/>
        <v>0</v>
      </c>
      <c r="T66" s="257">
        <f t="shared" si="12"/>
        <v>0</v>
      </c>
      <c r="U66" s="257">
        <f t="shared" si="13"/>
        <v>0</v>
      </c>
      <c r="V66" s="257">
        <f t="shared" si="14"/>
        <v>0</v>
      </c>
      <c r="W66" s="257"/>
      <c r="X66" s="257"/>
      <c r="Y66" s="257"/>
      <c r="Z66" s="257"/>
      <c r="AA66" s="213"/>
      <c r="AB66" s="19" t="s">
        <v>968</v>
      </c>
      <c r="AC66" s="19">
        <v>810000</v>
      </c>
      <c r="AD66" s="257"/>
      <c r="AE66" s="257"/>
      <c r="AF66" s="257"/>
      <c r="AG66" s="257"/>
      <c r="AH66" s="257"/>
      <c r="AI66" s="257"/>
      <c r="AJ66" s="257">
        <f t="shared" si="24"/>
        <v>0</v>
      </c>
      <c r="AK66" s="257">
        <f t="shared" si="1"/>
        <v>0</v>
      </c>
      <c r="AL66" s="257"/>
      <c r="AM66" s="236"/>
      <c r="AN66" s="257">
        <f t="shared" si="25"/>
        <v>0</v>
      </c>
      <c r="AO66" s="257">
        <f t="shared" si="15"/>
        <v>0</v>
      </c>
      <c r="AP66" s="257"/>
      <c r="AQ66" s="257"/>
      <c r="AR66" s="257"/>
      <c r="AS66" s="257"/>
      <c r="AT66" s="257"/>
      <c r="AU66" s="257"/>
      <c r="AV66" s="257"/>
      <c r="AW66" s="257"/>
      <c r="AX66" s="257">
        <f t="shared" si="31"/>
        <v>0</v>
      </c>
      <c r="AY66" s="257">
        <f t="shared" si="17"/>
        <v>0</v>
      </c>
      <c r="AZ66" s="257"/>
      <c r="BA66" s="257"/>
      <c r="BB66" s="257"/>
      <c r="BC66" s="257"/>
      <c r="BD66" s="257"/>
      <c r="BE66" s="257">
        <f t="shared" si="18"/>
        <v>0</v>
      </c>
      <c r="BF66" s="257">
        <f t="shared" si="19"/>
        <v>0</v>
      </c>
      <c r="BG66" s="257">
        <f t="shared" si="26"/>
        <v>0</v>
      </c>
      <c r="BH66" s="257"/>
      <c r="BI66" s="257"/>
      <c r="BJ66" s="257"/>
      <c r="BK66" s="257"/>
      <c r="BL66" s="257"/>
      <c r="BN66" s="123"/>
      <c r="BO66" s="123"/>
      <c r="BP66" s="123"/>
      <c r="BQ66" s="123"/>
      <c r="BR66" s="123"/>
      <c r="BS66" s="123"/>
    </row>
    <row r="67" spans="1:71" s="5" customFormat="1" ht="30" customHeight="1">
      <c r="A67" s="213">
        <f t="shared" si="5"/>
        <v>62</v>
      </c>
      <c r="B67" s="19">
        <v>2153</v>
      </c>
      <c r="C67" s="19" t="s">
        <v>326</v>
      </c>
      <c r="D67" s="257">
        <v>225000000</v>
      </c>
      <c r="E67" s="257">
        <v>225000000</v>
      </c>
      <c r="F67" s="257">
        <f t="shared" si="6"/>
        <v>0</v>
      </c>
      <c r="G67" s="257">
        <v>1000000</v>
      </c>
      <c r="H67" s="257">
        <v>1999954</v>
      </c>
      <c r="I67" s="257"/>
      <c r="J67" s="257">
        <v>45</v>
      </c>
      <c r="K67" s="257">
        <f t="shared" si="7"/>
        <v>45</v>
      </c>
      <c r="L67" s="257">
        <f t="shared" si="8"/>
        <v>1999999</v>
      </c>
      <c r="M67" s="257">
        <f>P67+S67</f>
        <v>1</v>
      </c>
      <c r="N67" s="257">
        <f>1500000-200000</f>
        <v>1300000</v>
      </c>
      <c r="O67" s="257">
        <f t="shared" si="9"/>
        <v>221700000</v>
      </c>
      <c r="P67" s="257">
        <f t="shared" si="10"/>
        <v>-999999</v>
      </c>
      <c r="Q67" s="257">
        <v>1000000</v>
      </c>
      <c r="R67" s="257"/>
      <c r="S67" s="257">
        <f t="shared" si="11"/>
        <v>1000000</v>
      </c>
      <c r="T67" s="257">
        <f t="shared" si="12"/>
        <v>0</v>
      </c>
      <c r="U67" s="257">
        <f t="shared" si="13"/>
        <v>1300000</v>
      </c>
      <c r="V67" s="257">
        <f t="shared" si="14"/>
        <v>1300000</v>
      </c>
      <c r="W67" s="257"/>
      <c r="X67" s="257"/>
      <c r="Y67" s="257"/>
      <c r="Z67" s="257"/>
      <c r="AA67" s="213"/>
      <c r="AB67" s="19" t="s">
        <v>365</v>
      </c>
      <c r="AC67" s="19">
        <v>829000</v>
      </c>
      <c r="AD67" s="257"/>
      <c r="AE67" s="257">
        <v>1000000</v>
      </c>
      <c r="AF67" s="257">
        <v>300000</v>
      </c>
      <c r="AG67" s="257"/>
      <c r="AH67" s="257"/>
      <c r="AI67" s="257"/>
      <c r="AJ67" s="257">
        <f t="shared" si="24"/>
        <v>1300000</v>
      </c>
      <c r="AK67" s="257">
        <f t="shared" si="1"/>
        <v>0</v>
      </c>
      <c r="AL67" s="257"/>
      <c r="AM67" s="236"/>
      <c r="AN67" s="257">
        <f t="shared" si="25"/>
        <v>0</v>
      </c>
      <c r="AO67" s="257">
        <f t="shared" si="15"/>
        <v>0</v>
      </c>
      <c r="AP67" s="257"/>
      <c r="AQ67" s="257"/>
      <c r="AR67" s="257"/>
      <c r="AS67" s="257"/>
      <c r="AT67" s="257"/>
      <c r="AU67" s="257"/>
      <c r="AV67" s="257"/>
      <c r="AW67" s="257"/>
      <c r="AX67" s="257">
        <f t="shared" si="31"/>
        <v>0</v>
      </c>
      <c r="AY67" s="257">
        <f t="shared" si="17"/>
        <v>0</v>
      </c>
      <c r="AZ67" s="257"/>
      <c r="BA67" s="257"/>
      <c r="BB67" s="257"/>
      <c r="BC67" s="257"/>
      <c r="BD67" s="257"/>
      <c r="BE67" s="257">
        <f t="shared" si="18"/>
        <v>1300000</v>
      </c>
      <c r="BF67" s="257">
        <f t="shared" si="19"/>
        <v>0</v>
      </c>
      <c r="BG67" s="257">
        <f t="shared" si="26"/>
        <v>1300000</v>
      </c>
      <c r="BH67" s="257"/>
      <c r="BI67" s="257"/>
      <c r="BJ67" s="257"/>
      <c r="BK67" s="257"/>
      <c r="BL67" s="257"/>
      <c r="BN67" s="123"/>
      <c r="BO67" s="123"/>
      <c r="BP67" s="123"/>
      <c r="BQ67" s="123"/>
      <c r="BR67" s="123"/>
      <c r="BS67" s="123"/>
    </row>
    <row r="68" spans="1:71" s="569" customFormat="1" ht="30" customHeight="1">
      <c r="A68" s="213">
        <f t="shared" si="5"/>
        <v>63</v>
      </c>
      <c r="B68" s="19">
        <v>2164</v>
      </c>
      <c r="C68" s="19" t="s">
        <v>1148</v>
      </c>
      <c r="D68" s="257">
        <v>300000</v>
      </c>
      <c r="E68" s="257">
        <v>300000</v>
      </c>
      <c r="F68" s="257">
        <f t="shared" si="6"/>
        <v>0</v>
      </c>
      <c r="G68" s="257">
        <v>300000</v>
      </c>
      <c r="H68" s="257">
        <v>41092</v>
      </c>
      <c r="I68" s="257"/>
      <c r="J68" s="257">
        <v>4015</v>
      </c>
      <c r="K68" s="257">
        <f t="shared" si="7"/>
        <v>4015</v>
      </c>
      <c r="L68" s="257">
        <f t="shared" si="8"/>
        <v>45107</v>
      </c>
      <c r="M68" s="257">
        <f>P68+S68-250000</f>
        <v>4893</v>
      </c>
      <c r="N68" s="257">
        <f>250000-200000</f>
        <v>50000</v>
      </c>
      <c r="O68" s="257">
        <f t="shared" si="9"/>
        <v>200000</v>
      </c>
      <c r="P68" s="257">
        <f t="shared" si="10"/>
        <v>254893</v>
      </c>
      <c r="Q68" s="257"/>
      <c r="R68" s="257"/>
      <c r="S68" s="257">
        <f t="shared" si="11"/>
        <v>0</v>
      </c>
      <c r="T68" s="257">
        <f t="shared" si="12"/>
        <v>250000</v>
      </c>
      <c r="U68" s="257">
        <f t="shared" si="13"/>
        <v>-200000</v>
      </c>
      <c r="V68" s="257">
        <f t="shared" si="14"/>
        <v>0</v>
      </c>
      <c r="W68" s="257">
        <v>-200000</v>
      </c>
      <c r="X68" s="257"/>
      <c r="Y68" s="257"/>
      <c r="Z68" s="257"/>
      <c r="AA68" s="213"/>
      <c r="AB68" s="19" t="s">
        <v>969</v>
      </c>
      <c r="AC68" s="19">
        <v>742000</v>
      </c>
      <c r="AD68" s="257">
        <v>-200000</v>
      </c>
      <c r="AE68" s="257"/>
      <c r="AF68" s="257"/>
      <c r="AG68" s="257"/>
      <c r="AH68" s="257"/>
      <c r="AI68" s="257"/>
      <c r="AJ68" s="257">
        <f t="shared" si="24"/>
        <v>-200000</v>
      </c>
      <c r="AK68" s="257">
        <f t="shared" si="1"/>
        <v>0</v>
      </c>
      <c r="AL68" s="257"/>
      <c r="AM68" s="236"/>
      <c r="AN68" s="257">
        <f t="shared" si="25"/>
        <v>0</v>
      </c>
      <c r="AO68" s="257">
        <f t="shared" si="15"/>
        <v>0</v>
      </c>
      <c r="AP68" s="257"/>
      <c r="AQ68" s="257"/>
      <c r="AR68" s="257"/>
      <c r="AS68" s="257"/>
      <c r="AT68" s="257"/>
      <c r="AU68" s="257"/>
      <c r="AV68" s="257"/>
      <c r="AW68" s="257"/>
      <c r="AX68" s="257">
        <f>AN68-AW68</f>
        <v>0</v>
      </c>
      <c r="AY68" s="257">
        <f t="shared" si="17"/>
        <v>0</v>
      </c>
      <c r="AZ68" s="257"/>
      <c r="BA68" s="257"/>
      <c r="BB68" s="257"/>
      <c r="BC68" s="257"/>
      <c r="BD68" s="257"/>
      <c r="BE68" s="257">
        <f t="shared" si="18"/>
        <v>-200000</v>
      </c>
      <c r="BF68" s="257">
        <f t="shared" si="19"/>
        <v>0</v>
      </c>
      <c r="BG68" s="257">
        <f t="shared" si="26"/>
        <v>-200000</v>
      </c>
      <c r="BH68" s="257"/>
      <c r="BI68" s="257"/>
      <c r="BJ68" s="257"/>
      <c r="BK68" s="257"/>
      <c r="BL68" s="257"/>
      <c r="BN68" s="123"/>
      <c r="BO68" s="123"/>
      <c r="BP68" s="123"/>
      <c r="BQ68" s="123"/>
      <c r="BR68" s="123"/>
      <c r="BS68" s="123"/>
    </row>
    <row r="69" spans="1:71" s="5" customFormat="1" ht="30" customHeight="1">
      <c r="A69" s="213">
        <f t="shared" si="5"/>
        <v>64</v>
      </c>
      <c r="B69" s="19">
        <v>2175</v>
      </c>
      <c r="C69" s="19" t="s">
        <v>337</v>
      </c>
      <c r="D69" s="257">
        <v>21000000</v>
      </c>
      <c r="E69" s="257">
        <v>21000000</v>
      </c>
      <c r="F69" s="257">
        <f t="shared" si="6"/>
        <v>0</v>
      </c>
      <c r="G69" s="257">
        <f>12945297+4500000</f>
        <v>17445297</v>
      </c>
      <c r="H69" s="257">
        <v>17642170</v>
      </c>
      <c r="I69" s="257"/>
      <c r="J69" s="257"/>
      <c r="K69" s="257">
        <f t="shared" ref="K69:K111" si="32">SUM(I69:J69)</f>
        <v>0</v>
      </c>
      <c r="L69" s="257">
        <f t="shared" si="8"/>
        <v>17642170</v>
      </c>
      <c r="M69" s="257">
        <f>P69+S69-1300000</f>
        <v>3127</v>
      </c>
      <c r="N69" s="257">
        <f>2054703+1300000</f>
        <v>3354703</v>
      </c>
      <c r="O69" s="257">
        <f t="shared" si="9"/>
        <v>0</v>
      </c>
      <c r="P69" s="257">
        <f t="shared" si="10"/>
        <v>-196873</v>
      </c>
      <c r="Q69" s="257">
        <f>6000000-4500000</f>
        <v>1500000</v>
      </c>
      <c r="R69" s="257"/>
      <c r="S69" s="257">
        <f t="shared" ref="S69:S111" si="33">SUM(Q69:R69)</f>
        <v>1500000</v>
      </c>
      <c r="T69" s="257">
        <f t="shared" si="12"/>
        <v>1300000</v>
      </c>
      <c r="U69" s="257">
        <f t="shared" si="13"/>
        <v>2054703</v>
      </c>
      <c r="V69" s="257">
        <f t="shared" si="14"/>
        <v>1488188</v>
      </c>
      <c r="W69" s="257"/>
      <c r="X69" s="257"/>
      <c r="Y69" s="257"/>
      <c r="Z69" s="257"/>
      <c r="AA69" s="257">
        <v>566515</v>
      </c>
      <c r="AB69" s="19" t="s">
        <v>702</v>
      </c>
      <c r="AC69" s="19">
        <v>810000</v>
      </c>
      <c r="AD69" s="257"/>
      <c r="AE69" s="257"/>
      <c r="AF69" s="257"/>
      <c r="AG69" s="257"/>
      <c r="AH69" s="257"/>
      <c r="AI69" s="257"/>
      <c r="AJ69" s="257">
        <f t="shared" si="24"/>
        <v>0</v>
      </c>
      <c r="AK69" s="257">
        <f t="shared" si="1"/>
        <v>2054703</v>
      </c>
      <c r="AL69" s="257"/>
      <c r="AM69" s="236"/>
      <c r="AN69" s="257">
        <f t="shared" si="25"/>
        <v>2054703</v>
      </c>
      <c r="AO69" s="257">
        <f t="shared" si="15"/>
        <v>1488188</v>
      </c>
      <c r="AP69" s="257"/>
      <c r="AQ69" s="257"/>
      <c r="AR69" s="257"/>
      <c r="AS69" s="257"/>
      <c r="AT69" s="257">
        <v>566515</v>
      </c>
      <c r="AU69" s="257"/>
      <c r="AV69" s="257"/>
      <c r="AW69" s="257">
        <f>566515-88427</f>
        <v>478088</v>
      </c>
      <c r="AX69" s="257">
        <f t="shared" si="31"/>
        <v>1576615</v>
      </c>
      <c r="AY69" s="257">
        <f t="shared" si="17"/>
        <v>1488188</v>
      </c>
      <c r="AZ69" s="257"/>
      <c r="BA69" s="257"/>
      <c r="BB69" s="257"/>
      <c r="BC69" s="257"/>
      <c r="BD69" s="257">
        <v>88427</v>
      </c>
      <c r="BE69" s="257">
        <f t="shared" si="18"/>
        <v>1576615</v>
      </c>
      <c r="BF69" s="257">
        <f t="shared" si="19"/>
        <v>478088</v>
      </c>
      <c r="BG69" s="257">
        <f t="shared" si="26"/>
        <v>1488188</v>
      </c>
      <c r="BH69" s="257"/>
      <c r="BI69" s="257"/>
      <c r="BJ69" s="257"/>
      <c r="BK69" s="257"/>
      <c r="BL69" s="257">
        <v>88427</v>
      </c>
      <c r="BN69" s="123"/>
      <c r="BO69" s="123"/>
      <c r="BP69" s="123"/>
      <c r="BQ69" s="123"/>
      <c r="BR69" s="123"/>
      <c r="BS69" s="123"/>
    </row>
    <row r="70" spans="1:71" s="5" customFormat="1" ht="30" customHeight="1">
      <c r="A70" s="213">
        <f t="shared" si="5"/>
        <v>65</v>
      </c>
      <c r="B70" s="19">
        <v>2180</v>
      </c>
      <c r="C70" s="19" t="s">
        <v>338</v>
      </c>
      <c r="D70" s="257">
        <f>1000000+1600000</f>
        <v>2600000</v>
      </c>
      <c r="E70" s="257">
        <v>1000000</v>
      </c>
      <c r="F70" s="257">
        <f t="shared" si="6"/>
        <v>1600000</v>
      </c>
      <c r="G70" s="257">
        <v>1000000</v>
      </c>
      <c r="H70" s="257">
        <v>481929</v>
      </c>
      <c r="I70" s="257"/>
      <c r="J70" s="257"/>
      <c r="K70" s="257">
        <f t="shared" si="32"/>
        <v>0</v>
      </c>
      <c r="L70" s="257">
        <f t="shared" si="8"/>
        <v>481929</v>
      </c>
      <c r="M70" s="257">
        <f>P70+S70-515000</f>
        <v>3071</v>
      </c>
      <c r="N70" s="257">
        <f>1600000-300000-500000+515000-800000</f>
        <v>515000</v>
      </c>
      <c r="O70" s="257">
        <f t="shared" si="9"/>
        <v>1600000</v>
      </c>
      <c r="P70" s="257">
        <f t="shared" si="10"/>
        <v>518071</v>
      </c>
      <c r="Q70" s="257"/>
      <c r="R70" s="257"/>
      <c r="S70" s="257">
        <f t="shared" si="33"/>
        <v>0</v>
      </c>
      <c r="T70" s="257">
        <f t="shared" si="12"/>
        <v>515000</v>
      </c>
      <c r="U70" s="257">
        <f t="shared" si="13"/>
        <v>0</v>
      </c>
      <c r="V70" s="257">
        <f t="shared" si="14"/>
        <v>0</v>
      </c>
      <c r="W70" s="257"/>
      <c r="X70" s="257"/>
      <c r="Y70" s="257"/>
      <c r="Z70" s="257"/>
      <c r="AA70" s="213"/>
      <c r="AB70" s="19" t="s">
        <v>366</v>
      </c>
      <c r="AC70" s="19">
        <v>732000</v>
      </c>
      <c r="AD70" s="257"/>
      <c r="AE70" s="257"/>
      <c r="AF70" s="257"/>
      <c r="AG70" s="257"/>
      <c r="AH70" s="257"/>
      <c r="AI70" s="257"/>
      <c r="AJ70" s="257">
        <f t="shared" ref="AJ70:AJ101" si="34">SUM(AD70:AI70)+AL70</f>
        <v>0</v>
      </c>
      <c r="AK70" s="257">
        <f t="shared" ref="AK70:AK117" si="35">U70-AJ70</f>
        <v>0</v>
      </c>
      <c r="AL70" s="257"/>
      <c r="AM70" s="236"/>
      <c r="AN70" s="257">
        <f t="shared" ref="AN70:AN101" si="36">AK70+AM70</f>
        <v>0</v>
      </c>
      <c r="AO70" s="257">
        <f t="shared" si="15"/>
        <v>0</v>
      </c>
      <c r="AP70" s="257"/>
      <c r="AQ70" s="257"/>
      <c r="AR70" s="257"/>
      <c r="AS70" s="257"/>
      <c r="AT70" s="257"/>
      <c r="AU70" s="257"/>
      <c r="AV70" s="257"/>
      <c r="AW70" s="257"/>
      <c r="AX70" s="257">
        <f t="shared" si="31"/>
        <v>0</v>
      </c>
      <c r="AY70" s="257">
        <f t="shared" si="17"/>
        <v>0</v>
      </c>
      <c r="AZ70" s="257"/>
      <c r="BA70" s="257"/>
      <c r="BB70" s="257"/>
      <c r="BC70" s="257"/>
      <c r="BD70" s="257"/>
      <c r="BE70" s="257">
        <f t="shared" si="18"/>
        <v>0</v>
      </c>
      <c r="BF70" s="257">
        <f t="shared" si="19"/>
        <v>0</v>
      </c>
      <c r="BG70" s="257">
        <f t="shared" ref="BG70:BG101" si="37">BE70-BH70-BI70-BJ70-BK70-BL70</f>
        <v>0</v>
      </c>
      <c r="BH70" s="257"/>
      <c r="BI70" s="257"/>
      <c r="BJ70" s="257"/>
      <c r="BK70" s="257"/>
      <c r="BL70" s="257"/>
      <c r="BN70" s="123"/>
      <c r="BO70" s="123"/>
      <c r="BP70" s="123"/>
      <c r="BQ70" s="123"/>
      <c r="BR70" s="123"/>
      <c r="BS70" s="123"/>
    </row>
    <row r="71" spans="1:71" s="5" customFormat="1" ht="30" customHeight="1">
      <c r="A71" s="213">
        <f t="shared" ref="A71:A117" si="38">A70+1</f>
        <v>66</v>
      </c>
      <c r="B71" s="19">
        <v>2182</v>
      </c>
      <c r="C71" s="19" t="s">
        <v>339</v>
      </c>
      <c r="D71" s="257">
        <v>3900000</v>
      </c>
      <c r="E71" s="257">
        <v>3900000</v>
      </c>
      <c r="F71" s="257">
        <f t="shared" ref="F71:F115" si="39">D71-E71</f>
        <v>0</v>
      </c>
      <c r="G71" s="257">
        <v>2000000</v>
      </c>
      <c r="H71" s="257">
        <v>1513466</v>
      </c>
      <c r="I71" s="257"/>
      <c r="J71" s="257"/>
      <c r="K71" s="257">
        <f t="shared" si="32"/>
        <v>0</v>
      </c>
      <c r="L71" s="257">
        <f t="shared" ref="L71:L111" si="40">K71+H71</f>
        <v>1513466</v>
      </c>
      <c r="M71" s="257">
        <f>P71+S71-830000</f>
        <v>6534</v>
      </c>
      <c r="N71" s="257">
        <f>1550000-950000+830000-400000</f>
        <v>1030000</v>
      </c>
      <c r="O71" s="257">
        <f t="shared" ref="O71:O115" si="41">D71-L71-M71-N71</f>
        <v>1350000</v>
      </c>
      <c r="P71" s="257">
        <f t="shared" ref="P71:P113" si="42">G71-L71</f>
        <v>486534</v>
      </c>
      <c r="Q71" s="257">
        <v>350000</v>
      </c>
      <c r="R71" s="257"/>
      <c r="S71" s="257">
        <f t="shared" si="33"/>
        <v>350000</v>
      </c>
      <c r="T71" s="257">
        <f t="shared" ref="T71:T113" si="43">P71-M71+S71</f>
        <v>830000</v>
      </c>
      <c r="U71" s="257">
        <f t="shared" ref="U71:U115" si="44">N71-T71</f>
        <v>200000</v>
      </c>
      <c r="V71" s="257">
        <f t="shared" ref="V71:V111" si="45">U71-Z71-X71-AA71-W71-Y71</f>
        <v>200000</v>
      </c>
      <c r="W71" s="257"/>
      <c r="X71" s="257"/>
      <c r="Y71" s="257"/>
      <c r="Z71" s="257"/>
      <c r="AA71" s="213"/>
      <c r="AB71" s="19" t="s">
        <v>970</v>
      </c>
      <c r="AC71" s="19">
        <v>810000</v>
      </c>
      <c r="AD71" s="257"/>
      <c r="AE71" s="257"/>
      <c r="AF71" s="257"/>
      <c r="AG71" s="257"/>
      <c r="AH71" s="257"/>
      <c r="AI71" s="257"/>
      <c r="AJ71" s="257">
        <f t="shared" si="34"/>
        <v>0</v>
      </c>
      <c r="AK71" s="257">
        <f t="shared" si="35"/>
        <v>200000</v>
      </c>
      <c r="AL71" s="257"/>
      <c r="AM71" s="236"/>
      <c r="AN71" s="257">
        <f t="shared" si="36"/>
        <v>200000</v>
      </c>
      <c r="AO71" s="257">
        <f t="shared" ref="AO71:AO117" si="46">AN71-AP71-AQ71-AR71-AS71-AT71</f>
        <v>200000</v>
      </c>
      <c r="AP71" s="257"/>
      <c r="AQ71" s="257"/>
      <c r="AR71" s="257"/>
      <c r="AS71" s="257"/>
      <c r="AT71" s="257"/>
      <c r="AU71" s="257"/>
      <c r="AV71" s="257"/>
      <c r="AW71" s="257">
        <v>200000</v>
      </c>
      <c r="AX71" s="257">
        <f>AN71-AW71</f>
        <v>0</v>
      </c>
      <c r="AY71" s="257">
        <f t="shared" ref="AY71:AY117" si="47">AX71-AZ71-BA71-BB71-BC71-BD71</f>
        <v>0</v>
      </c>
      <c r="AZ71" s="257"/>
      <c r="BA71" s="257"/>
      <c r="BB71" s="257"/>
      <c r="BC71" s="257"/>
      <c r="BD71" s="257"/>
      <c r="BE71" s="257">
        <f t="shared" ref="BE71:BE117" si="48">AJ71+AX71</f>
        <v>0</v>
      </c>
      <c r="BF71" s="257">
        <f t="shared" ref="BF71:BF117" si="49">U71-BE71</f>
        <v>200000</v>
      </c>
      <c r="BG71" s="257">
        <f t="shared" si="37"/>
        <v>0</v>
      </c>
      <c r="BH71" s="257"/>
      <c r="BI71" s="257"/>
      <c r="BJ71" s="257"/>
      <c r="BK71" s="257"/>
      <c r="BL71" s="257"/>
      <c r="BN71" s="123"/>
      <c r="BO71" s="123"/>
      <c r="BP71" s="123"/>
      <c r="BQ71" s="123"/>
      <c r="BR71" s="123"/>
      <c r="BS71" s="123"/>
    </row>
    <row r="72" spans="1:71" s="5" customFormat="1" ht="30" customHeight="1">
      <c r="A72" s="213">
        <f t="shared" si="38"/>
        <v>67</v>
      </c>
      <c r="B72" s="19">
        <v>2185</v>
      </c>
      <c r="C72" s="19" t="s">
        <v>340</v>
      </c>
      <c r="D72" s="257">
        <v>40000000</v>
      </c>
      <c r="E72" s="257">
        <v>40000000</v>
      </c>
      <c r="F72" s="257">
        <f t="shared" si="39"/>
        <v>0</v>
      </c>
      <c r="G72" s="257">
        <v>5387282</v>
      </c>
      <c r="H72" s="257">
        <v>3549893</v>
      </c>
      <c r="I72" s="257"/>
      <c r="J72" s="257"/>
      <c r="K72" s="257">
        <f t="shared" si="32"/>
        <v>0</v>
      </c>
      <c r="L72" s="257">
        <f t="shared" si="40"/>
        <v>3549893</v>
      </c>
      <c r="M72" s="257">
        <f>P72+S72-1500000-330000</f>
        <v>7389</v>
      </c>
      <c r="N72" s="257">
        <f>30214093+1500000-12200000-10000000+330000-4000000</f>
        <v>5844093</v>
      </c>
      <c r="O72" s="257">
        <f t="shared" si="41"/>
        <v>30598625</v>
      </c>
      <c r="P72" s="257">
        <f t="shared" si="42"/>
        <v>1837389</v>
      </c>
      <c r="Q72" s="257">
        <f>4398625-4398625</f>
        <v>0</v>
      </c>
      <c r="R72" s="257"/>
      <c r="S72" s="257">
        <f t="shared" si="33"/>
        <v>0</v>
      </c>
      <c r="T72" s="257">
        <f t="shared" si="43"/>
        <v>1830000</v>
      </c>
      <c r="U72" s="257">
        <f t="shared" si="44"/>
        <v>4014093</v>
      </c>
      <c r="V72" s="257">
        <f t="shared" si="45"/>
        <v>4014093</v>
      </c>
      <c r="W72" s="257"/>
      <c r="X72" s="257"/>
      <c r="Y72" s="257"/>
      <c r="Z72" s="257"/>
      <c r="AA72" s="213"/>
      <c r="AB72" s="19" t="s">
        <v>526</v>
      </c>
      <c r="AC72" s="19">
        <v>810000</v>
      </c>
      <c r="AD72" s="257"/>
      <c r="AE72" s="257"/>
      <c r="AF72" s="257"/>
      <c r="AG72" s="257"/>
      <c r="AH72" s="257">
        <v>1000000</v>
      </c>
      <c r="AI72" s="257"/>
      <c r="AJ72" s="257">
        <f t="shared" si="34"/>
        <v>1000000</v>
      </c>
      <c r="AK72" s="257">
        <f t="shared" si="35"/>
        <v>3014093</v>
      </c>
      <c r="AL72" s="257"/>
      <c r="AM72" s="236"/>
      <c r="AN72" s="257">
        <f t="shared" si="36"/>
        <v>3014093</v>
      </c>
      <c r="AO72" s="257">
        <f t="shared" si="46"/>
        <v>3014093</v>
      </c>
      <c r="AP72" s="257"/>
      <c r="AQ72" s="257"/>
      <c r="AR72" s="257"/>
      <c r="AS72" s="257"/>
      <c r="AT72" s="257"/>
      <c r="AU72" s="257"/>
      <c r="AV72" s="257"/>
      <c r="AW72" s="257">
        <v>1014093</v>
      </c>
      <c r="AX72" s="257">
        <f t="shared" si="31"/>
        <v>2000000</v>
      </c>
      <c r="AY72" s="257">
        <f t="shared" si="47"/>
        <v>2000000</v>
      </c>
      <c r="AZ72" s="257"/>
      <c r="BA72" s="257"/>
      <c r="BB72" s="257"/>
      <c r="BC72" s="257"/>
      <c r="BD72" s="257"/>
      <c r="BE72" s="257">
        <f t="shared" si="48"/>
        <v>3000000</v>
      </c>
      <c r="BF72" s="257">
        <f t="shared" si="49"/>
        <v>1014093</v>
      </c>
      <c r="BG72" s="257">
        <f t="shared" si="37"/>
        <v>3000000</v>
      </c>
      <c r="BH72" s="257"/>
      <c r="BI72" s="257"/>
      <c r="BJ72" s="257"/>
      <c r="BK72" s="257"/>
      <c r="BL72" s="257"/>
      <c r="BN72" s="123"/>
      <c r="BO72" s="123"/>
      <c r="BP72" s="123"/>
      <c r="BQ72" s="123"/>
      <c r="BR72" s="123"/>
      <c r="BS72" s="123"/>
    </row>
    <row r="73" spans="1:71" s="5" customFormat="1" ht="30" customHeight="1">
      <c r="A73" s="213">
        <f t="shared" si="38"/>
        <v>68</v>
      </c>
      <c r="B73" s="19">
        <v>2191</v>
      </c>
      <c r="C73" s="19" t="s">
        <v>375</v>
      </c>
      <c r="D73" s="257">
        <v>14000000</v>
      </c>
      <c r="E73" s="257">
        <v>14000000</v>
      </c>
      <c r="F73" s="257">
        <f t="shared" si="39"/>
        <v>0</v>
      </c>
      <c r="G73" s="257">
        <v>700000</v>
      </c>
      <c r="H73" s="257">
        <v>482960</v>
      </c>
      <c r="I73" s="257"/>
      <c r="J73" s="257"/>
      <c r="K73" s="257">
        <f t="shared" si="32"/>
        <v>0</v>
      </c>
      <c r="L73" s="257">
        <f t="shared" si="40"/>
        <v>482960</v>
      </c>
      <c r="M73" s="257">
        <f>P73+S73-210000</f>
        <v>7040</v>
      </c>
      <c r="N73" s="257">
        <v>210000</v>
      </c>
      <c r="O73" s="257">
        <f t="shared" si="41"/>
        <v>13300000</v>
      </c>
      <c r="P73" s="257">
        <f t="shared" si="42"/>
        <v>217040</v>
      </c>
      <c r="Q73" s="257"/>
      <c r="R73" s="257"/>
      <c r="S73" s="257">
        <f t="shared" si="33"/>
        <v>0</v>
      </c>
      <c r="T73" s="257">
        <f t="shared" si="43"/>
        <v>210000</v>
      </c>
      <c r="U73" s="257">
        <f t="shared" si="44"/>
        <v>0</v>
      </c>
      <c r="V73" s="257">
        <f t="shared" si="45"/>
        <v>0</v>
      </c>
      <c r="W73" s="257"/>
      <c r="X73" s="257"/>
      <c r="Y73" s="257"/>
      <c r="Z73" s="257"/>
      <c r="AA73" s="213"/>
      <c r="AB73" s="19" t="s">
        <v>444</v>
      </c>
      <c r="AC73" s="19">
        <v>742000</v>
      </c>
      <c r="AD73" s="257"/>
      <c r="AE73" s="257"/>
      <c r="AF73" s="257"/>
      <c r="AG73" s="257"/>
      <c r="AH73" s="257"/>
      <c r="AI73" s="257"/>
      <c r="AJ73" s="257">
        <f t="shared" si="34"/>
        <v>0</v>
      </c>
      <c r="AK73" s="257">
        <f t="shared" si="35"/>
        <v>0</v>
      </c>
      <c r="AL73" s="257"/>
      <c r="AM73" s="236"/>
      <c r="AN73" s="257">
        <f t="shared" si="36"/>
        <v>0</v>
      </c>
      <c r="AO73" s="257">
        <f t="shared" si="46"/>
        <v>0</v>
      </c>
      <c r="AP73" s="257"/>
      <c r="AQ73" s="257"/>
      <c r="AR73" s="257"/>
      <c r="AS73" s="257"/>
      <c r="AT73" s="257"/>
      <c r="AU73" s="257"/>
      <c r="AV73" s="257"/>
      <c r="AW73" s="257"/>
      <c r="AX73" s="257">
        <f>AN73-AW73</f>
        <v>0</v>
      </c>
      <c r="AY73" s="257">
        <f t="shared" si="47"/>
        <v>0</v>
      </c>
      <c r="AZ73" s="257"/>
      <c r="BA73" s="257"/>
      <c r="BB73" s="257"/>
      <c r="BC73" s="257"/>
      <c r="BD73" s="257"/>
      <c r="BE73" s="257">
        <f t="shared" si="48"/>
        <v>0</v>
      </c>
      <c r="BF73" s="257">
        <f t="shared" si="49"/>
        <v>0</v>
      </c>
      <c r="BG73" s="257">
        <f t="shared" si="37"/>
        <v>0</v>
      </c>
      <c r="BH73" s="257"/>
      <c r="BI73" s="257"/>
      <c r="BJ73" s="257"/>
      <c r="BK73" s="257"/>
      <c r="BL73" s="257"/>
      <c r="BN73" s="123"/>
      <c r="BO73" s="123"/>
      <c r="BP73" s="123"/>
      <c r="BQ73" s="123"/>
      <c r="BR73" s="123"/>
      <c r="BS73" s="123"/>
    </row>
    <row r="74" spans="1:71" s="5" customFormat="1" ht="30" customHeight="1">
      <c r="A74" s="213">
        <f t="shared" si="38"/>
        <v>69</v>
      </c>
      <c r="B74" s="19">
        <v>2194</v>
      </c>
      <c r="C74" s="19" t="s">
        <v>377</v>
      </c>
      <c r="D74" s="257">
        <v>700000</v>
      </c>
      <c r="E74" s="257">
        <v>700000</v>
      </c>
      <c r="F74" s="257">
        <f t="shared" si="39"/>
        <v>0</v>
      </c>
      <c r="G74" s="257">
        <v>100000</v>
      </c>
      <c r="H74" s="257"/>
      <c r="I74" s="257"/>
      <c r="J74" s="257"/>
      <c r="K74" s="257">
        <f t="shared" si="32"/>
        <v>0</v>
      </c>
      <c r="L74" s="257">
        <f t="shared" si="40"/>
        <v>0</v>
      </c>
      <c r="M74" s="257">
        <f>P74+S74-100000</f>
        <v>0</v>
      </c>
      <c r="N74" s="257">
        <f>300000-300000</f>
        <v>0</v>
      </c>
      <c r="O74" s="257">
        <f t="shared" si="41"/>
        <v>700000</v>
      </c>
      <c r="P74" s="257">
        <f t="shared" si="42"/>
        <v>100000</v>
      </c>
      <c r="Q74" s="257"/>
      <c r="R74" s="257"/>
      <c r="S74" s="257">
        <f t="shared" si="33"/>
        <v>0</v>
      </c>
      <c r="T74" s="257">
        <f t="shared" si="43"/>
        <v>100000</v>
      </c>
      <c r="U74" s="257">
        <f t="shared" si="44"/>
        <v>-100000</v>
      </c>
      <c r="V74" s="257">
        <f t="shared" si="45"/>
        <v>-100000</v>
      </c>
      <c r="W74" s="257"/>
      <c r="X74" s="257"/>
      <c r="Y74" s="257"/>
      <c r="Z74" s="257"/>
      <c r="AA74" s="213"/>
      <c r="AB74" s="19" t="s">
        <v>445</v>
      </c>
      <c r="AC74" s="19">
        <v>742000</v>
      </c>
      <c r="AD74" s="257">
        <v>-100000</v>
      </c>
      <c r="AE74" s="257"/>
      <c r="AF74" s="257"/>
      <c r="AG74" s="257"/>
      <c r="AH74" s="257"/>
      <c r="AI74" s="257"/>
      <c r="AJ74" s="257">
        <f t="shared" si="34"/>
        <v>-100000</v>
      </c>
      <c r="AK74" s="257">
        <f t="shared" si="35"/>
        <v>0</v>
      </c>
      <c r="AL74" s="257"/>
      <c r="AM74" s="236"/>
      <c r="AN74" s="257">
        <f t="shared" si="36"/>
        <v>0</v>
      </c>
      <c r="AO74" s="257">
        <f t="shared" si="46"/>
        <v>0</v>
      </c>
      <c r="AP74" s="257"/>
      <c r="AQ74" s="257"/>
      <c r="AR74" s="257"/>
      <c r="AS74" s="257"/>
      <c r="AT74" s="257"/>
      <c r="AU74" s="257"/>
      <c r="AV74" s="257"/>
      <c r="AW74" s="257"/>
      <c r="AX74" s="257">
        <f t="shared" ref="AX74:AX81" si="50">AN74-AW74</f>
        <v>0</v>
      </c>
      <c r="AY74" s="257">
        <f t="shared" si="47"/>
        <v>0</v>
      </c>
      <c r="AZ74" s="257"/>
      <c r="BA74" s="257"/>
      <c r="BB74" s="257"/>
      <c r="BC74" s="257"/>
      <c r="BD74" s="257"/>
      <c r="BE74" s="257">
        <f t="shared" si="48"/>
        <v>-100000</v>
      </c>
      <c r="BF74" s="257">
        <f t="shared" si="49"/>
        <v>0</v>
      </c>
      <c r="BG74" s="257">
        <f t="shared" si="37"/>
        <v>-100000</v>
      </c>
      <c r="BH74" s="257"/>
      <c r="BI74" s="257"/>
      <c r="BJ74" s="257"/>
      <c r="BK74" s="257"/>
      <c r="BL74" s="257"/>
      <c r="BN74" s="123"/>
      <c r="BO74" s="123"/>
      <c r="BP74" s="123"/>
      <c r="BQ74" s="123"/>
      <c r="BR74" s="123"/>
      <c r="BS74" s="123"/>
    </row>
    <row r="75" spans="1:71" s="5" customFormat="1" ht="30" customHeight="1">
      <c r="A75" s="213">
        <f t="shared" si="38"/>
        <v>70</v>
      </c>
      <c r="B75" s="19">
        <v>2195</v>
      </c>
      <c r="C75" s="19" t="s">
        <v>378</v>
      </c>
      <c r="D75" s="495">
        <v>2300000</v>
      </c>
      <c r="E75" s="495">
        <v>2300000</v>
      </c>
      <c r="F75" s="495">
        <f t="shared" si="39"/>
        <v>0</v>
      </c>
      <c r="G75" s="495">
        <v>0</v>
      </c>
      <c r="H75" s="495"/>
      <c r="I75" s="495"/>
      <c r="J75" s="495"/>
      <c r="K75" s="495">
        <f>SUM(I75:J75)</f>
        <v>0</v>
      </c>
      <c r="L75" s="495">
        <f>H75+K75</f>
        <v>0</v>
      </c>
      <c r="M75" s="495">
        <f>P75+S75-100000</f>
        <v>0</v>
      </c>
      <c r="N75" s="495">
        <f>2300000-100000-2050000-50000</f>
        <v>100000</v>
      </c>
      <c r="O75" s="495">
        <f t="shared" si="41"/>
        <v>2200000</v>
      </c>
      <c r="P75" s="495">
        <f t="shared" si="42"/>
        <v>0</v>
      </c>
      <c r="Q75" s="495">
        <v>100000</v>
      </c>
      <c r="R75" s="495"/>
      <c r="S75" s="495">
        <f t="shared" si="33"/>
        <v>100000</v>
      </c>
      <c r="T75" s="495">
        <f t="shared" si="43"/>
        <v>100000</v>
      </c>
      <c r="U75" s="495">
        <f t="shared" si="44"/>
        <v>0</v>
      </c>
      <c r="V75" s="495">
        <f>U75-AA75-W75-Z75-Y75-X75</f>
        <v>0</v>
      </c>
      <c r="W75" s="495"/>
      <c r="X75" s="495"/>
      <c r="Y75" s="495"/>
      <c r="Z75" s="495"/>
      <c r="AA75" s="19"/>
      <c r="AB75" s="19" t="s">
        <v>760</v>
      </c>
      <c r="AC75" s="19">
        <v>742000</v>
      </c>
      <c r="AD75" s="257"/>
      <c r="AE75" s="257"/>
      <c r="AF75" s="257"/>
      <c r="AG75" s="257"/>
      <c r="AH75" s="257"/>
      <c r="AI75" s="257"/>
      <c r="AJ75" s="257">
        <f t="shared" si="34"/>
        <v>0</v>
      </c>
      <c r="AK75" s="257">
        <f t="shared" si="35"/>
        <v>0</v>
      </c>
      <c r="AL75" s="257"/>
      <c r="AM75" s="236"/>
      <c r="AN75" s="257">
        <f t="shared" si="36"/>
        <v>0</v>
      </c>
      <c r="AO75" s="257">
        <f t="shared" si="46"/>
        <v>0</v>
      </c>
      <c r="AP75" s="257"/>
      <c r="AQ75" s="257"/>
      <c r="AR75" s="257"/>
      <c r="AS75" s="257"/>
      <c r="AT75" s="257"/>
      <c r="AU75" s="257"/>
      <c r="AV75" s="257"/>
      <c r="AW75" s="257"/>
      <c r="AX75" s="257">
        <f t="shared" si="50"/>
        <v>0</v>
      </c>
      <c r="AY75" s="257">
        <f t="shared" si="47"/>
        <v>0</v>
      </c>
      <c r="AZ75" s="257"/>
      <c r="BA75" s="257"/>
      <c r="BB75" s="257"/>
      <c r="BC75" s="257"/>
      <c r="BD75" s="257"/>
      <c r="BE75" s="257">
        <f t="shared" si="48"/>
        <v>0</v>
      </c>
      <c r="BF75" s="257">
        <f t="shared" si="49"/>
        <v>0</v>
      </c>
      <c r="BG75" s="257">
        <f t="shared" si="37"/>
        <v>0</v>
      </c>
      <c r="BH75" s="257"/>
      <c r="BI75" s="257"/>
      <c r="BJ75" s="257"/>
      <c r="BK75" s="257"/>
      <c r="BL75" s="257"/>
      <c r="BN75" s="123"/>
      <c r="BO75" s="123"/>
      <c r="BP75" s="123"/>
      <c r="BQ75" s="123"/>
      <c r="BR75" s="123"/>
      <c r="BS75" s="123"/>
    </row>
    <row r="76" spans="1:71" s="5" customFormat="1" ht="30" customHeight="1">
      <c r="A76" s="213">
        <f t="shared" si="38"/>
        <v>71</v>
      </c>
      <c r="B76" s="19">
        <v>2196</v>
      </c>
      <c r="C76" s="19" t="s">
        <v>379</v>
      </c>
      <c r="D76" s="257">
        <v>21135000</v>
      </c>
      <c r="E76" s="257">
        <v>21135000</v>
      </c>
      <c r="F76" s="257">
        <f t="shared" si="39"/>
        <v>0</v>
      </c>
      <c r="G76" s="257">
        <v>1000000</v>
      </c>
      <c r="H76" s="257">
        <v>982316</v>
      </c>
      <c r="I76" s="257"/>
      <c r="J76" s="257"/>
      <c r="K76" s="257">
        <f t="shared" si="32"/>
        <v>0</v>
      </c>
      <c r="L76" s="257">
        <f t="shared" si="40"/>
        <v>982316</v>
      </c>
      <c r="M76" s="257">
        <f>P76+S76-510000</f>
        <v>7684</v>
      </c>
      <c r="N76" s="257">
        <v>510000</v>
      </c>
      <c r="O76" s="257">
        <f t="shared" si="41"/>
        <v>19635000</v>
      </c>
      <c r="P76" s="257">
        <f t="shared" si="42"/>
        <v>17684</v>
      </c>
      <c r="Q76" s="257">
        <f>1000000-500000</f>
        <v>500000</v>
      </c>
      <c r="R76" s="257"/>
      <c r="S76" s="257">
        <f t="shared" si="33"/>
        <v>500000</v>
      </c>
      <c r="T76" s="257">
        <f t="shared" si="43"/>
        <v>510000</v>
      </c>
      <c r="U76" s="257">
        <f t="shared" si="44"/>
        <v>0</v>
      </c>
      <c r="V76" s="257">
        <f t="shared" si="45"/>
        <v>0</v>
      </c>
      <c r="W76" s="257"/>
      <c r="X76" s="257"/>
      <c r="Y76" s="257"/>
      <c r="Z76" s="257"/>
      <c r="AA76" s="213"/>
      <c r="AB76" s="19" t="s">
        <v>446</v>
      </c>
      <c r="AC76" s="19">
        <v>742000</v>
      </c>
      <c r="AD76" s="257"/>
      <c r="AE76" s="257"/>
      <c r="AF76" s="257"/>
      <c r="AG76" s="257"/>
      <c r="AH76" s="257"/>
      <c r="AI76" s="257"/>
      <c r="AJ76" s="257">
        <f t="shared" si="34"/>
        <v>0</v>
      </c>
      <c r="AK76" s="257">
        <f t="shared" si="35"/>
        <v>0</v>
      </c>
      <c r="AL76" s="257"/>
      <c r="AM76" s="236"/>
      <c r="AN76" s="257">
        <f t="shared" si="36"/>
        <v>0</v>
      </c>
      <c r="AO76" s="257">
        <f t="shared" si="46"/>
        <v>0</v>
      </c>
      <c r="AP76" s="257"/>
      <c r="AQ76" s="257"/>
      <c r="AR76" s="257"/>
      <c r="AS76" s="257"/>
      <c r="AT76" s="257"/>
      <c r="AU76" s="257"/>
      <c r="AV76" s="257"/>
      <c r="AW76" s="257"/>
      <c r="AX76" s="257">
        <f t="shared" si="50"/>
        <v>0</v>
      </c>
      <c r="AY76" s="257">
        <f t="shared" si="47"/>
        <v>0</v>
      </c>
      <c r="AZ76" s="257"/>
      <c r="BA76" s="257"/>
      <c r="BB76" s="257"/>
      <c r="BC76" s="257"/>
      <c r="BD76" s="257"/>
      <c r="BE76" s="257">
        <f t="shared" si="48"/>
        <v>0</v>
      </c>
      <c r="BF76" s="257">
        <f t="shared" si="49"/>
        <v>0</v>
      </c>
      <c r="BG76" s="257">
        <f t="shared" si="37"/>
        <v>0</v>
      </c>
      <c r="BH76" s="257"/>
      <c r="BI76" s="257"/>
      <c r="BJ76" s="257"/>
      <c r="BK76" s="257"/>
      <c r="BL76" s="257"/>
      <c r="BN76" s="123"/>
      <c r="BO76" s="123"/>
      <c r="BP76" s="123"/>
      <c r="BQ76" s="123"/>
      <c r="BR76" s="123"/>
      <c r="BS76" s="123"/>
    </row>
    <row r="77" spans="1:71" s="5" customFormat="1" ht="30" customHeight="1">
      <c r="A77" s="213">
        <f t="shared" si="38"/>
        <v>72</v>
      </c>
      <c r="B77" s="19">
        <v>2197</v>
      </c>
      <c r="C77" s="19" t="s">
        <v>380</v>
      </c>
      <c r="D77" s="257">
        <v>15160000</v>
      </c>
      <c r="E77" s="257">
        <v>15160000</v>
      </c>
      <c r="F77" s="257">
        <f t="shared" si="39"/>
        <v>0</v>
      </c>
      <c r="G77" s="257">
        <v>700000</v>
      </c>
      <c r="H77" s="257">
        <v>697954</v>
      </c>
      <c r="I77" s="257"/>
      <c r="J77" s="257"/>
      <c r="K77" s="257">
        <f t="shared" si="32"/>
        <v>0</v>
      </c>
      <c r="L77" s="257">
        <f t="shared" si="40"/>
        <v>697954</v>
      </c>
      <c r="M77" s="257">
        <f>P77+S77</f>
        <v>2046</v>
      </c>
      <c r="N77" s="257">
        <f>14460000-14460000</f>
        <v>0</v>
      </c>
      <c r="O77" s="257">
        <f t="shared" si="41"/>
        <v>14460000</v>
      </c>
      <c r="P77" s="257">
        <f t="shared" si="42"/>
        <v>2046</v>
      </c>
      <c r="Q77" s="257"/>
      <c r="R77" s="257"/>
      <c r="S77" s="257">
        <f t="shared" si="33"/>
        <v>0</v>
      </c>
      <c r="T77" s="257">
        <f t="shared" si="43"/>
        <v>0</v>
      </c>
      <c r="U77" s="257">
        <f t="shared" si="44"/>
        <v>0</v>
      </c>
      <c r="V77" s="257">
        <f t="shared" si="45"/>
        <v>0</v>
      </c>
      <c r="W77" s="257"/>
      <c r="X77" s="257"/>
      <c r="Y77" s="257"/>
      <c r="Z77" s="257"/>
      <c r="AA77" s="213"/>
      <c r="AB77" s="19" t="s">
        <v>551</v>
      </c>
      <c r="AC77" s="19">
        <v>742000</v>
      </c>
      <c r="AD77" s="257"/>
      <c r="AE77" s="257"/>
      <c r="AF77" s="257"/>
      <c r="AG77" s="257"/>
      <c r="AH77" s="257"/>
      <c r="AI77" s="257"/>
      <c r="AJ77" s="257">
        <f t="shared" si="34"/>
        <v>0</v>
      </c>
      <c r="AK77" s="257">
        <f t="shared" si="35"/>
        <v>0</v>
      </c>
      <c r="AL77" s="257"/>
      <c r="AM77" s="236"/>
      <c r="AN77" s="257">
        <f t="shared" si="36"/>
        <v>0</v>
      </c>
      <c r="AO77" s="257">
        <f t="shared" si="46"/>
        <v>0</v>
      </c>
      <c r="AP77" s="257"/>
      <c r="AQ77" s="257"/>
      <c r="AR77" s="257"/>
      <c r="AS77" s="257"/>
      <c r="AT77" s="257"/>
      <c r="AU77" s="257"/>
      <c r="AV77" s="257"/>
      <c r="AW77" s="257"/>
      <c r="AX77" s="257">
        <f>AN77-AW77</f>
        <v>0</v>
      </c>
      <c r="AY77" s="257">
        <f t="shared" si="47"/>
        <v>0</v>
      </c>
      <c r="AZ77" s="257"/>
      <c r="BA77" s="257"/>
      <c r="BB77" s="257"/>
      <c r="BC77" s="257"/>
      <c r="BD77" s="257"/>
      <c r="BE77" s="257">
        <f t="shared" si="48"/>
        <v>0</v>
      </c>
      <c r="BF77" s="257">
        <f t="shared" si="49"/>
        <v>0</v>
      </c>
      <c r="BG77" s="257">
        <f t="shared" si="37"/>
        <v>0</v>
      </c>
      <c r="BH77" s="257"/>
      <c r="BI77" s="257"/>
      <c r="BJ77" s="257"/>
      <c r="BK77" s="257"/>
      <c r="BL77" s="257"/>
      <c r="BN77" s="123"/>
      <c r="BO77" s="123"/>
      <c r="BP77" s="123"/>
      <c r="BQ77" s="123"/>
      <c r="BR77" s="123"/>
      <c r="BS77" s="123"/>
    </row>
    <row r="78" spans="1:71" s="5" customFormat="1" ht="30" customHeight="1">
      <c r="A78" s="213">
        <f t="shared" si="38"/>
        <v>73</v>
      </c>
      <c r="B78" s="19">
        <v>2198</v>
      </c>
      <c r="C78" s="19" t="s">
        <v>381</v>
      </c>
      <c r="D78" s="257">
        <v>16030000</v>
      </c>
      <c r="E78" s="257">
        <v>16030000</v>
      </c>
      <c r="F78" s="257">
        <f t="shared" si="39"/>
        <v>0</v>
      </c>
      <c r="G78" s="257">
        <v>800000</v>
      </c>
      <c r="H78" s="257">
        <v>740050</v>
      </c>
      <c r="I78" s="257"/>
      <c r="J78" s="257"/>
      <c r="K78" s="257">
        <f t="shared" si="32"/>
        <v>0</v>
      </c>
      <c r="L78" s="257">
        <f t="shared" si="40"/>
        <v>740050</v>
      </c>
      <c r="M78" s="257">
        <f>P78+S78-55000</f>
        <v>4950</v>
      </c>
      <c r="N78" s="257">
        <v>55000</v>
      </c>
      <c r="O78" s="257">
        <f t="shared" si="41"/>
        <v>15230000</v>
      </c>
      <c r="P78" s="257">
        <f t="shared" si="42"/>
        <v>59950</v>
      </c>
      <c r="Q78" s="257"/>
      <c r="R78" s="257"/>
      <c r="S78" s="257">
        <f t="shared" si="33"/>
        <v>0</v>
      </c>
      <c r="T78" s="257">
        <f t="shared" si="43"/>
        <v>55000</v>
      </c>
      <c r="U78" s="257">
        <f t="shared" si="44"/>
        <v>0</v>
      </c>
      <c r="V78" s="257">
        <f t="shared" si="45"/>
        <v>0</v>
      </c>
      <c r="W78" s="257"/>
      <c r="X78" s="257"/>
      <c r="Y78" s="257"/>
      <c r="Z78" s="257"/>
      <c r="AA78" s="213"/>
      <c r="AB78" s="19" t="s">
        <v>463</v>
      </c>
      <c r="AC78" s="19">
        <v>742000</v>
      </c>
      <c r="AD78" s="257"/>
      <c r="AE78" s="257"/>
      <c r="AF78" s="257"/>
      <c r="AG78" s="257"/>
      <c r="AH78" s="257"/>
      <c r="AI78" s="257"/>
      <c r="AJ78" s="257">
        <f t="shared" si="34"/>
        <v>0</v>
      </c>
      <c r="AK78" s="257">
        <f t="shared" si="35"/>
        <v>0</v>
      </c>
      <c r="AL78" s="257"/>
      <c r="AM78" s="236"/>
      <c r="AN78" s="257">
        <f t="shared" si="36"/>
        <v>0</v>
      </c>
      <c r="AO78" s="257">
        <f t="shared" si="46"/>
        <v>0</v>
      </c>
      <c r="AP78" s="257"/>
      <c r="AQ78" s="257"/>
      <c r="AR78" s="257"/>
      <c r="AS78" s="257"/>
      <c r="AT78" s="257"/>
      <c r="AU78" s="257"/>
      <c r="AV78" s="257"/>
      <c r="AW78" s="257"/>
      <c r="AX78" s="257">
        <f t="shared" si="50"/>
        <v>0</v>
      </c>
      <c r="AY78" s="257">
        <f t="shared" si="47"/>
        <v>0</v>
      </c>
      <c r="AZ78" s="257"/>
      <c r="BA78" s="257"/>
      <c r="BB78" s="257"/>
      <c r="BC78" s="257"/>
      <c r="BD78" s="257"/>
      <c r="BE78" s="257">
        <f t="shared" si="48"/>
        <v>0</v>
      </c>
      <c r="BF78" s="257">
        <f t="shared" si="49"/>
        <v>0</v>
      </c>
      <c r="BG78" s="257">
        <f t="shared" si="37"/>
        <v>0</v>
      </c>
      <c r="BH78" s="257"/>
      <c r="BI78" s="257"/>
      <c r="BJ78" s="257"/>
      <c r="BK78" s="257"/>
      <c r="BL78" s="257"/>
      <c r="BN78" s="123"/>
      <c r="BO78" s="123"/>
      <c r="BP78" s="123"/>
      <c r="BQ78" s="123"/>
      <c r="BR78" s="123"/>
      <c r="BS78" s="123"/>
    </row>
    <row r="79" spans="1:71" s="5" customFormat="1" ht="30" customHeight="1">
      <c r="A79" s="213">
        <f t="shared" si="38"/>
        <v>74</v>
      </c>
      <c r="B79" s="19">
        <v>2201</v>
      </c>
      <c r="C79" s="19" t="s">
        <v>367</v>
      </c>
      <c r="D79" s="257">
        <f>130000000-10000000</f>
        <v>120000000</v>
      </c>
      <c r="E79" s="257">
        <v>80000000</v>
      </c>
      <c r="F79" s="257">
        <f t="shared" si="39"/>
        <v>40000000</v>
      </c>
      <c r="G79" s="257">
        <f>2500000+2000000</f>
        <v>4500000</v>
      </c>
      <c r="H79" s="257">
        <v>6690820</v>
      </c>
      <c r="I79" s="257"/>
      <c r="J79" s="257"/>
      <c r="K79" s="257">
        <f t="shared" si="32"/>
        <v>0</v>
      </c>
      <c r="L79" s="257">
        <f t="shared" si="40"/>
        <v>6690820</v>
      </c>
      <c r="M79" s="257">
        <f>P79+S79-2880000</f>
        <v>5935</v>
      </c>
      <c r="N79" s="257">
        <f>50000000+10000000-40000000+2880000-4000000</f>
        <v>18880000</v>
      </c>
      <c r="O79" s="257">
        <f t="shared" si="41"/>
        <v>94423245</v>
      </c>
      <c r="P79" s="257">
        <f t="shared" si="42"/>
        <v>-2190820</v>
      </c>
      <c r="Q79" s="257">
        <v>5076755</v>
      </c>
      <c r="R79" s="257"/>
      <c r="S79" s="257">
        <f t="shared" si="33"/>
        <v>5076755</v>
      </c>
      <c r="T79" s="257">
        <f t="shared" si="43"/>
        <v>2880000</v>
      </c>
      <c r="U79" s="257">
        <f t="shared" si="44"/>
        <v>16000000</v>
      </c>
      <c r="V79" s="257">
        <f t="shared" si="45"/>
        <v>16000000</v>
      </c>
      <c r="W79" s="257"/>
      <c r="X79" s="257"/>
      <c r="Y79" s="257"/>
      <c r="Z79" s="257"/>
      <c r="AA79" s="213"/>
      <c r="AB79" s="19" t="s">
        <v>1375</v>
      </c>
      <c r="AC79" s="19">
        <v>810000</v>
      </c>
      <c r="AD79" s="257"/>
      <c r="AE79" s="257"/>
      <c r="AF79" s="257">
        <v>3100000</v>
      </c>
      <c r="AG79" s="257">
        <f>3000000+1500000</f>
        <v>4500000</v>
      </c>
      <c r="AH79" s="257"/>
      <c r="AI79" s="257"/>
      <c r="AJ79" s="257">
        <f t="shared" si="34"/>
        <v>7600000</v>
      </c>
      <c r="AK79" s="257">
        <f t="shared" si="35"/>
        <v>8400000</v>
      </c>
      <c r="AL79" s="257"/>
      <c r="AM79" s="236"/>
      <c r="AN79" s="257">
        <f t="shared" si="36"/>
        <v>8400000</v>
      </c>
      <c r="AO79" s="257">
        <f t="shared" si="46"/>
        <v>8400000</v>
      </c>
      <c r="AP79" s="257"/>
      <c r="AQ79" s="257"/>
      <c r="AR79" s="257"/>
      <c r="AS79" s="257"/>
      <c r="AT79" s="257"/>
      <c r="AU79" s="257"/>
      <c r="AV79" s="257"/>
      <c r="AW79" s="257"/>
      <c r="AX79" s="257">
        <f t="shared" si="50"/>
        <v>8400000</v>
      </c>
      <c r="AY79" s="257">
        <f t="shared" si="47"/>
        <v>8400000</v>
      </c>
      <c r="AZ79" s="257"/>
      <c r="BA79" s="257"/>
      <c r="BB79" s="257"/>
      <c r="BC79" s="257"/>
      <c r="BD79" s="257"/>
      <c r="BE79" s="257">
        <f t="shared" si="48"/>
        <v>16000000</v>
      </c>
      <c r="BF79" s="257">
        <f t="shared" si="49"/>
        <v>0</v>
      </c>
      <c r="BG79" s="257">
        <f t="shared" si="37"/>
        <v>16000000</v>
      </c>
      <c r="BH79" s="257"/>
      <c r="BI79" s="257"/>
      <c r="BJ79" s="257"/>
      <c r="BK79" s="257"/>
      <c r="BL79" s="257"/>
      <c r="BN79" s="123"/>
      <c r="BO79" s="123"/>
      <c r="BP79" s="123"/>
      <c r="BQ79" s="123"/>
      <c r="BR79" s="123"/>
      <c r="BS79" s="123"/>
    </row>
    <row r="80" spans="1:71" s="5" customFormat="1" ht="30" customHeight="1">
      <c r="A80" s="213">
        <f t="shared" si="38"/>
        <v>75</v>
      </c>
      <c r="B80" s="19">
        <v>2202</v>
      </c>
      <c r="C80" s="19" t="s">
        <v>1164</v>
      </c>
      <c r="D80" s="257">
        <v>49000000</v>
      </c>
      <c r="E80" s="257">
        <v>49000000</v>
      </c>
      <c r="F80" s="257">
        <f t="shared" si="39"/>
        <v>0</v>
      </c>
      <c r="G80" s="257">
        <v>1200000</v>
      </c>
      <c r="H80" s="257">
        <v>1195951</v>
      </c>
      <c r="I80" s="257"/>
      <c r="J80" s="257">
        <v>838</v>
      </c>
      <c r="K80" s="257">
        <f t="shared" si="32"/>
        <v>838</v>
      </c>
      <c r="L80" s="257">
        <f t="shared" si="40"/>
        <v>1196789</v>
      </c>
      <c r="M80" s="257">
        <f>P80+S80</f>
        <v>3211</v>
      </c>
      <c r="N80" s="257">
        <f>25000000-11000000-14000000</f>
        <v>0</v>
      </c>
      <c r="O80" s="257">
        <f t="shared" si="41"/>
        <v>47800000</v>
      </c>
      <c r="P80" s="257">
        <f t="shared" si="42"/>
        <v>3211</v>
      </c>
      <c r="Q80" s="257"/>
      <c r="R80" s="257"/>
      <c r="S80" s="257">
        <f t="shared" si="33"/>
        <v>0</v>
      </c>
      <c r="T80" s="257">
        <f t="shared" si="43"/>
        <v>0</v>
      </c>
      <c r="U80" s="257">
        <f t="shared" si="44"/>
        <v>0</v>
      </c>
      <c r="V80" s="257">
        <f t="shared" si="45"/>
        <v>0</v>
      </c>
      <c r="W80" s="257"/>
      <c r="X80" s="257"/>
      <c r="Y80" s="257"/>
      <c r="Z80" s="257"/>
      <c r="AA80" s="213"/>
      <c r="AB80" s="19" t="s">
        <v>971</v>
      </c>
      <c r="AC80" s="19">
        <v>810000</v>
      </c>
      <c r="AD80" s="257"/>
      <c r="AE80" s="257"/>
      <c r="AF80" s="257"/>
      <c r="AG80" s="257"/>
      <c r="AH80" s="257"/>
      <c r="AI80" s="257"/>
      <c r="AJ80" s="257">
        <f t="shared" si="34"/>
        <v>0</v>
      </c>
      <c r="AK80" s="257">
        <f t="shared" si="35"/>
        <v>0</v>
      </c>
      <c r="AL80" s="257"/>
      <c r="AM80" s="236"/>
      <c r="AN80" s="257">
        <f t="shared" si="36"/>
        <v>0</v>
      </c>
      <c r="AO80" s="257">
        <f t="shared" si="46"/>
        <v>0</v>
      </c>
      <c r="AP80" s="257"/>
      <c r="AQ80" s="257"/>
      <c r="AR80" s="257"/>
      <c r="AS80" s="257"/>
      <c r="AT80" s="257"/>
      <c r="AU80" s="257"/>
      <c r="AV80" s="257"/>
      <c r="AW80" s="257"/>
      <c r="AX80" s="257">
        <f>AN80-AW80</f>
        <v>0</v>
      </c>
      <c r="AY80" s="257">
        <f t="shared" si="47"/>
        <v>0</v>
      </c>
      <c r="AZ80" s="257"/>
      <c r="BA80" s="257"/>
      <c r="BB80" s="257"/>
      <c r="BC80" s="257"/>
      <c r="BD80" s="257"/>
      <c r="BE80" s="257">
        <f t="shared" si="48"/>
        <v>0</v>
      </c>
      <c r="BF80" s="257">
        <f t="shared" si="49"/>
        <v>0</v>
      </c>
      <c r="BG80" s="257">
        <f t="shared" si="37"/>
        <v>0</v>
      </c>
      <c r="BH80" s="257"/>
      <c r="BI80" s="257"/>
      <c r="BJ80" s="257"/>
      <c r="BK80" s="257"/>
      <c r="BL80" s="257"/>
      <c r="BN80" s="123"/>
      <c r="BO80" s="123"/>
      <c r="BP80" s="123"/>
      <c r="BQ80" s="123"/>
      <c r="BR80" s="123"/>
      <c r="BS80" s="123"/>
    </row>
    <row r="81" spans="1:71" s="5" customFormat="1" ht="30" customHeight="1">
      <c r="A81" s="213">
        <f t="shared" si="38"/>
        <v>76</v>
      </c>
      <c r="B81" s="19">
        <v>2203</v>
      </c>
      <c r="C81" s="19" t="s">
        <v>477</v>
      </c>
      <c r="D81" s="257">
        <v>1700000</v>
      </c>
      <c r="E81" s="257">
        <v>1000000</v>
      </c>
      <c r="F81" s="257">
        <f t="shared" si="39"/>
        <v>700000</v>
      </c>
      <c r="G81" s="257">
        <v>1000000</v>
      </c>
      <c r="H81" s="257">
        <v>743174</v>
      </c>
      <c r="I81" s="257"/>
      <c r="J81" s="257"/>
      <c r="K81" s="257">
        <f t="shared" si="32"/>
        <v>0</v>
      </c>
      <c r="L81" s="257">
        <f t="shared" si="40"/>
        <v>743174</v>
      </c>
      <c r="M81" s="257">
        <f>P81+S81-250000</f>
        <v>6826</v>
      </c>
      <c r="N81" s="257">
        <f>700000+250000-200000</f>
        <v>750000</v>
      </c>
      <c r="O81" s="257">
        <f t="shared" si="41"/>
        <v>200000</v>
      </c>
      <c r="P81" s="257">
        <f t="shared" si="42"/>
        <v>256826</v>
      </c>
      <c r="Q81" s="257"/>
      <c r="R81" s="257"/>
      <c r="S81" s="257">
        <f t="shared" si="33"/>
        <v>0</v>
      </c>
      <c r="T81" s="257">
        <f t="shared" si="43"/>
        <v>250000</v>
      </c>
      <c r="U81" s="257">
        <f t="shared" si="44"/>
        <v>500000</v>
      </c>
      <c r="V81" s="257">
        <f t="shared" si="45"/>
        <v>500000</v>
      </c>
      <c r="W81" s="257"/>
      <c r="X81" s="257"/>
      <c r="Y81" s="257"/>
      <c r="Z81" s="257"/>
      <c r="AA81" s="213"/>
      <c r="AB81" s="19" t="s">
        <v>552</v>
      </c>
      <c r="AC81" s="19">
        <v>829000</v>
      </c>
      <c r="AD81" s="257"/>
      <c r="AE81" s="257"/>
      <c r="AF81" s="257"/>
      <c r="AG81" s="257"/>
      <c r="AH81" s="257"/>
      <c r="AI81" s="257"/>
      <c r="AJ81" s="257">
        <f t="shared" si="34"/>
        <v>0</v>
      </c>
      <c r="AK81" s="257">
        <f t="shared" si="35"/>
        <v>500000</v>
      </c>
      <c r="AL81" s="257"/>
      <c r="AM81" s="236"/>
      <c r="AN81" s="257">
        <f t="shared" si="36"/>
        <v>500000</v>
      </c>
      <c r="AO81" s="257">
        <f t="shared" si="46"/>
        <v>500000</v>
      </c>
      <c r="AP81" s="257"/>
      <c r="AQ81" s="257"/>
      <c r="AR81" s="257"/>
      <c r="AS81" s="257"/>
      <c r="AT81" s="257"/>
      <c r="AU81" s="257"/>
      <c r="AV81" s="257"/>
      <c r="AW81" s="257">
        <v>250000</v>
      </c>
      <c r="AX81" s="257">
        <f t="shared" si="50"/>
        <v>250000</v>
      </c>
      <c r="AY81" s="257">
        <f t="shared" si="47"/>
        <v>250000</v>
      </c>
      <c r="AZ81" s="257"/>
      <c r="BA81" s="257"/>
      <c r="BB81" s="257"/>
      <c r="BC81" s="257"/>
      <c r="BD81" s="257"/>
      <c r="BE81" s="257">
        <f t="shared" si="48"/>
        <v>250000</v>
      </c>
      <c r="BF81" s="257">
        <f t="shared" si="49"/>
        <v>250000</v>
      </c>
      <c r="BG81" s="257">
        <f t="shared" si="37"/>
        <v>250000</v>
      </c>
      <c r="BH81" s="257"/>
      <c r="BI81" s="257"/>
      <c r="BJ81" s="257"/>
      <c r="BK81" s="257"/>
      <c r="BL81" s="257"/>
      <c r="BN81" s="123"/>
      <c r="BO81" s="123"/>
      <c r="BP81" s="123"/>
      <c r="BQ81" s="123"/>
      <c r="BR81" s="123"/>
      <c r="BS81" s="123"/>
    </row>
    <row r="82" spans="1:71" s="5" customFormat="1" ht="30" customHeight="1">
      <c r="A82" s="213">
        <f t="shared" si="38"/>
        <v>77</v>
      </c>
      <c r="B82" s="19">
        <v>2205</v>
      </c>
      <c r="C82" s="19" t="s">
        <v>347</v>
      </c>
      <c r="D82" s="257">
        <f>18000000+275000</f>
        <v>18275000</v>
      </c>
      <c r="E82" s="257">
        <v>18000000</v>
      </c>
      <c r="F82" s="257">
        <f t="shared" si="39"/>
        <v>275000</v>
      </c>
      <c r="G82" s="257">
        <f>10000000+2000000</f>
        <v>12000000</v>
      </c>
      <c r="H82" s="257">
        <v>16546009</v>
      </c>
      <c r="I82" s="257"/>
      <c r="J82" s="257">
        <v>22511</v>
      </c>
      <c r="K82" s="257">
        <f t="shared" si="32"/>
        <v>22511</v>
      </c>
      <c r="L82" s="257">
        <f t="shared" si="40"/>
        <v>16568520</v>
      </c>
      <c r="M82" s="257">
        <f>P82+S82-1430000</f>
        <v>1480</v>
      </c>
      <c r="N82" s="257">
        <f>275000+1430000</f>
        <v>1705000</v>
      </c>
      <c r="O82" s="257">
        <f t="shared" si="41"/>
        <v>0</v>
      </c>
      <c r="P82" s="257">
        <f t="shared" si="42"/>
        <v>-4568520</v>
      </c>
      <c r="Q82" s="257">
        <f>8000000-2000000</f>
        <v>6000000</v>
      </c>
      <c r="R82" s="257"/>
      <c r="S82" s="257">
        <f t="shared" si="33"/>
        <v>6000000</v>
      </c>
      <c r="T82" s="257">
        <f t="shared" si="43"/>
        <v>1430000</v>
      </c>
      <c r="U82" s="257">
        <f t="shared" si="44"/>
        <v>275000</v>
      </c>
      <c r="V82" s="257">
        <f t="shared" si="45"/>
        <v>275000</v>
      </c>
      <c r="W82" s="257"/>
      <c r="X82" s="257"/>
      <c r="Y82" s="257"/>
      <c r="Z82" s="257"/>
      <c r="AA82" s="213"/>
      <c r="AB82" s="19" t="s">
        <v>972</v>
      </c>
      <c r="AC82" s="19">
        <v>810000</v>
      </c>
      <c r="AD82" s="257"/>
      <c r="AE82" s="257"/>
      <c r="AF82" s="257"/>
      <c r="AG82" s="257">
        <v>275000</v>
      </c>
      <c r="AH82" s="257"/>
      <c r="AI82" s="257"/>
      <c r="AJ82" s="257">
        <f t="shared" si="34"/>
        <v>275000</v>
      </c>
      <c r="AK82" s="257">
        <f t="shared" si="35"/>
        <v>0</v>
      </c>
      <c r="AL82" s="257"/>
      <c r="AM82" s="236"/>
      <c r="AN82" s="257">
        <f t="shared" si="36"/>
        <v>0</v>
      </c>
      <c r="AO82" s="257">
        <f t="shared" si="46"/>
        <v>0</v>
      </c>
      <c r="AP82" s="257"/>
      <c r="AQ82" s="257"/>
      <c r="AR82" s="257"/>
      <c r="AS82" s="257"/>
      <c r="AT82" s="257"/>
      <c r="AU82" s="257">
        <v>850000</v>
      </c>
      <c r="AV82" s="257"/>
      <c r="AW82" s="257"/>
      <c r="AX82" s="257">
        <f>AN82-AW82</f>
        <v>0</v>
      </c>
      <c r="AY82" s="257">
        <f t="shared" si="47"/>
        <v>0</v>
      </c>
      <c r="AZ82" s="257"/>
      <c r="BA82" s="257"/>
      <c r="BB82" s="257"/>
      <c r="BC82" s="257"/>
      <c r="BD82" s="257"/>
      <c r="BE82" s="257">
        <f t="shared" si="48"/>
        <v>275000</v>
      </c>
      <c r="BF82" s="257">
        <f t="shared" si="49"/>
        <v>0</v>
      </c>
      <c r="BG82" s="257">
        <f t="shared" si="37"/>
        <v>275000</v>
      </c>
      <c r="BH82" s="257"/>
      <c r="BI82" s="257"/>
      <c r="BJ82" s="257"/>
      <c r="BK82" s="257"/>
      <c r="BL82" s="257"/>
      <c r="BN82" s="123"/>
      <c r="BO82" s="123"/>
      <c r="BP82" s="123"/>
      <c r="BQ82" s="123"/>
      <c r="BR82" s="123"/>
      <c r="BS82" s="123"/>
    </row>
    <row r="83" spans="1:71" s="5" customFormat="1" ht="30" customHeight="1">
      <c r="A83" s="213">
        <f t="shared" si="38"/>
        <v>78</v>
      </c>
      <c r="B83" s="19">
        <v>2206</v>
      </c>
      <c r="C83" s="19" t="s">
        <v>368</v>
      </c>
      <c r="D83" s="257">
        <v>92000000</v>
      </c>
      <c r="E83" s="257">
        <v>92000000</v>
      </c>
      <c r="F83" s="257">
        <f t="shared" si="39"/>
        <v>0</v>
      </c>
      <c r="G83" s="257">
        <v>2273187</v>
      </c>
      <c r="H83" s="257">
        <v>2849931</v>
      </c>
      <c r="I83" s="257"/>
      <c r="J83" s="257"/>
      <c r="K83" s="257">
        <f t="shared" si="32"/>
        <v>0</v>
      </c>
      <c r="L83" s="257">
        <f t="shared" si="40"/>
        <v>2849931</v>
      </c>
      <c r="M83" s="257">
        <f>P83+S83</f>
        <v>16620</v>
      </c>
      <c r="N83" s="257">
        <f>36000000-9000000-9000000-5000000</f>
        <v>13000000</v>
      </c>
      <c r="O83" s="257">
        <f t="shared" si="41"/>
        <v>76133449</v>
      </c>
      <c r="P83" s="257">
        <f t="shared" si="42"/>
        <v>-576744</v>
      </c>
      <c r="Q83" s="257">
        <v>593364</v>
      </c>
      <c r="R83" s="257"/>
      <c r="S83" s="257">
        <f t="shared" si="33"/>
        <v>593364</v>
      </c>
      <c r="T83" s="257">
        <f t="shared" si="43"/>
        <v>0</v>
      </c>
      <c r="U83" s="257">
        <f t="shared" si="44"/>
        <v>13000000</v>
      </c>
      <c r="V83" s="257">
        <f t="shared" si="45"/>
        <v>13000000</v>
      </c>
      <c r="W83" s="257"/>
      <c r="X83" s="257"/>
      <c r="Y83" s="257"/>
      <c r="Z83" s="257"/>
      <c r="AA83" s="213"/>
      <c r="AB83" s="20" t="s">
        <v>973</v>
      </c>
      <c r="AC83" s="19">
        <v>810000</v>
      </c>
      <c r="AD83" s="257"/>
      <c r="AE83" s="257">
        <v>1500000</v>
      </c>
      <c r="AF83" s="257">
        <v>2800000</v>
      </c>
      <c r="AG83" s="257"/>
      <c r="AH83" s="257">
        <v>3500000</v>
      </c>
      <c r="AI83" s="257"/>
      <c r="AJ83" s="257">
        <f t="shared" si="34"/>
        <v>8500000</v>
      </c>
      <c r="AK83" s="257">
        <f t="shared" si="35"/>
        <v>4500000</v>
      </c>
      <c r="AL83" s="257">
        <v>700000</v>
      </c>
      <c r="AM83" s="236"/>
      <c r="AN83" s="257">
        <f t="shared" si="36"/>
        <v>4500000</v>
      </c>
      <c r="AO83" s="257">
        <f t="shared" si="46"/>
        <v>4500000</v>
      </c>
      <c r="AP83" s="257"/>
      <c r="AQ83" s="257"/>
      <c r="AR83" s="257"/>
      <c r="AS83" s="257"/>
      <c r="AT83" s="257"/>
      <c r="AU83" s="257"/>
      <c r="AV83" s="257"/>
      <c r="AW83" s="257"/>
      <c r="AX83" s="257">
        <f t="shared" ref="AX83:AX117" si="51">AN83-AW83</f>
        <v>4500000</v>
      </c>
      <c r="AY83" s="257">
        <f t="shared" si="47"/>
        <v>4500000</v>
      </c>
      <c r="AZ83" s="257"/>
      <c r="BA83" s="257"/>
      <c r="BB83" s="257"/>
      <c r="BC83" s="257"/>
      <c r="BD83" s="257"/>
      <c r="BE83" s="257">
        <f t="shared" si="48"/>
        <v>13000000</v>
      </c>
      <c r="BF83" s="257">
        <f t="shared" si="49"/>
        <v>0</v>
      </c>
      <c r="BG83" s="257">
        <f t="shared" si="37"/>
        <v>13000000</v>
      </c>
      <c r="BH83" s="257"/>
      <c r="BI83" s="257"/>
      <c r="BJ83" s="257"/>
      <c r="BK83" s="257"/>
      <c r="BL83" s="257"/>
      <c r="BN83" s="123"/>
      <c r="BO83" s="123"/>
      <c r="BP83" s="123"/>
      <c r="BQ83" s="123"/>
      <c r="BR83" s="123"/>
      <c r="BS83" s="123"/>
    </row>
    <row r="84" spans="1:71" s="5" customFormat="1" ht="30" customHeight="1">
      <c r="A84" s="213">
        <f t="shared" si="38"/>
        <v>79</v>
      </c>
      <c r="B84" s="19">
        <v>2208</v>
      </c>
      <c r="C84" s="19" t="s">
        <v>1165</v>
      </c>
      <c r="D84" s="257">
        <f>12750000-12000000-250000-298391</f>
        <v>201609</v>
      </c>
      <c r="E84" s="257">
        <v>12750000</v>
      </c>
      <c r="F84" s="257">
        <f t="shared" si="39"/>
        <v>-12548391</v>
      </c>
      <c r="G84" s="257">
        <v>500000</v>
      </c>
      <c r="H84" s="257">
        <v>201609</v>
      </c>
      <c r="I84" s="257"/>
      <c r="J84" s="257"/>
      <c r="K84" s="257">
        <f t="shared" si="32"/>
        <v>0</v>
      </c>
      <c r="L84" s="257">
        <f t="shared" si="40"/>
        <v>201609</v>
      </c>
      <c r="M84" s="257">
        <f>P84+S84-250000-298391</f>
        <v>0</v>
      </c>
      <c r="N84" s="257">
        <f>6000000-6000000</f>
        <v>0</v>
      </c>
      <c r="O84" s="257">
        <f t="shared" si="41"/>
        <v>0</v>
      </c>
      <c r="P84" s="257">
        <f t="shared" si="42"/>
        <v>298391</v>
      </c>
      <c r="Q84" s="257">
        <v>250000</v>
      </c>
      <c r="R84" s="257"/>
      <c r="S84" s="257">
        <f t="shared" si="33"/>
        <v>250000</v>
      </c>
      <c r="T84" s="257">
        <f t="shared" si="43"/>
        <v>548391</v>
      </c>
      <c r="U84" s="257">
        <f t="shared" si="44"/>
        <v>-548391</v>
      </c>
      <c r="V84" s="257">
        <f t="shared" si="45"/>
        <v>-548391</v>
      </c>
      <c r="W84" s="257"/>
      <c r="X84" s="257"/>
      <c r="Y84" s="257"/>
      <c r="Z84" s="257"/>
      <c r="AA84" s="213"/>
      <c r="AB84" s="19" t="s">
        <v>974</v>
      </c>
      <c r="AC84" s="19">
        <v>850000</v>
      </c>
      <c r="AD84" s="257">
        <v>-498391</v>
      </c>
      <c r="AE84" s="257"/>
      <c r="AF84" s="257"/>
      <c r="AG84" s="257"/>
      <c r="AH84" s="257"/>
      <c r="AI84" s="257"/>
      <c r="AJ84" s="257">
        <f t="shared" si="34"/>
        <v>-498391</v>
      </c>
      <c r="AK84" s="257">
        <f t="shared" si="35"/>
        <v>-50000</v>
      </c>
      <c r="AL84" s="257"/>
      <c r="AM84" s="236"/>
      <c r="AN84" s="257">
        <f t="shared" si="36"/>
        <v>-50000</v>
      </c>
      <c r="AO84" s="257">
        <f t="shared" si="46"/>
        <v>-50000</v>
      </c>
      <c r="AP84" s="257"/>
      <c r="AQ84" s="257"/>
      <c r="AR84" s="257"/>
      <c r="AS84" s="257"/>
      <c r="AT84" s="257"/>
      <c r="AU84" s="257"/>
      <c r="AV84" s="257"/>
      <c r="AW84" s="257">
        <v>-50000</v>
      </c>
      <c r="AX84" s="257">
        <f>AN84-AW84</f>
        <v>0</v>
      </c>
      <c r="AY84" s="257">
        <f t="shared" si="47"/>
        <v>0</v>
      </c>
      <c r="AZ84" s="257"/>
      <c r="BA84" s="257"/>
      <c r="BB84" s="257"/>
      <c r="BC84" s="257"/>
      <c r="BD84" s="257"/>
      <c r="BE84" s="257">
        <f t="shared" si="48"/>
        <v>-498391</v>
      </c>
      <c r="BF84" s="257">
        <f t="shared" si="49"/>
        <v>-50000</v>
      </c>
      <c r="BG84" s="257">
        <f t="shared" si="37"/>
        <v>-498391</v>
      </c>
      <c r="BH84" s="257"/>
      <c r="BI84" s="257"/>
      <c r="BJ84" s="257"/>
      <c r="BK84" s="257"/>
      <c r="BL84" s="257"/>
      <c r="BN84" s="123"/>
      <c r="BO84" s="123"/>
      <c r="BP84" s="123"/>
      <c r="BQ84" s="123"/>
      <c r="BR84" s="123"/>
      <c r="BS84" s="123"/>
    </row>
    <row r="85" spans="1:71" s="5" customFormat="1" ht="30" customHeight="1">
      <c r="A85" s="213">
        <f t="shared" si="38"/>
        <v>80</v>
      </c>
      <c r="B85" s="19">
        <v>2209</v>
      </c>
      <c r="C85" s="19" t="s">
        <v>369</v>
      </c>
      <c r="D85" s="257">
        <v>46500000</v>
      </c>
      <c r="E85" s="257">
        <v>46500000</v>
      </c>
      <c r="F85" s="257">
        <f t="shared" si="39"/>
        <v>0</v>
      </c>
      <c r="G85" s="257">
        <v>1500000</v>
      </c>
      <c r="H85" s="257">
        <v>1045608</v>
      </c>
      <c r="I85" s="257"/>
      <c r="J85" s="257"/>
      <c r="K85" s="257">
        <f t="shared" si="32"/>
        <v>0</v>
      </c>
      <c r="L85" s="257">
        <f t="shared" si="40"/>
        <v>1045608</v>
      </c>
      <c r="M85" s="257">
        <f>P85+S85-450000</f>
        <v>4392</v>
      </c>
      <c r="N85" s="257">
        <f>25000000-13000000-4000000+450000-2000000-1000000-450000</f>
        <v>5000000</v>
      </c>
      <c r="O85" s="257">
        <f t="shared" si="41"/>
        <v>40450000</v>
      </c>
      <c r="P85" s="257">
        <f t="shared" si="42"/>
        <v>454392</v>
      </c>
      <c r="Q85" s="257"/>
      <c r="R85" s="257"/>
      <c r="S85" s="257">
        <f t="shared" si="33"/>
        <v>0</v>
      </c>
      <c r="T85" s="257">
        <f t="shared" si="43"/>
        <v>450000</v>
      </c>
      <c r="U85" s="257">
        <f t="shared" si="44"/>
        <v>4550000</v>
      </c>
      <c r="V85" s="257">
        <f t="shared" si="45"/>
        <v>4550000</v>
      </c>
      <c r="W85" s="257"/>
      <c r="X85" s="257"/>
      <c r="Y85" s="257"/>
      <c r="Z85" s="257"/>
      <c r="AA85" s="213"/>
      <c r="AB85" s="19" t="s">
        <v>528</v>
      </c>
      <c r="AC85" s="19">
        <v>810000</v>
      </c>
      <c r="AD85" s="257"/>
      <c r="AE85" s="257"/>
      <c r="AF85" s="257"/>
      <c r="AG85" s="257"/>
      <c r="AH85" s="257"/>
      <c r="AI85" s="257"/>
      <c r="AJ85" s="257">
        <f t="shared" si="34"/>
        <v>0</v>
      </c>
      <c r="AK85" s="236">
        <f t="shared" si="35"/>
        <v>4550000</v>
      </c>
      <c r="AL85" s="257"/>
      <c r="AM85" s="236">
        <v>-4250000</v>
      </c>
      <c r="AN85" s="257">
        <f t="shared" si="36"/>
        <v>300000</v>
      </c>
      <c r="AO85" s="257">
        <f t="shared" si="46"/>
        <v>300000</v>
      </c>
      <c r="AP85" s="257"/>
      <c r="AQ85" s="257"/>
      <c r="AR85" s="257"/>
      <c r="AS85" s="257"/>
      <c r="AT85" s="257"/>
      <c r="AU85" s="257"/>
      <c r="AV85" s="257"/>
      <c r="AW85" s="257"/>
      <c r="AX85" s="257">
        <f t="shared" si="51"/>
        <v>300000</v>
      </c>
      <c r="AY85" s="257">
        <f t="shared" si="47"/>
        <v>300000</v>
      </c>
      <c r="AZ85" s="257"/>
      <c r="BA85" s="257"/>
      <c r="BB85" s="257"/>
      <c r="BC85" s="257"/>
      <c r="BD85" s="257"/>
      <c r="BE85" s="257">
        <f t="shared" si="48"/>
        <v>300000</v>
      </c>
      <c r="BF85" s="257">
        <f t="shared" si="49"/>
        <v>4250000</v>
      </c>
      <c r="BG85" s="257">
        <f t="shared" si="37"/>
        <v>300000</v>
      </c>
      <c r="BH85" s="257"/>
      <c r="BI85" s="257"/>
      <c r="BJ85" s="257"/>
      <c r="BK85" s="257"/>
      <c r="BL85" s="257"/>
      <c r="BN85" s="123"/>
      <c r="BO85" s="123"/>
      <c r="BP85" s="123"/>
      <c r="BQ85" s="123"/>
      <c r="BR85" s="123"/>
      <c r="BS85" s="123"/>
    </row>
    <row r="86" spans="1:71" s="569" customFormat="1" ht="30" customHeight="1">
      <c r="A86" s="213">
        <f t="shared" si="38"/>
        <v>81</v>
      </c>
      <c r="B86" s="454">
        <v>2213</v>
      </c>
      <c r="C86" s="19" t="s">
        <v>352</v>
      </c>
      <c r="D86" s="257">
        <v>7100000</v>
      </c>
      <c r="E86" s="257">
        <v>7100000</v>
      </c>
      <c r="F86" s="257">
        <f t="shared" si="39"/>
        <v>0</v>
      </c>
      <c r="G86" s="257">
        <v>7100000</v>
      </c>
      <c r="H86" s="257">
        <v>5524946</v>
      </c>
      <c r="I86" s="257"/>
      <c r="J86" s="257"/>
      <c r="K86" s="257">
        <f t="shared" si="32"/>
        <v>0</v>
      </c>
      <c r="L86" s="257">
        <f t="shared" si="40"/>
        <v>5524946</v>
      </c>
      <c r="M86" s="257">
        <f>P86+S86-1570000</f>
        <v>5054</v>
      </c>
      <c r="N86" s="257">
        <v>1570000</v>
      </c>
      <c r="O86" s="257">
        <f t="shared" si="41"/>
        <v>0</v>
      </c>
      <c r="P86" s="257">
        <f t="shared" si="42"/>
        <v>1575054</v>
      </c>
      <c r="Q86" s="257"/>
      <c r="R86" s="257"/>
      <c r="S86" s="257">
        <f t="shared" si="33"/>
        <v>0</v>
      </c>
      <c r="T86" s="257">
        <f t="shared" si="43"/>
        <v>1570000</v>
      </c>
      <c r="U86" s="257">
        <f t="shared" si="44"/>
        <v>0</v>
      </c>
      <c r="V86" s="257">
        <f t="shared" si="45"/>
        <v>0</v>
      </c>
      <c r="W86" s="257"/>
      <c r="X86" s="257"/>
      <c r="Y86" s="257"/>
      <c r="Z86" s="257"/>
      <c r="AA86" s="213"/>
      <c r="AB86" s="19" t="s">
        <v>605</v>
      </c>
      <c r="AC86" s="19">
        <v>870000</v>
      </c>
      <c r="AD86" s="257"/>
      <c r="AE86" s="257"/>
      <c r="AF86" s="257"/>
      <c r="AG86" s="257"/>
      <c r="AH86" s="257"/>
      <c r="AI86" s="257"/>
      <c r="AJ86" s="257">
        <f t="shared" si="34"/>
        <v>0</v>
      </c>
      <c r="AK86" s="257">
        <f t="shared" si="35"/>
        <v>0</v>
      </c>
      <c r="AL86" s="257"/>
      <c r="AM86" s="236"/>
      <c r="AN86" s="257">
        <f t="shared" si="36"/>
        <v>0</v>
      </c>
      <c r="AO86" s="257">
        <f t="shared" si="46"/>
        <v>0</v>
      </c>
      <c r="AP86" s="257"/>
      <c r="AQ86" s="257"/>
      <c r="AR86" s="257"/>
      <c r="AS86" s="257"/>
      <c r="AT86" s="257"/>
      <c r="AU86" s="257">
        <v>1000000</v>
      </c>
      <c r="AV86" s="257">
        <v>2000000</v>
      </c>
      <c r="AW86" s="257"/>
      <c r="AX86" s="257">
        <f t="shared" si="51"/>
        <v>0</v>
      </c>
      <c r="AY86" s="257">
        <f t="shared" si="47"/>
        <v>0</v>
      </c>
      <c r="AZ86" s="257"/>
      <c r="BA86" s="257"/>
      <c r="BB86" s="257"/>
      <c r="BC86" s="257"/>
      <c r="BD86" s="257"/>
      <c r="BE86" s="257">
        <f t="shared" si="48"/>
        <v>0</v>
      </c>
      <c r="BF86" s="257">
        <f t="shared" si="49"/>
        <v>0</v>
      </c>
      <c r="BG86" s="257">
        <f t="shared" si="37"/>
        <v>0</v>
      </c>
      <c r="BH86" s="257"/>
      <c r="BI86" s="257"/>
      <c r="BJ86" s="257"/>
      <c r="BK86" s="257"/>
      <c r="BL86" s="257"/>
      <c r="BN86" s="123"/>
      <c r="BO86" s="123"/>
      <c r="BP86" s="123"/>
      <c r="BQ86" s="123"/>
      <c r="BR86" s="123"/>
      <c r="BS86" s="123"/>
    </row>
    <row r="87" spans="1:71" s="5" customFormat="1" ht="30" customHeight="1">
      <c r="A87" s="213">
        <f t="shared" si="38"/>
        <v>82</v>
      </c>
      <c r="B87" s="19">
        <v>2220</v>
      </c>
      <c r="C87" s="19" t="s">
        <v>358</v>
      </c>
      <c r="D87" s="257">
        <f>2200000+500000</f>
        <v>2700000</v>
      </c>
      <c r="E87" s="257">
        <v>2200000</v>
      </c>
      <c r="F87" s="257">
        <f t="shared" si="39"/>
        <v>500000</v>
      </c>
      <c r="G87" s="257">
        <v>1000000</v>
      </c>
      <c r="H87" s="257">
        <v>948844</v>
      </c>
      <c r="I87" s="257"/>
      <c r="J87" s="257"/>
      <c r="K87" s="257">
        <f t="shared" si="32"/>
        <v>0</v>
      </c>
      <c r="L87" s="257">
        <f t="shared" si="40"/>
        <v>948844</v>
      </c>
      <c r="M87" s="257">
        <f>P87+S87-1200000-50000</f>
        <v>1156</v>
      </c>
      <c r="N87" s="257">
        <f>1200000+500000+50000</f>
        <v>1750000</v>
      </c>
      <c r="O87" s="257">
        <f t="shared" si="41"/>
        <v>0</v>
      </c>
      <c r="P87" s="257">
        <f t="shared" si="42"/>
        <v>51156</v>
      </c>
      <c r="Q87" s="257">
        <v>1200000</v>
      </c>
      <c r="R87" s="257"/>
      <c r="S87" s="257">
        <f t="shared" si="33"/>
        <v>1200000</v>
      </c>
      <c r="T87" s="257">
        <f t="shared" si="43"/>
        <v>1250000</v>
      </c>
      <c r="U87" s="257">
        <f t="shared" si="44"/>
        <v>500000</v>
      </c>
      <c r="V87" s="257">
        <f t="shared" si="45"/>
        <v>500000</v>
      </c>
      <c r="W87" s="257"/>
      <c r="X87" s="257"/>
      <c r="Y87" s="257"/>
      <c r="Z87" s="257"/>
      <c r="AA87" s="213"/>
      <c r="AB87" s="19" t="s">
        <v>456</v>
      </c>
      <c r="AC87" s="19">
        <v>746000</v>
      </c>
      <c r="AD87" s="257"/>
      <c r="AE87" s="257"/>
      <c r="AF87" s="257">
        <v>500000</v>
      </c>
      <c r="AG87" s="257"/>
      <c r="AH87" s="257"/>
      <c r="AI87" s="257"/>
      <c r="AJ87" s="257">
        <f t="shared" si="34"/>
        <v>500000</v>
      </c>
      <c r="AK87" s="257">
        <f t="shared" si="35"/>
        <v>0</v>
      </c>
      <c r="AL87" s="257"/>
      <c r="AM87" s="236"/>
      <c r="AN87" s="257">
        <f t="shared" si="36"/>
        <v>0</v>
      </c>
      <c r="AO87" s="257">
        <f t="shared" si="46"/>
        <v>0</v>
      </c>
      <c r="AP87" s="257"/>
      <c r="AQ87" s="257"/>
      <c r="AR87" s="257"/>
      <c r="AS87" s="257"/>
      <c r="AT87" s="257"/>
      <c r="AU87" s="257"/>
      <c r="AV87" s="257"/>
      <c r="AW87" s="257"/>
      <c r="AX87" s="257">
        <f t="shared" si="51"/>
        <v>0</v>
      </c>
      <c r="AY87" s="257">
        <f t="shared" si="47"/>
        <v>0</v>
      </c>
      <c r="AZ87" s="257"/>
      <c r="BA87" s="257"/>
      <c r="BB87" s="257"/>
      <c r="BC87" s="257"/>
      <c r="BD87" s="257"/>
      <c r="BE87" s="257">
        <f t="shared" si="48"/>
        <v>500000</v>
      </c>
      <c r="BF87" s="257">
        <f t="shared" si="49"/>
        <v>0</v>
      </c>
      <c r="BG87" s="257">
        <f t="shared" si="37"/>
        <v>500000</v>
      </c>
      <c r="BH87" s="257"/>
      <c r="BI87" s="257"/>
      <c r="BJ87" s="257"/>
      <c r="BK87" s="257"/>
      <c r="BL87" s="257"/>
      <c r="BN87" s="123"/>
      <c r="BO87" s="123"/>
      <c r="BP87" s="123"/>
      <c r="BQ87" s="123"/>
      <c r="BR87" s="123"/>
      <c r="BS87" s="123"/>
    </row>
    <row r="88" spans="1:71" s="5" customFormat="1" ht="30" customHeight="1">
      <c r="A88" s="213">
        <f t="shared" si="38"/>
        <v>83</v>
      </c>
      <c r="B88" s="19">
        <v>2232</v>
      </c>
      <c r="C88" s="19" t="s">
        <v>412</v>
      </c>
      <c r="D88" s="257">
        <v>17200000</v>
      </c>
      <c r="E88" s="257">
        <v>17200000</v>
      </c>
      <c r="F88" s="257">
        <f t="shared" si="39"/>
        <v>0</v>
      </c>
      <c r="G88" s="257">
        <v>800000</v>
      </c>
      <c r="H88" s="257">
        <v>778625</v>
      </c>
      <c r="I88" s="257"/>
      <c r="J88" s="257"/>
      <c r="K88" s="257">
        <f t="shared" si="32"/>
        <v>0</v>
      </c>
      <c r="L88" s="257">
        <f t="shared" si="40"/>
        <v>778625</v>
      </c>
      <c r="M88" s="257">
        <f>P88+S88-20000</f>
        <v>1375</v>
      </c>
      <c r="N88" s="257">
        <f>16400000-8400000+20000-3000000-1000000</f>
        <v>4020000</v>
      </c>
      <c r="O88" s="257">
        <f t="shared" si="41"/>
        <v>12400000</v>
      </c>
      <c r="P88" s="257">
        <f t="shared" si="42"/>
        <v>21375</v>
      </c>
      <c r="Q88" s="257"/>
      <c r="R88" s="257"/>
      <c r="S88" s="257">
        <f t="shared" si="33"/>
        <v>0</v>
      </c>
      <c r="T88" s="257">
        <f t="shared" si="43"/>
        <v>20000</v>
      </c>
      <c r="U88" s="257">
        <f t="shared" si="44"/>
        <v>4000000</v>
      </c>
      <c r="V88" s="257">
        <f t="shared" si="45"/>
        <v>4000000</v>
      </c>
      <c r="W88" s="257"/>
      <c r="X88" s="257"/>
      <c r="Y88" s="257"/>
      <c r="Z88" s="257"/>
      <c r="AA88" s="213"/>
      <c r="AB88" s="19" t="s">
        <v>529</v>
      </c>
      <c r="AC88" s="19">
        <v>745000</v>
      </c>
      <c r="AD88" s="257"/>
      <c r="AE88" s="257"/>
      <c r="AF88" s="257"/>
      <c r="AG88" s="257"/>
      <c r="AH88" s="257"/>
      <c r="AI88" s="257"/>
      <c r="AJ88" s="257">
        <f t="shared" si="34"/>
        <v>0</v>
      </c>
      <c r="AK88" s="257">
        <f t="shared" si="35"/>
        <v>4000000</v>
      </c>
      <c r="AL88" s="257"/>
      <c r="AM88" s="236">
        <v>-4000000</v>
      </c>
      <c r="AN88" s="257">
        <f t="shared" si="36"/>
        <v>0</v>
      </c>
      <c r="AO88" s="257">
        <f t="shared" si="46"/>
        <v>0</v>
      </c>
      <c r="AP88" s="257"/>
      <c r="AQ88" s="257"/>
      <c r="AR88" s="257"/>
      <c r="AS88" s="257"/>
      <c r="AT88" s="257"/>
      <c r="AU88" s="257"/>
      <c r="AV88" s="257"/>
      <c r="AW88" s="257"/>
      <c r="AX88" s="257">
        <f t="shared" si="51"/>
        <v>0</v>
      </c>
      <c r="AY88" s="257">
        <f t="shared" si="47"/>
        <v>0</v>
      </c>
      <c r="AZ88" s="257"/>
      <c r="BA88" s="257"/>
      <c r="BB88" s="257"/>
      <c r="BC88" s="257"/>
      <c r="BD88" s="257"/>
      <c r="BE88" s="257">
        <f t="shared" si="48"/>
        <v>0</v>
      </c>
      <c r="BF88" s="257">
        <f t="shared" si="49"/>
        <v>4000000</v>
      </c>
      <c r="BG88" s="257">
        <f t="shared" si="37"/>
        <v>0</v>
      </c>
      <c r="BH88" s="257"/>
      <c r="BI88" s="257"/>
      <c r="BJ88" s="257"/>
      <c r="BK88" s="257"/>
      <c r="BL88" s="257"/>
      <c r="BN88" s="123"/>
      <c r="BO88" s="123"/>
      <c r="BP88" s="123"/>
      <c r="BQ88" s="123"/>
      <c r="BR88" s="123"/>
      <c r="BS88" s="123"/>
    </row>
    <row r="89" spans="1:71" s="5" customFormat="1" ht="30" customHeight="1">
      <c r="A89" s="213">
        <f t="shared" si="38"/>
        <v>84</v>
      </c>
      <c r="B89" s="19">
        <v>2233</v>
      </c>
      <c r="C89" s="19" t="s">
        <v>413</v>
      </c>
      <c r="D89" s="257">
        <v>20250000</v>
      </c>
      <c r="E89" s="257">
        <v>20250000</v>
      </c>
      <c r="F89" s="257">
        <f t="shared" si="39"/>
        <v>0</v>
      </c>
      <c r="G89" s="257">
        <v>800000</v>
      </c>
      <c r="H89" s="257">
        <v>789541</v>
      </c>
      <c r="I89" s="257"/>
      <c r="J89" s="257"/>
      <c r="K89" s="257">
        <f t="shared" si="32"/>
        <v>0</v>
      </c>
      <c r="L89" s="257">
        <f t="shared" si="40"/>
        <v>789541</v>
      </c>
      <c r="M89" s="257">
        <f>P89+S89</f>
        <v>10459</v>
      </c>
      <c r="N89" s="257">
        <f>19450000-19450000</f>
        <v>0</v>
      </c>
      <c r="O89" s="257">
        <f t="shared" si="41"/>
        <v>19450000</v>
      </c>
      <c r="P89" s="257">
        <f t="shared" si="42"/>
        <v>10459</v>
      </c>
      <c r="Q89" s="257"/>
      <c r="R89" s="257"/>
      <c r="S89" s="257">
        <f t="shared" si="33"/>
        <v>0</v>
      </c>
      <c r="T89" s="257">
        <f t="shared" si="43"/>
        <v>0</v>
      </c>
      <c r="U89" s="257">
        <f t="shared" si="44"/>
        <v>0</v>
      </c>
      <c r="V89" s="257">
        <f t="shared" si="45"/>
        <v>0</v>
      </c>
      <c r="W89" s="257"/>
      <c r="X89" s="257"/>
      <c r="Y89" s="257"/>
      <c r="Z89" s="257"/>
      <c r="AA89" s="213"/>
      <c r="AB89" s="19" t="s">
        <v>530</v>
      </c>
      <c r="AC89" s="19">
        <v>745000</v>
      </c>
      <c r="AD89" s="257"/>
      <c r="AE89" s="257"/>
      <c r="AF89" s="257"/>
      <c r="AG89" s="257"/>
      <c r="AH89" s="257"/>
      <c r="AI89" s="257"/>
      <c r="AJ89" s="257">
        <f t="shared" si="34"/>
        <v>0</v>
      </c>
      <c r="AK89" s="257">
        <f t="shared" si="35"/>
        <v>0</v>
      </c>
      <c r="AL89" s="257"/>
      <c r="AM89" s="236"/>
      <c r="AN89" s="257">
        <f t="shared" si="36"/>
        <v>0</v>
      </c>
      <c r="AO89" s="257">
        <f t="shared" si="46"/>
        <v>0</v>
      </c>
      <c r="AP89" s="257"/>
      <c r="AQ89" s="257"/>
      <c r="AR89" s="257"/>
      <c r="AS89" s="257"/>
      <c r="AT89" s="257"/>
      <c r="AU89" s="257"/>
      <c r="AV89" s="257"/>
      <c r="AW89" s="257"/>
      <c r="AX89" s="257">
        <f t="shared" si="51"/>
        <v>0</v>
      </c>
      <c r="AY89" s="257">
        <f t="shared" si="47"/>
        <v>0</v>
      </c>
      <c r="AZ89" s="257"/>
      <c r="BA89" s="257"/>
      <c r="BB89" s="257"/>
      <c r="BC89" s="257"/>
      <c r="BD89" s="257"/>
      <c r="BE89" s="257">
        <f t="shared" si="48"/>
        <v>0</v>
      </c>
      <c r="BF89" s="257">
        <f t="shared" si="49"/>
        <v>0</v>
      </c>
      <c r="BG89" s="257">
        <f t="shared" si="37"/>
        <v>0</v>
      </c>
      <c r="BH89" s="257"/>
      <c r="BI89" s="257"/>
      <c r="BJ89" s="257"/>
      <c r="BK89" s="257"/>
      <c r="BL89" s="257"/>
      <c r="BN89" s="123"/>
      <c r="BO89" s="123"/>
      <c r="BP89" s="123"/>
      <c r="BQ89" s="123"/>
      <c r="BR89" s="123"/>
      <c r="BS89" s="123"/>
    </row>
    <row r="90" spans="1:71" s="5" customFormat="1" ht="30" customHeight="1">
      <c r="A90" s="213">
        <f t="shared" si="38"/>
        <v>85</v>
      </c>
      <c r="B90" s="19">
        <v>20004</v>
      </c>
      <c r="C90" s="19" t="s">
        <v>420</v>
      </c>
      <c r="D90" s="257">
        <v>24750000</v>
      </c>
      <c r="E90" s="257">
        <v>24750000</v>
      </c>
      <c r="F90" s="257">
        <f t="shared" si="39"/>
        <v>0</v>
      </c>
      <c r="G90" s="257">
        <v>250000</v>
      </c>
      <c r="H90" s="257">
        <v>231723</v>
      </c>
      <c r="I90" s="257"/>
      <c r="J90" s="257"/>
      <c r="K90" s="257">
        <f t="shared" si="32"/>
        <v>0</v>
      </c>
      <c r="L90" s="257">
        <f t="shared" si="40"/>
        <v>231723</v>
      </c>
      <c r="M90" s="257">
        <f>P90+S90</f>
        <v>18277</v>
      </c>
      <c r="N90" s="257">
        <f>18000000-9000000-2000000</f>
        <v>7000000</v>
      </c>
      <c r="O90" s="257">
        <f t="shared" si="41"/>
        <v>17500000</v>
      </c>
      <c r="P90" s="257">
        <f t="shared" si="42"/>
        <v>18277</v>
      </c>
      <c r="Q90" s="257"/>
      <c r="R90" s="257"/>
      <c r="S90" s="257">
        <f t="shared" si="33"/>
        <v>0</v>
      </c>
      <c r="T90" s="257">
        <f t="shared" si="43"/>
        <v>0</v>
      </c>
      <c r="U90" s="257">
        <f t="shared" si="44"/>
        <v>7000000</v>
      </c>
      <c r="V90" s="257">
        <f t="shared" si="45"/>
        <v>947200</v>
      </c>
      <c r="W90" s="257"/>
      <c r="X90" s="257"/>
      <c r="Y90" s="257"/>
      <c r="Z90" s="257"/>
      <c r="AA90" s="257">
        <v>6052800</v>
      </c>
      <c r="AB90" s="19" t="s">
        <v>703</v>
      </c>
      <c r="AC90" s="19">
        <v>742000</v>
      </c>
      <c r="AD90" s="257"/>
      <c r="AE90" s="257">
        <v>100000</v>
      </c>
      <c r="AF90" s="257"/>
      <c r="AG90" s="257"/>
      <c r="AH90" s="257">
        <f>1176786+100000</f>
        <v>1276786</v>
      </c>
      <c r="AI90" s="257"/>
      <c r="AJ90" s="257">
        <f t="shared" si="34"/>
        <v>1376786</v>
      </c>
      <c r="AK90" s="257">
        <f t="shared" si="35"/>
        <v>5623214</v>
      </c>
      <c r="AL90" s="257"/>
      <c r="AM90" s="236"/>
      <c r="AN90" s="257">
        <f t="shared" si="36"/>
        <v>5623214</v>
      </c>
      <c r="AO90" s="257">
        <f t="shared" si="46"/>
        <v>747200</v>
      </c>
      <c r="AP90" s="257"/>
      <c r="AQ90" s="257"/>
      <c r="AR90" s="257"/>
      <c r="AS90" s="257"/>
      <c r="AT90" s="257">
        <f>6052800-1176786</f>
        <v>4876014</v>
      </c>
      <c r="AU90" s="257"/>
      <c r="AV90" s="257"/>
      <c r="AW90" s="257">
        <v>5623214</v>
      </c>
      <c r="AX90" s="257">
        <f t="shared" si="51"/>
        <v>0</v>
      </c>
      <c r="AY90" s="257">
        <f t="shared" si="47"/>
        <v>0</v>
      </c>
      <c r="AZ90" s="257"/>
      <c r="BA90" s="257"/>
      <c r="BB90" s="257"/>
      <c r="BC90" s="257"/>
      <c r="BD90" s="257"/>
      <c r="BE90" s="257">
        <f t="shared" si="48"/>
        <v>1376786</v>
      </c>
      <c r="BF90" s="257">
        <f t="shared" si="49"/>
        <v>5623214</v>
      </c>
      <c r="BG90" s="257">
        <f t="shared" si="37"/>
        <v>200000</v>
      </c>
      <c r="BH90" s="257"/>
      <c r="BI90" s="257"/>
      <c r="BJ90" s="257"/>
      <c r="BK90" s="257"/>
      <c r="BL90" s="257">
        <v>1176786</v>
      </c>
      <c r="BN90" s="123"/>
      <c r="BO90" s="123"/>
      <c r="BP90" s="123"/>
      <c r="BQ90" s="123"/>
      <c r="BR90" s="123"/>
      <c r="BS90" s="123"/>
    </row>
    <row r="91" spans="1:71" s="5" customFormat="1" ht="30" customHeight="1">
      <c r="A91" s="213">
        <f t="shared" si="38"/>
        <v>86</v>
      </c>
      <c r="B91" s="19">
        <v>20009</v>
      </c>
      <c r="C91" s="19" t="s">
        <v>455</v>
      </c>
      <c r="D91" s="495">
        <v>2150000</v>
      </c>
      <c r="E91" s="495">
        <v>2150000</v>
      </c>
      <c r="F91" s="495">
        <f t="shared" si="39"/>
        <v>0</v>
      </c>
      <c r="G91" s="495">
        <f>150000+50000</f>
        <v>200000</v>
      </c>
      <c r="H91" s="495">
        <v>162220</v>
      </c>
      <c r="I91" s="495"/>
      <c r="J91" s="495"/>
      <c r="K91" s="495">
        <f>SUM(I91:J91)</f>
        <v>0</v>
      </c>
      <c r="L91" s="495">
        <f>H91+K91</f>
        <v>162220</v>
      </c>
      <c r="M91" s="495">
        <f>P91+S91-35000</f>
        <v>2780</v>
      </c>
      <c r="N91" s="495">
        <f>400000-100000+35000</f>
        <v>335000</v>
      </c>
      <c r="O91" s="495">
        <f t="shared" si="41"/>
        <v>1650000</v>
      </c>
      <c r="P91" s="495">
        <f t="shared" si="42"/>
        <v>37780</v>
      </c>
      <c r="Q91" s="495"/>
      <c r="R91" s="495"/>
      <c r="S91" s="495">
        <f t="shared" si="33"/>
        <v>0</v>
      </c>
      <c r="T91" s="495">
        <f t="shared" si="43"/>
        <v>35000</v>
      </c>
      <c r="U91" s="495">
        <f t="shared" si="44"/>
        <v>300000</v>
      </c>
      <c r="V91" s="495">
        <f>U91-AA91-W91-Z91-Y91-X91</f>
        <v>300000</v>
      </c>
      <c r="W91" s="495"/>
      <c r="X91" s="495"/>
      <c r="Y91" s="495"/>
      <c r="Z91" s="495"/>
      <c r="AA91" s="19"/>
      <c r="AB91" s="19" t="s">
        <v>516</v>
      </c>
      <c r="AC91" s="19">
        <v>732000</v>
      </c>
      <c r="AD91" s="257"/>
      <c r="AE91" s="257"/>
      <c r="AF91" s="257"/>
      <c r="AG91" s="257"/>
      <c r="AH91" s="257">
        <v>50000</v>
      </c>
      <c r="AI91" s="257"/>
      <c r="AJ91" s="257">
        <f t="shared" si="34"/>
        <v>50000</v>
      </c>
      <c r="AK91" s="257">
        <f t="shared" si="35"/>
        <v>250000</v>
      </c>
      <c r="AL91" s="257"/>
      <c r="AM91" s="236"/>
      <c r="AN91" s="257">
        <f t="shared" si="36"/>
        <v>250000</v>
      </c>
      <c r="AO91" s="257">
        <f t="shared" si="46"/>
        <v>250000</v>
      </c>
      <c r="AP91" s="257"/>
      <c r="AQ91" s="257"/>
      <c r="AR91" s="257"/>
      <c r="AS91" s="257"/>
      <c r="AT91" s="257"/>
      <c r="AU91" s="257"/>
      <c r="AV91" s="257"/>
      <c r="AW91" s="257"/>
      <c r="AX91" s="257">
        <f t="shared" si="51"/>
        <v>250000</v>
      </c>
      <c r="AY91" s="257">
        <f t="shared" si="47"/>
        <v>250000</v>
      </c>
      <c r="AZ91" s="257"/>
      <c r="BA91" s="257"/>
      <c r="BB91" s="257"/>
      <c r="BC91" s="257"/>
      <c r="BD91" s="257"/>
      <c r="BE91" s="257">
        <f t="shared" si="48"/>
        <v>300000</v>
      </c>
      <c r="BF91" s="257">
        <f t="shared" si="49"/>
        <v>0</v>
      </c>
      <c r="BG91" s="257">
        <f t="shared" si="37"/>
        <v>300000</v>
      </c>
      <c r="BH91" s="257"/>
      <c r="BI91" s="257"/>
      <c r="BJ91" s="257"/>
      <c r="BK91" s="257"/>
      <c r="BL91" s="257"/>
      <c r="BN91" s="123"/>
      <c r="BO91" s="123"/>
      <c r="BP91" s="123"/>
      <c r="BQ91" s="123"/>
      <c r="BR91" s="123"/>
      <c r="BS91" s="123"/>
    </row>
    <row r="92" spans="1:71" s="5" customFormat="1" ht="30" customHeight="1">
      <c r="A92" s="213">
        <f t="shared" si="38"/>
        <v>87</v>
      </c>
      <c r="B92" s="19">
        <v>20010</v>
      </c>
      <c r="C92" s="19" t="s">
        <v>1166</v>
      </c>
      <c r="D92" s="257">
        <v>7000000</v>
      </c>
      <c r="E92" s="257">
        <v>7000000</v>
      </c>
      <c r="F92" s="257">
        <f t="shared" si="39"/>
        <v>0</v>
      </c>
      <c r="G92" s="257">
        <v>500000</v>
      </c>
      <c r="H92" s="257">
        <v>39342</v>
      </c>
      <c r="I92" s="257"/>
      <c r="J92" s="257"/>
      <c r="K92" s="257">
        <f t="shared" si="32"/>
        <v>0</v>
      </c>
      <c r="L92" s="257">
        <f t="shared" si="40"/>
        <v>39342</v>
      </c>
      <c r="M92" s="257">
        <f>P92+S92-460658</f>
        <v>0</v>
      </c>
      <c r="N92" s="257"/>
      <c r="O92" s="257">
        <f t="shared" si="41"/>
        <v>6960658</v>
      </c>
      <c r="P92" s="257">
        <f t="shared" si="42"/>
        <v>460658</v>
      </c>
      <c r="Q92" s="257"/>
      <c r="R92" s="257"/>
      <c r="S92" s="257">
        <f t="shared" si="33"/>
        <v>0</v>
      </c>
      <c r="T92" s="257">
        <f t="shared" si="43"/>
        <v>460658</v>
      </c>
      <c r="U92" s="257">
        <f t="shared" si="44"/>
        <v>-460658</v>
      </c>
      <c r="V92" s="257">
        <f t="shared" si="45"/>
        <v>-460658</v>
      </c>
      <c r="W92" s="257"/>
      <c r="X92" s="257"/>
      <c r="Y92" s="257"/>
      <c r="Z92" s="257"/>
      <c r="AA92" s="213"/>
      <c r="AB92" s="19" t="s">
        <v>975</v>
      </c>
      <c r="AC92" s="19">
        <v>810000</v>
      </c>
      <c r="AD92" s="257">
        <v>-460658</v>
      </c>
      <c r="AE92" s="257"/>
      <c r="AF92" s="257"/>
      <c r="AG92" s="257"/>
      <c r="AH92" s="257"/>
      <c r="AI92" s="257"/>
      <c r="AJ92" s="257">
        <f t="shared" si="34"/>
        <v>-460658</v>
      </c>
      <c r="AK92" s="257">
        <f t="shared" si="35"/>
        <v>0</v>
      </c>
      <c r="AL92" s="257"/>
      <c r="AM92" s="236"/>
      <c r="AN92" s="257">
        <f t="shared" si="36"/>
        <v>0</v>
      </c>
      <c r="AO92" s="257">
        <f t="shared" si="46"/>
        <v>0</v>
      </c>
      <c r="AP92" s="257"/>
      <c r="AQ92" s="257"/>
      <c r="AR92" s="257"/>
      <c r="AS92" s="257"/>
      <c r="AT92" s="257"/>
      <c r="AU92" s="257"/>
      <c r="AV92" s="257"/>
      <c r="AW92" s="257"/>
      <c r="AX92" s="257">
        <f t="shared" si="51"/>
        <v>0</v>
      </c>
      <c r="AY92" s="257">
        <f t="shared" si="47"/>
        <v>0</v>
      </c>
      <c r="AZ92" s="257"/>
      <c r="BA92" s="257"/>
      <c r="BB92" s="257"/>
      <c r="BC92" s="257"/>
      <c r="BD92" s="257"/>
      <c r="BE92" s="257">
        <f t="shared" si="48"/>
        <v>-460658</v>
      </c>
      <c r="BF92" s="257">
        <f t="shared" si="49"/>
        <v>0</v>
      </c>
      <c r="BG92" s="257">
        <f t="shared" si="37"/>
        <v>-460658</v>
      </c>
      <c r="BH92" s="257"/>
      <c r="BI92" s="257"/>
      <c r="BJ92" s="257"/>
      <c r="BK92" s="257"/>
      <c r="BL92" s="257"/>
      <c r="BN92" s="123"/>
      <c r="BO92" s="123"/>
      <c r="BP92" s="123"/>
      <c r="BQ92" s="123"/>
      <c r="BR92" s="123"/>
      <c r="BS92" s="123"/>
    </row>
    <row r="93" spans="1:71" s="5" customFormat="1" ht="30" customHeight="1">
      <c r="A93" s="213">
        <f t="shared" si="38"/>
        <v>88</v>
      </c>
      <c r="B93" s="19">
        <v>20011</v>
      </c>
      <c r="C93" s="19" t="s">
        <v>1376</v>
      </c>
      <c r="D93" s="257">
        <f>18500000+3000000</f>
        <v>21500000</v>
      </c>
      <c r="E93" s="257">
        <v>18500000</v>
      </c>
      <c r="F93" s="257">
        <f t="shared" si="39"/>
        <v>3000000</v>
      </c>
      <c r="G93" s="257">
        <v>600000</v>
      </c>
      <c r="H93" s="257">
        <v>881319</v>
      </c>
      <c r="I93" s="257"/>
      <c r="J93" s="257"/>
      <c r="K93" s="257">
        <f t="shared" si="32"/>
        <v>0</v>
      </c>
      <c r="L93" s="257">
        <f t="shared" si="40"/>
        <v>881319</v>
      </c>
      <c r="M93" s="257">
        <f>P93+S93-110000</f>
        <v>8681</v>
      </c>
      <c r="N93" s="257">
        <f>20500000-13500000-500000+110000-500000</f>
        <v>6110000</v>
      </c>
      <c r="O93" s="257">
        <f t="shared" si="41"/>
        <v>14500000</v>
      </c>
      <c r="P93" s="257">
        <f t="shared" si="42"/>
        <v>-281319</v>
      </c>
      <c r="Q93" s="257">
        <v>400000</v>
      </c>
      <c r="R93" s="257"/>
      <c r="S93" s="257">
        <f t="shared" si="33"/>
        <v>400000</v>
      </c>
      <c r="T93" s="257">
        <f t="shared" si="43"/>
        <v>110000</v>
      </c>
      <c r="U93" s="257">
        <f t="shared" si="44"/>
        <v>6000000</v>
      </c>
      <c r="V93" s="257">
        <f t="shared" si="45"/>
        <v>500490</v>
      </c>
      <c r="W93" s="257"/>
      <c r="X93" s="257"/>
      <c r="Y93" s="257"/>
      <c r="Z93" s="257"/>
      <c r="AA93" s="257">
        <f>1748816+244834+1500000+1600000+405860</f>
        <v>5499510</v>
      </c>
      <c r="AB93" s="19" t="s">
        <v>976</v>
      </c>
      <c r="AC93" s="19">
        <v>810000</v>
      </c>
      <c r="AD93" s="257"/>
      <c r="AE93" s="257"/>
      <c r="AF93" s="257">
        <v>250000</v>
      </c>
      <c r="AG93" s="257">
        <v>250000</v>
      </c>
      <c r="AH93" s="257"/>
      <c r="AI93" s="257"/>
      <c r="AJ93" s="257">
        <f t="shared" si="34"/>
        <v>500000</v>
      </c>
      <c r="AK93" s="257">
        <f t="shared" si="35"/>
        <v>5500000</v>
      </c>
      <c r="AL93" s="257"/>
      <c r="AM93" s="236"/>
      <c r="AN93" s="257">
        <f t="shared" si="36"/>
        <v>5500000</v>
      </c>
      <c r="AO93" s="257">
        <f t="shared" si="46"/>
        <v>490</v>
      </c>
      <c r="AP93" s="257"/>
      <c r="AQ93" s="257"/>
      <c r="AR93" s="257"/>
      <c r="AS93" s="257"/>
      <c r="AT93" s="257">
        <f>1748816+244834+1500000+1600000+405860</f>
        <v>5499510</v>
      </c>
      <c r="AU93" s="257"/>
      <c r="AV93" s="257"/>
      <c r="AW93" s="257">
        <f>244834+1748816+1500000+1600000+405860</f>
        <v>5499510</v>
      </c>
      <c r="AX93" s="257">
        <f t="shared" si="51"/>
        <v>490</v>
      </c>
      <c r="AY93" s="257">
        <f t="shared" si="47"/>
        <v>490</v>
      </c>
      <c r="AZ93" s="257"/>
      <c r="BA93" s="257"/>
      <c r="BB93" s="257"/>
      <c r="BC93" s="257"/>
      <c r="BD93" s="257"/>
      <c r="BE93" s="257">
        <f t="shared" si="48"/>
        <v>500490</v>
      </c>
      <c r="BF93" s="257">
        <f t="shared" si="49"/>
        <v>5499510</v>
      </c>
      <c r="BG93" s="257">
        <f t="shared" si="37"/>
        <v>500490</v>
      </c>
      <c r="BH93" s="257"/>
      <c r="BI93" s="257"/>
      <c r="BJ93" s="257"/>
      <c r="BK93" s="257"/>
      <c r="BL93" s="257"/>
      <c r="BN93" s="123"/>
      <c r="BO93" s="123"/>
      <c r="BP93" s="123"/>
      <c r="BQ93" s="123"/>
      <c r="BR93" s="123"/>
      <c r="BS93" s="123"/>
    </row>
    <row r="94" spans="1:71" s="5" customFormat="1" ht="30" customHeight="1">
      <c r="A94" s="213">
        <f t="shared" si="38"/>
        <v>89</v>
      </c>
      <c r="B94" s="19">
        <v>20013</v>
      </c>
      <c r="C94" s="19" t="s">
        <v>483</v>
      </c>
      <c r="D94" s="257">
        <f>1000000+21000000-21000000</f>
        <v>1000000</v>
      </c>
      <c r="E94" s="257">
        <v>1000000</v>
      </c>
      <c r="F94" s="257">
        <f t="shared" si="39"/>
        <v>0</v>
      </c>
      <c r="G94" s="257">
        <v>550000</v>
      </c>
      <c r="H94" s="257">
        <v>637852</v>
      </c>
      <c r="I94" s="257"/>
      <c r="J94" s="257"/>
      <c r="K94" s="257">
        <f t="shared" si="32"/>
        <v>0</v>
      </c>
      <c r="L94" s="257">
        <f t="shared" si="40"/>
        <v>637852</v>
      </c>
      <c r="M94" s="257">
        <f>P94+S94-360000</f>
        <v>2148</v>
      </c>
      <c r="N94" s="257">
        <v>360000</v>
      </c>
      <c r="O94" s="257">
        <f t="shared" si="41"/>
        <v>0</v>
      </c>
      <c r="P94" s="257">
        <f t="shared" si="42"/>
        <v>-87852</v>
      </c>
      <c r="Q94" s="257">
        <v>450000</v>
      </c>
      <c r="R94" s="257"/>
      <c r="S94" s="257">
        <f t="shared" si="33"/>
        <v>450000</v>
      </c>
      <c r="T94" s="257">
        <f t="shared" si="43"/>
        <v>360000</v>
      </c>
      <c r="U94" s="257">
        <f t="shared" si="44"/>
        <v>0</v>
      </c>
      <c r="V94" s="257">
        <f t="shared" si="45"/>
        <v>0</v>
      </c>
      <c r="W94" s="257"/>
      <c r="X94" s="257"/>
      <c r="Y94" s="257"/>
      <c r="Z94" s="257"/>
      <c r="AA94" s="213"/>
      <c r="AB94" s="19" t="s">
        <v>977</v>
      </c>
      <c r="AC94" s="19">
        <v>810000</v>
      </c>
      <c r="AD94" s="257"/>
      <c r="AE94" s="257"/>
      <c r="AF94" s="257"/>
      <c r="AG94" s="257"/>
      <c r="AH94" s="257"/>
      <c r="AI94" s="257"/>
      <c r="AJ94" s="257">
        <f t="shared" si="34"/>
        <v>0</v>
      </c>
      <c r="AK94" s="257">
        <f t="shared" si="35"/>
        <v>0</v>
      </c>
      <c r="AL94" s="257"/>
      <c r="AM94" s="236"/>
      <c r="AN94" s="257">
        <f t="shared" si="36"/>
        <v>0</v>
      </c>
      <c r="AO94" s="257">
        <f t="shared" si="46"/>
        <v>0</v>
      </c>
      <c r="AP94" s="257"/>
      <c r="AQ94" s="257"/>
      <c r="AR94" s="257"/>
      <c r="AS94" s="257"/>
      <c r="AT94" s="257"/>
      <c r="AU94" s="257"/>
      <c r="AV94" s="257"/>
      <c r="AW94" s="257"/>
      <c r="AX94" s="257">
        <f t="shared" si="51"/>
        <v>0</v>
      </c>
      <c r="AY94" s="257">
        <f t="shared" si="47"/>
        <v>0</v>
      </c>
      <c r="AZ94" s="257"/>
      <c r="BA94" s="257"/>
      <c r="BB94" s="257"/>
      <c r="BC94" s="257"/>
      <c r="BD94" s="257"/>
      <c r="BE94" s="257">
        <f t="shared" si="48"/>
        <v>0</v>
      </c>
      <c r="BF94" s="257">
        <f t="shared" si="49"/>
        <v>0</v>
      </c>
      <c r="BG94" s="257">
        <f t="shared" si="37"/>
        <v>0</v>
      </c>
      <c r="BH94" s="257"/>
      <c r="BI94" s="257"/>
      <c r="BJ94" s="257"/>
      <c r="BK94" s="257"/>
      <c r="BL94" s="257"/>
      <c r="BN94" s="123"/>
      <c r="BO94" s="123"/>
      <c r="BP94" s="123"/>
      <c r="BQ94" s="123"/>
      <c r="BR94" s="123"/>
      <c r="BS94" s="123"/>
    </row>
    <row r="95" spans="1:71" s="5" customFormat="1" ht="30" customHeight="1">
      <c r="A95" s="213">
        <f t="shared" si="38"/>
        <v>90</v>
      </c>
      <c r="B95" s="19">
        <v>20014</v>
      </c>
      <c r="C95" s="19" t="s">
        <v>1377</v>
      </c>
      <c r="D95" s="257">
        <v>1500000</v>
      </c>
      <c r="E95" s="257">
        <v>800000</v>
      </c>
      <c r="F95" s="257">
        <f t="shared" si="39"/>
        <v>700000</v>
      </c>
      <c r="G95" s="257">
        <v>300000</v>
      </c>
      <c r="H95" s="257">
        <v>300000</v>
      </c>
      <c r="I95" s="257"/>
      <c r="J95" s="257"/>
      <c r="K95" s="257">
        <f t="shared" si="32"/>
        <v>0</v>
      </c>
      <c r="L95" s="257">
        <f t="shared" si="40"/>
        <v>300000</v>
      </c>
      <c r="M95" s="257">
        <f>P95+S95</f>
        <v>0</v>
      </c>
      <c r="N95" s="257">
        <f>1200000-200000-850000</f>
        <v>150000</v>
      </c>
      <c r="O95" s="257">
        <f t="shared" si="41"/>
        <v>1050000</v>
      </c>
      <c r="P95" s="257">
        <f t="shared" si="42"/>
        <v>0</v>
      </c>
      <c r="Q95" s="257"/>
      <c r="R95" s="257"/>
      <c r="S95" s="257">
        <f t="shared" si="33"/>
        <v>0</v>
      </c>
      <c r="T95" s="257">
        <f t="shared" si="43"/>
        <v>0</v>
      </c>
      <c r="U95" s="257">
        <f t="shared" si="44"/>
        <v>150000</v>
      </c>
      <c r="V95" s="257">
        <f t="shared" si="45"/>
        <v>150000</v>
      </c>
      <c r="W95" s="257"/>
      <c r="X95" s="257"/>
      <c r="Y95" s="257"/>
      <c r="Z95" s="257"/>
      <c r="AA95" s="213"/>
      <c r="AB95" s="19" t="s">
        <v>1378</v>
      </c>
      <c r="AC95" s="19">
        <v>829000</v>
      </c>
      <c r="AD95" s="257"/>
      <c r="AE95" s="257"/>
      <c r="AF95" s="257"/>
      <c r="AG95" s="257">
        <v>150000</v>
      </c>
      <c r="AH95" s="257"/>
      <c r="AI95" s="257"/>
      <c r="AJ95" s="257">
        <f t="shared" si="34"/>
        <v>150000</v>
      </c>
      <c r="AK95" s="257">
        <f t="shared" si="35"/>
        <v>0</v>
      </c>
      <c r="AL95" s="257"/>
      <c r="AM95" s="236"/>
      <c r="AN95" s="257">
        <f t="shared" si="36"/>
        <v>0</v>
      </c>
      <c r="AO95" s="257">
        <f t="shared" si="46"/>
        <v>0</v>
      </c>
      <c r="AP95" s="257"/>
      <c r="AQ95" s="257"/>
      <c r="AR95" s="257"/>
      <c r="AS95" s="257"/>
      <c r="AT95" s="257"/>
      <c r="AU95" s="257"/>
      <c r="AV95" s="257"/>
      <c r="AW95" s="257"/>
      <c r="AX95" s="257">
        <f t="shared" si="51"/>
        <v>0</v>
      </c>
      <c r="AY95" s="257">
        <f t="shared" si="47"/>
        <v>0</v>
      </c>
      <c r="AZ95" s="257"/>
      <c r="BA95" s="257"/>
      <c r="BB95" s="257"/>
      <c r="BC95" s="257"/>
      <c r="BD95" s="257"/>
      <c r="BE95" s="257">
        <f t="shared" si="48"/>
        <v>150000</v>
      </c>
      <c r="BF95" s="257">
        <f t="shared" si="49"/>
        <v>0</v>
      </c>
      <c r="BG95" s="257">
        <f t="shared" si="37"/>
        <v>150000</v>
      </c>
      <c r="BH95" s="257"/>
      <c r="BI95" s="257"/>
      <c r="BJ95" s="257"/>
      <c r="BK95" s="257"/>
      <c r="BL95" s="257"/>
      <c r="BN95" s="123"/>
      <c r="BO95" s="123"/>
      <c r="BP95" s="123"/>
      <c r="BQ95" s="123"/>
      <c r="BR95" s="123"/>
      <c r="BS95" s="123"/>
    </row>
    <row r="96" spans="1:71" s="5" customFormat="1" ht="30" customHeight="1">
      <c r="A96" s="213">
        <f t="shared" si="38"/>
        <v>91</v>
      </c>
      <c r="B96" s="19">
        <v>20015</v>
      </c>
      <c r="C96" s="19" t="s">
        <v>1149</v>
      </c>
      <c r="D96" s="257">
        <f>2500000-360000-923</f>
        <v>2139077</v>
      </c>
      <c r="E96" s="257">
        <v>2500000</v>
      </c>
      <c r="F96" s="257">
        <f t="shared" si="39"/>
        <v>-360923</v>
      </c>
      <c r="G96" s="257">
        <f>2000000+100000</f>
        <v>2100000</v>
      </c>
      <c r="H96" s="257">
        <v>2139077</v>
      </c>
      <c r="I96" s="257"/>
      <c r="J96" s="257"/>
      <c r="K96" s="257">
        <f t="shared" si="32"/>
        <v>0</v>
      </c>
      <c r="L96" s="257">
        <f t="shared" si="40"/>
        <v>2139077</v>
      </c>
      <c r="M96" s="257">
        <f>P96+S96-300000-60000-923</f>
        <v>0</v>
      </c>
      <c r="N96" s="257"/>
      <c r="O96" s="257">
        <f t="shared" si="41"/>
        <v>0</v>
      </c>
      <c r="P96" s="257">
        <f t="shared" si="42"/>
        <v>-39077</v>
      </c>
      <c r="Q96" s="257">
        <f>500000-100000</f>
        <v>400000</v>
      </c>
      <c r="R96" s="257"/>
      <c r="S96" s="257">
        <f t="shared" si="33"/>
        <v>400000</v>
      </c>
      <c r="T96" s="257">
        <f t="shared" si="43"/>
        <v>360923</v>
      </c>
      <c r="U96" s="257">
        <f t="shared" si="44"/>
        <v>-360923</v>
      </c>
      <c r="V96" s="257">
        <f t="shared" si="45"/>
        <v>-360923</v>
      </c>
      <c r="W96" s="257"/>
      <c r="X96" s="257"/>
      <c r="Y96" s="257"/>
      <c r="Z96" s="257"/>
      <c r="AA96" s="213"/>
      <c r="AB96" s="19" t="s">
        <v>978</v>
      </c>
      <c r="AC96" s="19">
        <v>829000</v>
      </c>
      <c r="AD96" s="257">
        <v>-360923</v>
      </c>
      <c r="AE96" s="257"/>
      <c r="AF96" s="257"/>
      <c r="AG96" s="257"/>
      <c r="AH96" s="257"/>
      <c r="AI96" s="257"/>
      <c r="AJ96" s="257">
        <f t="shared" si="34"/>
        <v>-360923</v>
      </c>
      <c r="AK96" s="257">
        <f t="shared" si="35"/>
        <v>0</v>
      </c>
      <c r="AL96" s="257"/>
      <c r="AM96" s="236"/>
      <c r="AN96" s="257">
        <f t="shared" si="36"/>
        <v>0</v>
      </c>
      <c r="AO96" s="257">
        <f t="shared" si="46"/>
        <v>0</v>
      </c>
      <c r="AP96" s="257"/>
      <c r="AQ96" s="257"/>
      <c r="AR96" s="257"/>
      <c r="AS96" s="257"/>
      <c r="AT96" s="257"/>
      <c r="AU96" s="257"/>
      <c r="AV96" s="257"/>
      <c r="AW96" s="257"/>
      <c r="AX96" s="257">
        <f t="shared" si="51"/>
        <v>0</v>
      </c>
      <c r="AY96" s="257">
        <f t="shared" si="47"/>
        <v>0</v>
      </c>
      <c r="AZ96" s="257"/>
      <c r="BA96" s="257"/>
      <c r="BB96" s="257"/>
      <c r="BC96" s="257"/>
      <c r="BD96" s="257"/>
      <c r="BE96" s="257">
        <f t="shared" si="48"/>
        <v>-360923</v>
      </c>
      <c r="BF96" s="257">
        <f t="shared" si="49"/>
        <v>0</v>
      </c>
      <c r="BG96" s="257">
        <f t="shared" si="37"/>
        <v>-360923</v>
      </c>
      <c r="BH96" s="257"/>
      <c r="BI96" s="257"/>
      <c r="BJ96" s="257"/>
      <c r="BK96" s="257"/>
      <c r="BL96" s="257"/>
      <c r="BN96" s="123"/>
      <c r="BO96" s="123"/>
      <c r="BP96" s="123"/>
      <c r="BQ96" s="123"/>
      <c r="BR96" s="123"/>
      <c r="BS96" s="123"/>
    </row>
    <row r="97" spans="1:71" s="5" customFormat="1" ht="30" customHeight="1">
      <c r="A97" s="213">
        <f t="shared" si="38"/>
        <v>92</v>
      </c>
      <c r="B97" s="19">
        <v>20016</v>
      </c>
      <c r="C97" s="19" t="s">
        <v>459</v>
      </c>
      <c r="D97" s="257">
        <f>2500000</f>
        <v>2500000</v>
      </c>
      <c r="E97" s="257">
        <v>1000000</v>
      </c>
      <c r="F97" s="257">
        <f t="shared" si="39"/>
        <v>1500000</v>
      </c>
      <c r="G97" s="257">
        <f>500000+200000</f>
        <v>700000</v>
      </c>
      <c r="H97" s="257">
        <v>690530</v>
      </c>
      <c r="I97" s="257"/>
      <c r="J97" s="257"/>
      <c r="K97" s="257">
        <f t="shared" si="32"/>
        <v>0</v>
      </c>
      <c r="L97" s="257">
        <f t="shared" si="40"/>
        <v>690530</v>
      </c>
      <c r="M97" s="257">
        <f>P97+S97-305000</f>
        <v>4470</v>
      </c>
      <c r="N97" s="257">
        <f>1500000-500000-200000+305000-100000</f>
        <v>1005000</v>
      </c>
      <c r="O97" s="257">
        <f t="shared" si="41"/>
        <v>800000</v>
      </c>
      <c r="P97" s="257">
        <f t="shared" si="42"/>
        <v>9470</v>
      </c>
      <c r="Q97" s="257">
        <f>500000-200000</f>
        <v>300000</v>
      </c>
      <c r="R97" s="257"/>
      <c r="S97" s="257">
        <f t="shared" si="33"/>
        <v>300000</v>
      </c>
      <c r="T97" s="257">
        <f t="shared" si="43"/>
        <v>305000</v>
      </c>
      <c r="U97" s="257">
        <f t="shared" si="44"/>
        <v>700000</v>
      </c>
      <c r="V97" s="257">
        <f t="shared" si="45"/>
        <v>700000</v>
      </c>
      <c r="W97" s="257"/>
      <c r="X97" s="257"/>
      <c r="Y97" s="257"/>
      <c r="Z97" s="257"/>
      <c r="AA97" s="213"/>
      <c r="AB97" s="19" t="s">
        <v>457</v>
      </c>
      <c r="AC97" s="19">
        <v>826000</v>
      </c>
      <c r="AD97" s="257"/>
      <c r="AE97" s="257"/>
      <c r="AF97" s="257"/>
      <c r="AG97" s="257"/>
      <c r="AH97" s="257"/>
      <c r="AI97" s="257"/>
      <c r="AJ97" s="257">
        <f t="shared" si="34"/>
        <v>0</v>
      </c>
      <c r="AK97" s="257">
        <f t="shared" si="35"/>
        <v>700000</v>
      </c>
      <c r="AL97" s="257"/>
      <c r="AM97" s="236"/>
      <c r="AN97" s="257">
        <f t="shared" si="36"/>
        <v>700000</v>
      </c>
      <c r="AO97" s="257">
        <f t="shared" si="46"/>
        <v>700000</v>
      </c>
      <c r="AP97" s="257"/>
      <c r="AQ97" s="257"/>
      <c r="AR97" s="257"/>
      <c r="AS97" s="257"/>
      <c r="AT97" s="257"/>
      <c r="AU97" s="257"/>
      <c r="AV97" s="257"/>
      <c r="AW97" s="257"/>
      <c r="AX97" s="257">
        <f t="shared" si="51"/>
        <v>700000</v>
      </c>
      <c r="AY97" s="257">
        <f t="shared" si="47"/>
        <v>700000</v>
      </c>
      <c r="AZ97" s="257"/>
      <c r="BA97" s="257"/>
      <c r="BB97" s="257"/>
      <c r="BC97" s="257"/>
      <c r="BD97" s="257"/>
      <c r="BE97" s="257">
        <f t="shared" si="48"/>
        <v>700000</v>
      </c>
      <c r="BF97" s="257">
        <f t="shared" si="49"/>
        <v>0</v>
      </c>
      <c r="BG97" s="257">
        <f t="shared" si="37"/>
        <v>700000</v>
      </c>
      <c r="BH97" s="257"/>
      <c r="BI97" s="257"/>
      <c r="BJ97" s="257"/>
      <c r="BK97" s="257"/>
      <c r="BL97" s="257"/>
      <c r="BN97" s="123"/>
      <c r="BO97" s="123"/>
      <c r="BP97" s="123"/>
      <c r="BQ97" s="123"/>
      <c r="BR97" s="123"/>
      <c r="BS97" s="123"/>
    </row>
    <row r="98" spans="1:71" s="5" customFormat="1" ht="30" customHeight="1">
      <c r="A98" s="213">
        <f t="shared" si="38"/>
        <v>93</v>
      </c>
      <c r="B98" s="19">
        <v>20017</v>
      </c>
      <c r="C98" s="19" t="s">
        <v>1107</v>
      </c>
      <c r="D98" s="257">
        <v>10000000</v>
      </c>
      <c r="E98" s="257">
        <v>10000000</v>
      </c>
      <c r="F98" s="257">
        <f t="shared" si="39"/>
        <v>0</v>
      </c>
      <c r="G98" s="257">
        <v>350000</v>
      </c>
      <c r="H98" s="257">
        <v>303035</v>
      </c>
      <c r="I98" s="257"/>
      <c r="J98" s="257"/>
      <c r="K98" s="257">
        <f t="shared" si="32"/>
        <v>0</v>
      </c>
      <c r="L98" s="257">
        <f t="shared" si="40"/>
        <v>303035</v>
      </c>
      <c r="M98" s="257">
        <f>P98+S98-1500000-545000</f>
        <v>1965</v>
      </c>
      <c r="N98" s="257">
        <f>7650000-3650000-1000000+545000-1000000</f>
        <v>2545000</v>
      </c>
      <c r="O98" s="257">
        <f t="shared" si="41"/>
        <v>7150000</v>
      </c>
      <c r="P98" s="257">
        <f t="shared" si="42"/>
        <v>46965</v>
      </c>
      <c r="Q98" s="257">
        <v>2000000</v>
      </c>
      <c r="R98" s="257"/>
      <c r="S98" s="257">
        <f t="shared" si="33"/>
        <v>2000000</v>
      </c>
      <c r="T98" s="257">
        <f t="shared" si="43"/>
        <v>2045000</v>
      </c>
      <c r="U98" s="257">
        <f t="shared" si="44"/>
        <v>500000</v>
      </c>
      <c r="V98" s="257">
        <f t="shared" si="45"/>
        <v>500000</v>
      </c>
      <c r="W98" s="257"/>
      <c r="X98" s="257"/>
      <c r="Y98" s="257"/>
      <c r="Z98" s="257"/>
      <c r="AA98" s="213"/>
      <c r="AB98" s="19" t="s">
        <v>733</v>
      </c>
      <c r="AC98" s="19">
        <v>850000</v>
      </c>
      <c r="AD98" s="257"/>
      <c r="AE98" s="257"/>
      <c r="AF98" s="257"/>
      <c r="AG98" s="257"/>
      <c r="AH98" s="257"/>
      <c r="AI98" s="257"/>
      <c r="AJ98" s="257">
        <f t="shared" si="34"/>
        <v>0</v>
      </c>
      <c r="AK98" s="236">
        <f t="shared" si="35"/>
        <v>500000</v>
      </c>
      <c r="AL98" s="257"/>
      <c r="AM98" s="236">
        <v>-500000</v>
      </c>
      <c r="AN98" s="257">
        <f t="shared" si="36"/>
        <v>0</v>
      </c>
      <c r="AO98" s="257">
        <f t="shared" si="46"/>
        <v>0</v>
      </c>
      <c r="AP98" s="257"/>
      <c r="AQ98" s="257"/>
      <c r="AR98" s="257"/>
      <c r="AS98" s="257"/>
      <c r="AT98" s="257"/>
      <c r="AU98" s="257"/>
      <c r="AV98" s="257"/>
      <c r="AW98" s="257"/>
      <c r="AX98" s="257">
        <f t="shared" si="51"/>
        <v>0</v>
      </c>
      <c r="AY98" s="257">
        <f t="shared" si="47"/>
        <v>0</v>
      </c>
      <c r="AZ98" s="257"/>
      <c r="BA98" s="257"/>
      <c r="BB98" s="257"/>
      <c r="BC98" s="257"/>
      <c r="BD98" s="257"/>
      <c r="BE98" s="257">
        <f t="shared" si="48"/>
        <v>0</v>
      </c>
      <c r="BF98" s="257">
        <f t="shared" si="49"/>
        <v>500000</v>
      </c>
      <c r="BG98" s="257">
        <f t="shared" si="37"/>
        <v>0</v>
      </c>
      <c r="BH98" s="257"/>
      <c r="BI98" s="257"/>
      <c r="BJ98" s="257"/>
      <c r="BK98" s="257"/>
      <c r="BL98" s="257"/>
      <c r="BN98" s="123"/>
      <c r="BO98" s="123"/>
      <c r="BP98" s="123"/>
      <c r="BQ98" s="123"/>
      <c r="BR98" s="123"/>
      <c r="BS98" s="123"/>
    </row>
    <row r="99" spans="1:71" s="5" customFormat="1" ht="30" customHeight="1">
      <c r="A99" s="213">
        <f t="shared" si="38"/>
        <v>94</v>
      </c>
      <c r="B99" s="19">
        <v>20018</v>
      </c>
      <c r="C99" s="19" t="s">
        <v>458</v>
      </c>
      <c r="D99" s="257">
        <v>45000000</v>
      </c>
      <c r="E99" s="257">
        <v>1000000</v>
      </c>
      <c r="F99" s="257">
        <f t="shared" si="39"/>
        <v>44000000</v>
      </c>
      <c r="G99" s="257">
        <v>1000000</v>
      </c>
      <c r="H99" s="257">
        <v>956644</v>
      </c>
      <c r="I99" s="257"/>
      <c r="J99" s="257"/>
      <c r="K99" s="257">
        <f t="shared" si="32"/>
        <v>0</v>
      </c>
      <c r="L99" s="257">
        <f t="shared" si="40"/>
        <v>956644</v>
      </c>
      <c r="M99" s="257">
        <f>P99+S99-40000</f>
        <v>3356</v>
      </c>
      <c r="N99" s="257">
        <f>25000000-8000000-5000000+40000-500000</f>
        <v>11540000</v>
      </c>
      <c r="O99" s="257">
        <f t="shared" si="41"/>
        <v>32500000</v>
      </c>
      <c r="P99" s="257">
        <f t="shared" si="42"/>
        <v>43356</v>
      </c>
      <c r="Q99" s="257"/>
      <c r="R99" s="257"/>
      <c r="S99" s="257">
        <f t="shared" si="33"/>
        <v>0</v>
      </c>
      <c r="T99" s="257">
        <f t="shared" si="43"/>
        <v>40000</v>
      </c>
      <c r="U99" s="257">
        <f t="shared" si="44"/>
        <v>11500000</v>
      </c>
      <c r="V99" s="257">
        <f t="shared" si="45"/>
        <v>0</v>
      </c>
      <c r="W99" s="257"/>
      <c r="X99" s="257"/>
      <c r="Y99" s="257"/>
      <c r="Z99" s="257"/>
      <c r="AA99" s="257">
        <f>12000000+1500000-12000000+10000000</f>
        <v>11500000</v>
      </c>
      <c r="AB99" s="19" t="s">
        <v>704</v>
      </c>
      <c r="AC99" s="19">
        <v>826000</v>
      </c>
      <c r="AD99" s="257"/>
      <c r="AE99" s="257">
        <f>1000000-1000000</f>
        <v>0</v>
      </c>
      <c r="AF99" s="257">
        <v>150000</v>
      </c>
      <c r="AG99" s="257"/>
      <c r="AH99" s="257"/>
      <c r="AI99" s="257"/>
      <c r="AJ99" s="257">
        <f t="shared" si="34"/>
        <v>150000</v>
      </c>
      <c r="AK99" s="257">
        <f t="shared" si="35"/>
        <v>11350000</v>
      </c>
      <c r="AL99" s="257"/>
      <c r="AM99" s="236"/>
      <c r="AN99" s="257">
        <f t="shared" si="36"/>
        <v>11350000</v>
      </c>
      <c r="AO99" s="257">
        <f t="shared" si="46"/>
        <v>0</v>
      </c>
      <c r="AP99" s="257"/>
      <c r="AQ99" s="257"/>
      <c r="AR99" s="257"/>
      <c r="AS99" s="257"/>
      <c r="AT99" s="257">
        <f>10000000+1500000-150000</f>
        <v>11350000</v>
      </c>
      <c r="AU99" s="257"/>
      <c r="AV99" s="257"/>
      <c r="AW99" s="257">
        <f>10000000+1350000</f>
        <v>11350000</v>
      </c>
      <c r="AX99" s="257">
        <f t="shared" si="51"/>
        <v>0</v>
      </c>
      <c r="AY99" s="257">
        <f t="shared" si="47"/>
        <v>0</v>
      </c>
      <c r="AZ99" s="257"/>
      <c r="BA99" s="257"/>
      <c r="BB99" s="257"/>
      <c r="BC99" s="257"/>
      <c r="BD99" s="257">
        <f>1350000-1350000</f>
        <v>0</v>
      </c>
      <c r="BE99" s="257">
        <f t="shared" si="48"/>
        <v>150000</v>
      </c>
      <c r="BF99" s="257">
        <f t="shared" si="49"/>
        <v>11350000</v>
      </c>
      <c r="BG99" s="257">
        <f t="shared" si="37"/>
        <v>150000</v>
      </c>
      <c r="BH99" s="257"/>
      <c r="BI99" s="257"/>
      <c r="BJ99" s="257"/>
      <c r="BK99" s="257"/>
      <c r="BL99" s="257"/>
      <c r="BN99" s="123"/>
      <c r="BO99" s="123"/>
      <c r="BP99" s="123"/>
      <c r="BQ99" s="123"/>
      <c r="BR99" s="123"/>
      <c r="BS99" s="123"/>
    </row>
    <row r="100" spans="1:71" s="569" customFormat="1" ht="30" customHeight="1">
      <c r="A100" s="213">
        <f t="shared" si="38"/>
        <v>95</v>
      </c>
      <c r="B100" s="19">
        <v>20024</v>
      </c>
      <c r="C100" s="19" t="s">
        <v>1150</v>
      </c>
      <c r="D100" s="257">
        <f>880000-62208</f>
        <v>817792</v>
      </c>
      <c r="E100" s="257">
        <v>880000</v>
      </c>
      <c r="F100" s="257">
        <f t="shared" si="39"/>
        <v>-62208</v>
      </c>
      <c r="G100" s="257">
        <v>880000</v>
      </c>
      <c r="H100" s="257">
        <v>817792</v>
      </c>
      <c r="I100" s="257"/>
      <c r="J100" s="257"/>
      <c r="K100" s="257">
        <f t="shared" si="32"/>
        <v>0</v>
      </c>
      <c r="L100" s="257">
        <f t="shared" si="40"/>
        <v>817792</v>
      </c>
      <c r="M100" s="257">
        <f>P100+S100-62208</f>
        <v>0</v>
      </c>
      <c r="N100" s="257"/>
      <c r="O100" s="257">
        <f t="shared" si="41"/>
        <v>0</v>
      </c>
      <c r="P100" s="257">
        <f t="shared" si="42"/>
        <v>62208</v>
      </c>
      <c r="Q100" s="257"/>
      <c r="R100" s="257"/>
      <c r="S100" s="257">
        <f t="shared" si="33"/>
        <v>0</v>
      </c>
      <c r="T100" s="257">
        <f t="shared" si="43"/>
        <v>62208</v>
      </c>
      <c r="U100" s="257">
        <f t="shared" si="44"/>
        <v>-62208</v>
      </c>
      <c r="V100" s="257">
        <f t="shared" si="45"/>
        <v>0</v>
      </c>
      <c r="W100" s="257">
        <v>-62208</v>
      </c>
      <c r="X100" s="257"/>
      <c r="Y100" s="257"/>
      <c r="Z100" s="257"/>
      <c r="AA100" s="213"/>
      <c r="AB100" s="19" t="s">
        <v>979</v>
      </c>
      <c r="AC100" s="19">
        <v>747000</v>
      </c>
      <c r="AD100" s="257">
        <v>-62208</v>
      </c>
      <c r="AE100" s="257"/>
      <c r="AF100" s="257"/>
      <c r="AG100" s="257"/>
      <c r="AH100" s="257"/>
      <c r="AI100" s="257"/>
      <c r="AJ100" s="257">
        <f t="shared" si="34"/>
        <v>-62208</v>
      </c>
      <c r="AK100" s="257">
        <f t="shared" si="35"/>
        <v>0</v>
      </c>
      <c r="AL100" s="257"/>
      <c r="AM100" s="236"/>
      <c r="AN100" s="257">
        <f t="shared" si="36"/>
        <v>0</v>
      </c>
      <c r="AO100" s="257">
        <f t="shared" si="46"/>
        <v>0</v>
      </c>
      <c r="AP100" s="257"/>
      <c r="AQ100" s="257"/>
      <c r="AR100" s="257"/>
      <c r="AS100" s="257"/>
      <c r="AT100" s="257"/>
      <c r="AU100" s="257"/>
      <c r="AV100" s="257"/>
      <c r="AW100" s="257"/>
      <c r="AX100" s="257">
        <f t="shared" si="51"/>
        <v>0</v>
      </c>
      <c r="AY100" s="257">
        <f t="shared" si="47"/>
        <v>0</v>
      </c>
      <c r="AZ100" s="257"/>
      <c r="BA100" s="257"/>
      <c r="BB100" s="257"/>
      <c r="BC100" s="257"/>
      <c r="BD100" s="257"/>
      <c r="BE100" s="257">
        <f t="shared" si="48"/>
        <v>-62208</v>
      </c>
      <c r="BF100" s="257">
        <f t="shared" si="49"/>
        <v>0</v>
      </c>
      <c r="BG100" s="257">
        <f t="shared" si="37"/>
        <v>0</v>
      </c>
      <c r="BH100" s="257">
        <v>-62208</v>
      </c>
      <c r="BI100" s="257"/>
      <c r="BJ100" s="257"/>
      <c r="BK100" s="257"/>
      <c r="BL100" s="257"/>
      <c r="BN100" s="123"/>
      <c r="BO100" s="123"/>
      <c r="BP100" s="123"/>
      <c r="BQ100" s="123"/>
      <c r="BR100" s="123"/>
      <c r="BS100" s="123"/>
    </row>
    <row r="101" spans="1:71" s="569" customFormat="1" ht="30" customHeight="1">
      <c r="A101" s="213">
        <f t="shared" si="38"/>
        <v>96</v>
      </c>
      <c r="B101" s="19">
        <v>20028</v>
      </c>
      <c r="C101" s="19" t="s">
        <v>1151</v>
      </c>
      <c r="D101" s="257">
        <f>620000-21384</f>
        <v>598616</v>
      </c>
      <c r="E101" s="257">
        <v>620000</v>
      </c>
      <c r="F101" s="257">
        <f t="shared" si="39"/>
        <v>-21384</v>
      </c>
      <c r="G101" s="257">
        <v>620000</v>
      </c>
      <c r="H101" s="257">
        <v>598616</v>
      </c>
      <c r="I101" s="257"/>
      <c r="J101" s="257"/>
      <c r="K101" s="257">
        <f t="shared" si="32"/>
        <v>0</v>
      </c>
      <c r="L101" s="257">
        <f t="shared" si="40"/>
        <v>598616</v>
      </c>
      <c r="M101" s="257">
        <f>P101+S101-21384</f>
        <v>0</v>
      </c>
      <c r="N101" s="257"/>
      <c r="O101" s="257">
        <f t="shared" si="41"/>
        <v>0</v>
      </c>
      <c r="P101" s="257">
        <f t="shared" si="42"/>
        <v>21384</v>
      </c>
      <c r="Q101" s="257"/>
      <c r="R101" s="257"/>
      <c r="S101" s="257">
        <f t="shared" si="33"/>
        <v>0</v>
      </c>
      <c r="T101" s="257">
        <f t="shared" si="43"/>
        <v>21384</v>
      </c>
      <c r="U101" s="257">
        <f t="shared" si="44"/>
        <v>-21384</v>
      </c>
      <c r="V101" s="257">
        <f t="shared" si="45"/>
        <v>0</v>
      </c>
      <c r="W101" s="257">
        <v>-21384</v>
      </c>
      <c r="X101" s="257"/>
      <c r="Y101" s="257"/>
      <c r="Z101" s="257"/>
      <c r="AA101" s="213"/>
      <c r="AB101" s="19" t="s">
        <v>980</v>
      </c>
      <c r="AC101" s="19">
        <v>810000</v>
      </c>
      <c r="AD101" s="257">
        <v>-21384</v>
      </c>
      <c r="AE101" s="257"/>
      <c r="AF101" s="257"/>
      <c r="AG101" s="257"/>
      <c r="AH101" s="257"/>
      <c r="AI101" s="257"/>
      <c r="AJ101" s="257">
        <f t="shared" si="34"/>
        <v>-21384</v>
      </c>
      <c r="AK101" s="257">
        <f t="shared" si="35"/>
        <v>0</v>
      </c>
      <c r="AL101" s="257"/>
      <c r="AM101" s="236"/>
      <c r="AN101" s="257">
        <f t="shared" si="36"/>
        <v>0</v>
      </c>
      <c r="AO101" s="257">
        <f t="shared" si="46"/>
        <v>0</v>
      </c>
      <c r="AP101" s="257"/>
      <c r="AQ101" s="257"/>
      <c r="AR101" s="257"/>
      <c r="AS101" s="257"/>
      <c r="AT101" s="257"/>
      <c r="AU101" s="257"/>
      <c r="AV101" s="257"/>
      <c r="AW101" s="257"/>
      <c r="AX101" s="257">
        <f t="shared" si="51"/>
        <v>0</v>
      </c>
      <c r="AY101" s="257">
        <f t="shared" si="47"/>
        <v>0</v>
      </c>
      <c r="AZ101" s="257"/>
      <c r="BA101" s="257"/>
      <c r="BB101" s="257"/>
      <c r="BC101" s="257"/>
      <c r="BD101" s="257"/>
      <c r="BE101" s="257">
        <f t="shared" si="48"/>
        <v>-21384</v>
      </c>
      <c r="BF101" s="257">
        <f t="shared" si="49"/>
        <v>0</v>
      </c>
      <c r="BG101" s="257">
        <f t="shared" si="37"/>
        <v>0</v>
      </c>
      <c r="BH101" s="257">
        <v>-21384</v>
      </c>
      <c r="BI101" s="257"/>
      <c r="BJ101" s="257"/>
      <c r="BK101" s="257"/>
      <c r="BL101" s="257"/>
      <c r="BN101" s="123"/>
      <c r="BO101" s="123"/>
      <c r="BP101" s="123"/>
      <c r="BQ101" s="123"/>
      <c r="BR101" s="123"/>
      <c r="BS101" s="123"/>
    </row>
    <row r="102" spans="1:71" s="5" customFormat="1" ht="51" customHeight="1">
      <c r="A102" s="213">
        <f t="shared" si="38"/>
        <v>97</v>
      </c>
      <c r="B102" s="19">
        <v>20063</v>
      </c>
      <c r="C102" s="19" t="s">
        <v>564</v>
      </c>
      <c r="D102" s="257">
        <f>46500000-45500000+750000</f>
        <v>1750000</v>
      </c>
      <c r="E102" s="257">
        <v>1000000</v>
      </c>
      <c r="F102" s="257">
        <f t="shared" si="39"/>
        <v>750000</v>
      </c>
      <c r="G102" s="257">
        <v>150000</v>
      </c>
      <c r="H102" s="257">
        <v>379788</v>
      </c>
      <c r="I102" s="257"/>
      <c r="J102" s="257"/>
      <c r="K102" s="257">
        <f t="shared" si="32"/>
        <v>0</v>
      </c>
      <c r="L102" s="257">
        <f t="shared" si="40"/>
        <v>379788</v>
      </c>
      <c r="M102" s="257">
        <f>P102+S102-250000+130000</f>
        <v>212</v>
      </c>
      <c r="N102" s="257">
        <f>1500000-130000-500000</f>
        <v>870000</v>
      </c>
      <c r="O102" s="257">
        <f t="shared" si="41"/>
        <v>500000</v>
      </c>
      <c r="P102" s="257">
        <f t="shared" si="42"/>
        <v>-229788</v>
      </c>
      <c r="Q102" s="257">
        <v>350000</v>
      </c>
      <c r="R102" s="257"/>
      <c r="S102" s="257">
        <f t="shared" si="33"/>
        <v>350000</v>
      </c>
      <c r="T102" s="257">
        <f t="shared" si="43"/>
        <v>120000</v>
      </c>
      <c r="U102" s="257">
        <f t="shared" si="44"/>
        <v>750000</v>
      </c>
      <c r="V102" s="257">
        <f t="shared" si="45"/>
        <v>750000</v>
      </c>
      <c r="W102" s="257"/>
      <c r="X102" s="257"/>
      <c r="Y102" s="257"/>
      <c r="Z102" s="257"/>
      <c r="AA102" s="213"/>
      <c r="AB102" s="19" t="s">
        <v>531</v>
      </c>
      <c r="AC102" s="19">
        <v>850000</v>
      </c>
      <c r="AD102" s="257"/>
      <c r="AE102" s="257"/>
      <c r="AF102" s="257"/>
      <c r="AG102" s="257"/>
      <c r="AH102" s="257">
        <v>200000</v>
      </c>
      <c r="AI102" s="257"/>
      <c r="AJ102" s="257">
        <f t="shared" ref="AJ102:AJ117" si="52">SUM(AD102:AI102)+AL102</f>
        <v>200000</v>
      </c>
      <c r="AK102" s="257">
        <f t="shared" si="35"/>
        <v>550000</v>
      </c>
      <c r="AL102" s="257"/>
      <c r="AM102" s="236"/>
      <c r="AN102" s="257">
        <f t="shared" ref="AN102:AN117" si="53">AK102+AM102</f>
        <v>550000</v>
      </c>
      <c r="AO102" s="257">
        <f t="shared" si="46"/>
        <v>550000</v>
      </c>
      <c r="AP102" s="257"/>
      <c r="AQ102" s="257"/>
      <c r="AR102" s="257"/>
      <c r="AS102" s="257"/>
      <c r="AT102" s="257"/>
      <c r="AU102" s="257"/>
      <c r="AV102" s="257"/>
      <c r="AW102" s="257">
        <v>350000</v>
      </c>
      <c r="AX102" s="257">
        <f t="shared" si="51"/>
        <v>200000</v>
      </c>
      <c r="AY102" s="257">
        <f t="shared" si="47"/>
        <v>200000</v>
      </c>
      <c r="AZ102" s="257"/>
      <c r="BA102" s="257"/>
      <c r="BB102" s="257"/>
      <c r="BC102" s="257"/>
      <c r="BD102" s="257"/>
      <c r="BE102" s="257">
        <f t="shared" si="48"/>
        <v>400000</v>
      </c>
      <c r="BF102" s="257">
        <f t="shared" si="49"/>
        <v>350000</v>
      </c>
      <c r="BG102" s="257">
        <f t="shared" ref="BG102:BG117" si="54">BE102-BH102-BI102-BJ102-BK102-BL102</f>
        <v>400000</v>
      </c>
      <c r="BH102" s="257"/>
      <c r="BI102" s="257"/>
      <c r="BJ102" s="257"/>
      <c r="BK102" s="257"/>
      <c r="BL102" s="257"/>
      <c r="BN102" s="123"/>
      <c r="BO102" s="123"/>
      <c r="BP102" s="123"/>
      <c r="BQ102" s="123"/>
      <c r="BR102" s="123"/>
      <c r="BS102" s="123"/>
    </row>
    <row r="103" spans="1:71" s="5" customFormat="1" ht="30" customHeight="1">
      <c r="A103" s="213">
        <f t="shared" si="38"/>
        <v>98</v>
      </c>
      <c r="B103" s="19">
        <v>20064</v>
      </c>
      <c r="C103" s="19" t="s">
        <v>512</v>
      </c>
      <c r="D103" s="257">
        <v>2000000</v>
      </c>
      <c r="E103" s="257">
        <v>2000000</v>
      </c>
      <c r="F103" s="257">
        <f t="shared" si="39"/>
        <v>0</v>
      </c>
      <c r="G103" s="257">
        <v>100000</v>
      </c>
      <c r="H103" s="257">
        <v>125286</v>
      </c>
      <c r="I103" s="257"/>
      <c r="J103" s="257"/>
      <c r="K103" s="257">
        <f t="shared" si="32"/>
        <v>0</v>
      </c>
      <c r="L103" s="257">
        <f t="shared" si="40"/>
        <v>125286</v>
      </c>
      <c r="M103" s="257">
        <f>P103+S103-300000-70000</f>
        <v>4714</v>
      </c>
      <c r="N103" s="257">
        <f>300000+70000+100000</f>
        <v>470000</v>
      </c>
      <c r="O103" s="257">
        <f t="shared" si="41"/>
        <v>1400000</v>
      </c>
      <c r="P103" s="257">
        <f t="shared" si="42"/>
        <v>-25286</v>
      </c>
      <c r="Q103" s="257">
        <v>400000</v>
      </c>
      <c r="R103" s="257"/>
      <c r="S103" s="257">
        <f t="shared" si="33"/>
        <v>400000</v>
      </c>
      <c r="T103" s="257">
        <f t="shared" si="43"/>
        <v>370000</v>
      </c>
      <c r="U103" s="257">
        <f t="shared" si="44"/>
        <v>100000</v>
      </c>
      <c r="V103" s="257">
        <f t="shared" si="45"/>
        <v>100000</v>
      </c>
      <c r="W103" s="257"/>
      <c r="X103" s="257"/>
      <c r="Y103" s="257"/>
      <c r="Z103" s="257"/>
      <c r="AA103" s="213"/>
      <c r="AB103" s="19" t="s">
        <v>553</v>
      </c>
      <c r="AC103" s="19">
        <v>732000</v>
      </c>
      <c r="AD103" s="257"/>
      <c r="AE103" s="257"/>
      <c r="AF103" s="257"/>
      <c r="AG103" s="257"/>
      <c r="AH103" s="257"/>
      <c r="AI103" s="257"/>
      <c r="AJ103" s="257">
        <f t="shared" si="52"/>
        <v>0</v>
      </c>
      <c r="AK103" s="257">
        <f t="shared" si="35"/>
        <v>100000</v>
      </c>
      <c r="AL103" s="257"/>
      <c r="AM103" s="236"/>
      <c r="AN103" s="257">
        <f t="shared" si="53"/>
        <v>100000</v>
      </c>
      <c r="AO103" s="257">
        <f t="shared" si="46"/>
        <v>100000</v>
      </c>
      <c r="AP103" s="257"/>
      <c r="AQ103" s="257"/>
      <c r="AR103" s="257"/>
      <c r="AS103" s="257"/>
      <c r="AT103" s="257"/>
      <c r="AU103" s="257"/>
      <c r="AV103" s="257"/>
      <c r="AW103" s="257"/>
      <c r="AX103" s="257">
        <f t="shared" si="51"/>
        <v>100000</v>
      </c>
      <c r="AY103" s="257">
        <f t="shared" si="47"/>
        <v>100000</v>
      </c>
      <c r="AZ103" s="257"/>
      <c r="BA103" s="257"/>
      <c r="BB103" s="257"/>
      <c r="BC103" s="257"/>
      <c r="BD103" s="257"/>
      <c r="BE103" s="257">
        <f t="shared" si="48"/>
        <v>100000</v>
      </c>
      <c r="BF103" s="257">
        <f t="shared" si="49"/>
        <v>0</v>
      </c>
      <c r="BG103" s="257">
        <f t="shared" si="54"/>
        <v>100000</v>
      </c>
      <c r="BH103" s="257"/>
      <c r="BI103" s="257"/>
      <c r="BJ103" s="257"/>
      <c r="BK103" s="257"/>
      <c r="BL103" s="257"/>
      <c r="BN103" s="123"/>
      <c r="BO103" s="123"/>
      <c r="BP103" s="123"/>
      <c r="BQ103" s="123"/>
      <c r="BR103" s="123"/>
      <c r="BS103" s="123"/>
    </row>
    <row r="104" spans="1:71" s="5" customFormat="1" ht="30" customHeight="1">
      <c r="A104" s="213">
        <f t="shared" si="38"/>
        <v>99</v>
      </c>
      <c r="B104" s="19">
        <v>20081</v>
      </c>
      <c r="C104" s="19" t="s">
        <v>592</v>
      </c>
      <c r="D104" s="257">
        <f>39000000+11000000+7500000</f>
        <v>57500000</v>
      </c>
      <c r="E104" s="257">
        <v>39000000</v>
      </c>
      <c r="F104" s="257">
        <f t="shared" si="39"/>
        <v>18500000</v>
      </c>
      <c r="G104" s="257">
        <f>10500000+28500000</f>
        <v>39000000</v>
      </c>
      <c r="H104" s="257">
        <v>33957035</v>
      </c>
      <c r="I104" s="257"/>
      <c r="J104" s="257"/>
      <c r="K104" s="257">
        <f t="shared" si="32"/>
        <v>0</v>
      </c>
      <c r="L104" s="257">
        <f t="shared" si="40"/>
        <v>33957035</v>
      </c>
      <c r="M104" s="257">
        <f>P104+S104-5000000-40000</f>
        <v>2965</v>
      </c>
      <c r="N104" s="257">
        <f>11000000+7500000+5000000-2000000+40000</f>
        <v>21540000</v>
      </c>
      <c r="O104" s="257">
        <f t="shared" si="41"/>
        <v>2000000</v>
      </c>
      <c r="P104" s="257">
        <f t="shared" si="42"/>
        <v>5042965</v>
      </c>
      <c r="Q104" s="257"/>
      <c r="R104" s="257">
        <f>28500000-28500000</f>
        <v>0</v>
      </c>
      <c r="S104" s="257">
        <f t="shared" si="33"/>
        <v>0</v>
      </c>
      <c r="T104" s="257">
        <f t="shared" si="43"/>
        <v>5040000</v>
      </c>
      <c r="U104" s="257">
        <f t="shared" si="44"/>
        <v>16500000</v>
      </c>
      <c r="V104" s="257">
        <f t="shared" si="45"/>
        <v>16500000</v>
      </c>
      <c r="W104" s="257"/>
      <c r="X104" s="257"/>
      <c r="Y104" s="257"/>
      <c r="Z104" s="257"/>
      <c r="AA104" s="213"/>
      <c r="AB104" s="19" t="s">
        <v>790</v>
      </c>
      <c r="AC104" s="19">
        <v>829000</v>
      </c>
      <c r="AD104" s="257"/>
      <c r="AE104" s="257"/>
      <c r="AF104" s="257">
        <f>3000000+1200000</f>
        <v>4200000</v>
      </c>
      <c r="AG104" s="257">
        <f>3500000+2000000</f>
        <v>5500000</v>
      </c>
      <c r="AH104" s="257">
        <v>1800000</v>
      </c>
      <c r="AI104" s="257"/>
      <c r="AJ104" s="257">
        <f t="shared" si="52"/>
        <v>11500000</v>
      </c>
      <c r="AK104" s="257">
        <f t="shared" si="35"/>
        <v>5000000</v>
      </c>
      <c r="AL104" s="257"/>
      <c r="AM104" s="236"/>
      <c r="AN104" s="257">
        <f t="shared" si="53"/>
        <v>5000000</v>
      </c>
      <c r="AO104" s="257">
        <f t="shared" si="46"/>
        <v>5000000</v>
      </c>
      <c r="AP104" s="257"/>
      <c r="AQ104" s="257"/>
      <c r="AR104" s="257"/>
      <c r="AS104" s="257"/>
      <c r="AT104" s="257"/>
      <c r="AU104" s="257">
        <v>3000000</v>
      </c>
      <c r="AV104" s="257">
        <v>7000000</v>
      </c>
      <c r="AW104" s="257"/>
      <c r="AX104" s="257">
        <f t="shared" si="51"/>
        <v>5000000</v>
      </c>
      <c r="AY104" s="257">
        <f t="shared" si="47"/>
        <v>5000000</v>
      </c>
      <c r="AZ104" s="257"/>
      <c r="BA104" s="257"/>
      <c r="BB104" s="257"/>
      <c r="BC104" s="257"/>
      <c r="BD104" s="257"/>
      <c r="BE104" s="257">
        <f t="shared" si="48"/>
        <v>16500000</v>
      </c>
      <c r="BF104" s="257">
        <f t="shared" si="49"/>
        <v>0</v>
      </c>
      <c r="BG104" s="257">
        <f t="shared" si="54"/>
        <v>16500000</v>
      </c>
      <c r="BH104" s="257"/>
      <c r="BI104" s="257"/>
      <c r="BJ104" s="257"/>
      <c r="BK104" s="257"/>
      <c r="BL104" s="257"/>
      <c r="BN104" s="123"/>
      <c r="BO104" s="123"/>
      <c r="BP104" s="123"/>
      <c r="BQ104" s="123"/>
      <c r="BR104" s="123"/>
      <c r="BS104" s="123"/>
    </row>
    <row r="105" spans="1:71" s="5" customFormat="1" ht="30" customHeight="1">
      <c r="A105" s="213">
        <f t="shared" si="38"/>
        <v>100</v>
      </c>
      <c r="B105" s="19">
        <v>20082</v>
      </c>
      <c r="C105" s="19" t="s">
        <v>578</v>
      </c>
      <c r="D105" s="257">
        <v>500000</v>
      </c>
      <c r="E105" s="257">
        <v>500000</v>
      </c>
      <c r="F105" s="257">
        <f t="shared" si="39"/>
        <v>0</v>
      </c>
      <c r="G105" s="257">
        <v>500000</v>
      </c>
      <c r="H105" s="257">
        <v>7131</v>
      </c>
      <c r="I105" s="257"/>
      <c r="J105" s="257"/>
      <c r="K105" s="257">
        <f t="shared" si="32"/>
        <v>0</v>
      </c>
      <c r="L105" s="257">
        <f t="shared" si="40"/>
        <v>7131</v>
      </c>
      <c r="M105" s="257">
        <f>P105+S105-490000</f>
        <v>2869</v>
      </c>
      <c r="N105" s="257">
        <v>490000</v>
      </c>
      <c r="O105" s="257">
        <f t="shared" si="41"/>
        <v>0</v>
      </c>
      <c r="P105" s="257">
        <f t="shared" si="42"/>
        <v>492869</v>
      </c>
      <c r="Q105" s="257"/>
      <c r="R105" s="257"/>
      <c r="S105" s="257">
        <f t="shared" si="33"/>
        <v>0</v>
      </c>
      <c r="T105" s="257">
        <f t="shared" si="43"/>
        <v>490000</v>
      </c>
      <c r="U105" s="257">
        <f t="shared" si="44"/>
        <v>0</v>
      </c>
      <c r="V105" s="257">
        <f t="shared" si="45"/>
        <v>0</v>
      </c>
      <c r="W105" s="257"/>
      <c r="X105" s="257"/>
      <c r="Y105" s="257"/>
      <c r="Z105" s="257"/>
      <c r="AA105" s="213"/>
      <c r="AB105" s="19" t="s">
        <v>595</v>
      </c>
      <c r="AC105" s="19">
        <v>810000</v>
      </c>
      <c r="AD105" s="257"/>
      <c r="AE105" s="257"/>
      <c r="AF105" s="257"/>
      <c r="AG105" s="257"/>
      <c r="AH105" s="257"/>
      <c r="AI105" s="257"/>
      <c r="AJ105" s="257">
        <f t="shared" si="52"/>
        <v>0</v>
      </c>
      <c r="AK105" s="257">
        <f t="shared" si="35"/>
        <v>0</v>
      </c>
      <c r="AL105" s="257"/>
      <c r="AM105" s="236"/>
      <c r="AN105" s="257">
        <f t="shared" si="53"/>
        <v>0</v>
      </c>
      <c r="AO105" s="257">
        <f t="shared" si="46"/>
        <v>0</v>
      </c>
      <c r="AP105" s="257"/>
      <c r="AQ105" s="257"/>
      <c r="AR105" s="257"/>
      <c r="AS105" s="257"/>
      <c r="AT105" s="257"/>
      <c r="AU105" s="257"/>
      <c r="AV105" s="257"/>
      <c r="AW105" s="257"/>
      <c r="AX105" s="257">
        <f t="shared" si="51"/>
        <v>0</v>
      </c>
      <c r="AY105" s="257">
        <f t="shared" si="47"/>
        <v>0</v>
      </c>
      <c r="AZ105" s="257"/>
      <c r="BA105" s="257"/>
      <c r="BB105" s="257"/>
      <c r="BC105" s="257"/>
      <c r="BD105" s="257"/>
      <c r="BE105" s="257">
        <f t="shared" si="48"/>
        <v>0</v>
      </c>
      <c r="BF105" s="257">
        <f t="shared" si="49"/>
        <v>0</v>
      </c>
      <c r="BG105" s="257">
        <f t="shared" si="54"/>
        <v>0</v>
      </c>
      <c r="BH105" s="257"/>
      <c r="BI105" s="257"/>
      <c r="BJ105" s="257"/>
      <c r="BK105" s="257"/>
      <c r="BL105" s="257"/>
      <c r="BN105" s="123"/>
      <c r="BO105" s="123"/>
      <c r="BP105" s="123"/>
      <c r="BQ105" s="123"/>
      <c r="BR105" s="123"/>
      <c r="BS105" s="123"/>
    </row>
    <row r="106" spans="1:71" s="5" customFormat="1" ht="30" customHeight="1">
      <c r="A106" s="213">
        <f t="shared" si="38"/>
        <v>101</v>
      </c>
      <c r="B106" s="19">
        <v>20083</v>
      </c>
      <c r="C106" s="19" t="s">
        <v>579</v>
      </c>
      <c r="D106" s="257">
        <v>500000</v>
      </c>
      <c r="E106" s="257">
        <v>500000</v>
      </c>
      <c r="F106" s="257">
        <f>D106-E106</f>
        <v>0</v>
      </c>
      <c r="G106" s="257">
        <v>500000</v>
      </c>
      <c r="H106" s="257">
        <v>0</v>
      </c>
      <c r="I106" s="257"/>
      <c r="J106" s="257"/>
      <c r="K106" s="257">
        <f>SUM(I106:J106)</f>
        <v>0</v>
      </c>
      <c r="L106" s="257">
        <f>K106+H106</f>
        <v>0</v>
      </c>
      <c r="M106" s="257">
        <f>P106+S106-500000</f>
        <v>0</v>
      </c>
      <c r="N106" s="257">
        <v>250000</v>
      </c>
      <c r="O106" s="257">
        <f>D106-L106-M106-N106</f>
        <v>250000</v>
      </c>
      <c r="P106" s="257">
        <f>G106-L106</f>
        <v>500000</v>
      </c>
      <c r="Q106" s="257"/>
      <c r="R106" s="257"/>
      <c r="S106" s="257">
        <f>SUM(Q106:R106)</f>
        <v>0</v>
      </c>
      <c r="T106" s="257">
        <f>P106-M106+S106</f>
        <v>500000</v>
      </c>
      <c r="U106" s="257">
        <f>N106-T106</f>
        <v>-250000</v>
      </c>
      <c r="V106" s="257">
        <f>U106-Z106-X106-AA106-W106-Y106</f>
        <v>-250000</v>
      </c>
      <c r="W106" s="257"/>
      <c r="X106" s="257"/>
      <c r="Y106" s="257"/>
      <c r="Z106" s="257"/>
      <c r="AA106" s="213"/>
      <c r="AB106" s="19" t="s">
        <v>594</v>
      </c>
      <c r="AC106" s="19">
        <v>810000</v>
      </c>
      <c r="AD106" s="257">
        <v>-250000</v>
      </c>
      <c r="AE106" s="257"/>
      <c r="AF106" s="257"/>
      <c r="AG106" s="257"/>
      <c r="AH106" s="257"/>
      <c r="AI106" s="257"/>
      <c r="AJ106" s="257">
        <f t="shared" si="52"/>
        <v>-250000</v>
      </c>
      <c r="AK106" s="257">
        <f t="shared" si="35"/>
        <v>0</v>
      </c>
      <c r="AL106" s="257"/>
      <c r="AM106" s="236"/>
      <c r="AN106" s="257">
        <f t="shared" si="53"/>
        <v>0</v>
      </c>
      <c r="AO106" s="257">
        <f t="shared" si="46"/>
        <v>0</v>
      </c>
      <c r="AP106" s="257"/>
      <c r="AQ106" s="257"/>
      <c r="AR106" s="257"/>
      <c r="AS106" s="257"/>
      <c r="AT106" s="257"/>
      <c r="AU106" s="257"/>
      <c r="AV106" s="257"/>
      <c r="AW106" s="257"/>
      <c r="AX106" s="257">
        <f t="shared" si="51"/>
        <v>0</v>
      </c>
      <c r="AY106" s="257">
        <f t="shared" si="47"/>
        <v>0</v>
      </c>
      <c r="AZ106" s="257"/>
      <c r="BA106" s="257"/>
      <c r="BB106" s="257"/>
      <c r="BC106" s="257"/>
      <c r="BD106" s="257"/>
      <c r="BE106" s="257">
        <f t="shared" si="48"/>
        <v>-250000</v>
      </c>
      <c r="BF106" s="257">
        <f t="shared" si="49"/>
        <v>0</v>
      </c>
      <c r="BG106" s="257">
        <f t="shared" si="54"/>
        <v>-250000</v>
      </c>
      <c r="BH106" s="257"/>
      <c r="BI106" s="257"/>
      <c r="BJ106" s="257"/>
      <c r="BK106" s="257"/>
      <c r="BL106" s="257"/>
      <c r="BN106" s="123"/>
      <c r="BO106" s="123"/>
      <c r="BP106" s="123"/>
      <c r="BQ106" s="123"/>
      <c r="BR106" s="123"/>
      <c r="BS106" s="123"/>
    </row>
    <row r="107" spans="1:71" s="5" customFormat="1" ht="30" customHeight="1">
      <c r="A107" s="213">
        <f t="shared" si="38"/>
        <v>102</v>
      </c>
      <c r="B107" s="19">
        <v>20084</v>
      </c>
      <c r="C107" s="19" t="s">
        <v>580</v>
      </c>
      <c r="D107" s="257">
        <f>129500000-20500000</f>
        <v>109000000</v>
      </c>
      <c r="E107" s="257">
        <v>500000</v>
      </c>
      <c r="F107" s="257">
        <f>D107-E107</f>
        <v>108500000</v>
      </c>
      <c r="G107" s="257">
        <v>500000</v>
      </c>
      <c r="H107" s="257">
        <v>194491</v>
      </c>
      <c r="I107" s="257"/>
      <c r="J107" s="257">
        <v>300314</v>
      </c>
      <c r="K107" s="257">
        <f>SUM(I107:J107)</f>
        <v>300314</v>
      </c>
      <c r="L107" s="257">
        <f>K107+H107</f>
        <v>494805</v>
      </c>
      <c r="M107" s="257">
        <f>P107+S107</f>
        <v>5195</v>
      </c>
      <c r="N107" s="257">
        <f>33000000-8000000-10000000</f>
        <v>15000000</v>
      </c>
      <c r="O107" s="257">
        <f>D107-L107-M107-N107</f>
        <v>93500000</v>
      </c>
      <c r="P107" s="257">
        <f>G107-L107</f>
        <v>5195</v>
      </c>
      <c r="Q107" s="257"/>
      <c r="R107" s="257"/>
      <c r="S107" s="257">
        <f>SUM(Q107:R107)</f>
        <v>0</v>
      </c>
      <c r="T107" s="257">
        <f>P107-M107+S107</f>
        <v>0</v>
      </c>
      <c r="U107" s="257">
        <f>N107-T107</f>
        <v>15000000</v>
      </c>
      <c r="V107" s="257">
        <f>U107-Z107-X107-AA107-W107-Y107</f>
        <v>0</v>
      </c>
      <c r="W107" s="257"/>
      <c r="X107" s="257"/>
      <c r="Y107" s="257">
        <v>14736186</v>
      </c>
      <c r="Z107" s="257"/>
      <c r="AA107" s="257">
        <f>3510000+263814-3510000</f>
        <v>263814</v>
      </c>
      <c r="AB107" s="19" t="s">
        <v>762</v>
      </c>
      <c r="AC107" s="19">
        <v>742000</v>
      </c>
      <c r="AD107" s="257"/>
      <c r="AE107" s="257">
        <v>1000000</v>
      </c>
      <c r="AF107" s="257"/>
      <c r="AG107" s="257">
        <v>263814</v>
      </c>
      <c r="AH107" s="257"/>
      <c r="AI107" s="257"/>
      <c r="AJ107" s="257">
        <f t="shared" si="52"/>
        <v>1263814</v>
      </c>
      <c r="AK107" s="257">
        <f t="shared" si="35"/>
        <v>13736186</v>
      </c>
      <c r="AL107" s="257"/>
      <c r="AM107" s="236"/>
      <c r="AN107" s="257">
        <f t="shared" si="53"/>
        <v>13736186</v>
      </c>
      <c r="AO107" s="257">
        <f t="shared" si="46"/>
        <v>0</v>
      </c>
      <c r="AP107" s="257"/>
      <c r="AQ107" s="257"/>
      <c r="AR107" s="257">
        <v>13736186</v>
      </c>
      <c r="AS107" s="257"/>
      <c r="AT107" s="257"/>
      <c r="AU107" s="257"/>
      <c r="AV107" s="257"/>
      <c r="AW107" s="257">
        <v>8736186</v>
      </c>
      <c r="AX107" s="257">
        <f t="shared" si="51"/>
        <v>5000000</v>
      </c>
      <c r="AY107" s="257">
        <f t="shared" si="47"/>
        <v>0</v>
      </c>
      <c r="AZ107" s="257"/>
      <c r="BA107" s="257"/>
      <c r="BB107" s="257">
        <v>5000000</v>
      </c>
      <c r="BC107" s="257"/>
      <c r="BD107" s="257"/>
      <c r="BE107" s="257">
        <f t="shared" si="48"/>
        <v>6263814</v>
      </c>
      <c r="BF107" s="257">
        <f t="shared" si="49"/>
        <v>8736186</v>
      </c>
      <c r="BG107" s="257">
        <f t="shared" si="54"/>
        <v>0</v>
      </c>
      <c r="BH107" s="257"/>
      <c r="BI107" s="257"/>
      <c r="BJ107" s="257">
        <v>6000000</v>
      </c>
      <c r="BK107" s="257"/>
      <c r="BL107" s="257">
        <v>263814</v>
      </c>
      <c r="BN107" s="123"/>
      <c r="BO107" s="123"/>
      <c r="BP107" s="123"/>
      <c r="BQ107" s="123"/>
      <c r="BR107" s="123"/>
      <c r="BS107" s="123"/>
    </row>
    <row r="108" spans="1:71" s="5" customFormat="1" ht="30" customHeight="1">
      <c r="A108" s="213">
        <f t="shared" si="38"/>
        <v>103</v>
      </c>
      <c r="B108" s="19">
        <v>20087</v>
      </c>
      <c r="C108" s="19" t="s">
        <v>581</v>
      </c>
      <c r="D108" s="257">
        <f>7500000+1000000</f>
        <v>8500000</v>
      </c>
      <c r="E108" s="257">
        <v>7500000</v>
      </c>
      <c r="F108" s="257">
        <f>D108-E108</f>
        <v>1000000</v>
      </c>
      <c r="G108" s="257">
        <v>0</v>
      </c>
      <c r="H108" s="257">
        <v>1624132</v>
      </c>
      <c r="I108" s="257"/>
      <c r="J108" s="257"/>
      <c r="K108" s="257">
        <f>SUM(I108:J108)</f>
        <v>0</v>
      </c>
      <c r="L108" s="257">
        <f>K108+H108</f>
        <v>1624132</v>
      </c>
      <c r="M108" s="257">
        <f>P108+S108-6500000+1000000+500000-870000</f>
        <v>5868</v>
      </c>
      <c r="N108" s="257">
        <f>6500000-1000000+1000000-500000+870000</f>
        <v>6870000</v>
      </c>
      <c r="O108" s="257">
        <f>D108-L108-M108-N108</f>
        <v>0</v>
      </c>
      <c r="P108" s="257">
        <f>G108-L108</f>
        <v>-1624132</v>
      </c>
      <c r="Q108" s="257"/>
      <c r="R108" s="257">
        <v>7500000</v>
      </c>
      <c r="S108" s="257">
        <f>SUM(Q108:R108)</f>
        <v>7500000</v>
      </c>
      <c r="T108" s="257">
        <f>P108-M108+S108</f>
        <v>5870000</v>
      </c>
      <c r="U108" s="257">
        <f>N108-T108</f>
        <v>1000000</v>
      </c>
      <c r="V108" s="257">
        <f>U108-Z108-X108-AA108-W108-Y108</f>
        <v>0</v>
      </c>
      <c r="W108" s="257"/>
      <c r="X108" s="257"/>
      <c r="Y108" s="257">
        <v>1000000</v>
      </c>
      <c r="Z108" s="257"/>
      <c r="AA108" s="213"/>
      <c r="AB108" s="19" t="s">
        <v>761</v>
      </c>
      <c r="AC108" s="19">
        <v>742000</v>
      </c>
      <c r="AD108" s="257"/>
      <c r="AE108" s="257"/>
      <c r="AF108" s="257"/>
      <c r="AG108" s="257"/>
      <c r="AH108" s="257"/>
      <c r="AI108" s="257"/>
      <c r="AJ108" s="257">
        <f t="shared" si="52"/>
        <v>0</v>
      </c>
      <c r="AK108" s="257">
        <f t="shared" si="35"/>
        <v>1000000</v>
      </c>
      <c r="AL108" s="257"/>
      <c r="AM108" s="236"/>
      <c r="AN108" s="257">
        <f t="shared" si="53"/>
        <v>1000000</v>
      </c>
      <c r="AO108" s="257">
        <f t="shared" si="46"/>
        <v>0</v>
      </c>
      <c r="AP108" s="257"/>
      <c r="AQ108" s="257"/>
      <c r="AR108" s="257">
        <v>1000000</v>
      </c>
      <c r="AS108" s="257"/>
      <c r="AT108" s="257"/>
      <c r="AU108" s="257"/>
      <c r="AV108" s="257"/>
      <c r="AW108" s="257"/>
      <c r="AX108" s="257">
        <f t="shared" si="51"/>
        <v>1000000</v>
      </c>
      <c r="AY108" s="257">
        <f t="shared" si="47"/>
        <v>0</v>
      </c>
      <c r="AZ108" s="257"/>
      <c r="BA108" s="257"/>
      <c r="BB108" s="257">
        <v>1000000</v>
      </c>
      <c r="BC108" s="257"/>
      <c r="BD108" s="257"/>
      <c r="BE108" s="257">
        <f t="shared" si="48"/>
        <v>1000000</v>
      </c>
      <c r="BF108" s="257">
        <f t="shared" si="49"/>
        <v>0</v>
      </c>
      <c r="BG108" s="257">
        <f t="shared" si="54"/>
        <v>0</v>
      </c>
      <c r="BH108" s="257"/>
      <c r="BI108" s="257"/>
      <c r="BJ108" s="257">
        <v>1000000</v>
      </c>
      <c r="BK108" s="257"/>
      <c r="BL108" s="257"/>
      <c r="BN108" s="123"/>
      <c r="BO108" s="123"/>
      <c r="BP108" s="123"/>
      <c r="BQ108" s="123"/>
      <c r="BR108" s="123"/>
      <c r="BS108" s="123"/>
    </row>
    <row r="109" spans="1:71" s="5" customFormat="1" ht="30" customHeight="1">
      <c r="A109" s="213">
        <f t="shared" si="38"/>
        <v>104</v>
      </c>
      <c r="B109" s="19">
        <v>20093</v>
      </c>
      <c r="C109" s="19" t="s">
        <v>582</v>
      </c>
      <c r="D109" s="257">
        <v>12000000</v>
      </c>
      <c r="E109" s="257">
        <v>250000</v>
      </c>
      <c r="F109" s="257">
        <f>D109-E109</f>
        <v>11750000</v>
      </c>
      <c r="G109" s="257">
        <v>250000</v>
      </c>
      <c r="H109" s="257">
        <v>14270</v>
      </c>
      <c r="I109" s="257"/>
      <c r="J109" s="257"/>
      <c r="K109" s="257">
        <f>SUM(I109:J109)</f>
        <v>0</v>
      </c>
      <c r="L109" s="257">
        <f>K109+H109</f>
        <v>14270</v>
      </c>
      <c r="M109" s="257">
        <f>P109+S109-230000</f>
        <v>5730</v>
      </c>
      <c r="N109" s="257">
        <f>11750000+230000-1750000</f>
        <v>10230000</v>
      </c>
      <c r="O109" s="257">
        <f>D109-L109-M109-N109</f>
        <v>1750000</v>
      </c>
      <c r="P109" s="257">
        <f>G109-L109</f>
        <v>235730</v>
      </c>
      <c r="Q109" s="257"/>
      <c r="R109" s="257"/>
      <c r="S109" s="257">
        <f>SUM(Q109:R109)</f>
        <v>0</v>
      </c>
      <c r="T109" s="257">
        <f>P109-M109+S109</f>
        <v>230000</v>
      </c>
      <c r="U109" s="257">
        <f>N109-T109</f>
        <v>10000000</v>
      </c>
      <c r="V109" s="257">
        <f>U109-Z109-X109-AA109-W109-Y109</f>
        <v>7523000</v>
      </c>
      <c r="W109" s="257"/>
      <c r="X109" s="257"/>
      <c r="Y109" s="257"/>
      <c r="Z109" s="257"/>
      <c r="AA109" s="257">
        <v>2477000</v>
      </c>
      <c r="AB109" s="19" t="s">
        <v>705</v>
      </c>
      <c r="AC109" s="19">
        <v>829000</v>
      </c>
      <c r="AD109" s="257"/>
      <c r="AE109" s="257">
        <v>1500000</v>
      </c>
      <c r="AF109" s="257">
        <v>1000000</v>
      </c>
      <c r="AG109" s="257"/>
      <c r="AH109" s="257">
        <v>1000000</v>
      </c>
      <c r="AI109" s="257"/>
      <c r="AJ109" s="257">
        <f t="shared" si="52"/>
        <v>3500000</v>
      </c>
      <c r="AK109" s="257">
        <f t="shared" si="35"/>
        <v>6500000</v>
      </c>
      <c r="AL109" s="257"/>
      <c r="AM109" s="236"/>
      <c r="AN109" s="257">
        <f t="shared" si="53"/>
        <v>6500000</v>
      </c>
      <c r="AO109" s="257">
        <f t="shared" si="46"/>
        <v>4023000</v>
      </c>
      <c r="AP109" s="257"/>
      <c r="AQ109" s="257"/>
      <c r="AR109" s="257"/>
      <c r="AS109" s="257"/>
      <c r="AT109" s="257">
        <v>2477000</v>
      </c>
      <c r="AU109" s="257"/>
      <c r="AV109" s="257"/>
      <c r="AW109" s="257">
        <v>2500000</v>
      </c>
      <c r="AX109" s="257">
        <f t="shared" si="51"/>
        <v>4000000</v>
      </c>
      <c r="AY109" s="257">
        <f t="shared" si="47"/>
        <v>1523000</v>
      </c>
      <c r="AZ109" s="257"/>
      <c r="BA109" s="257"/>
      <c r="BB109" s="257"/>
      <c r="BC109" s="257"/>
      <c r="BD109" s="257">
        <v>2477000</v>
      </c>
      <c r="BE109" s="257">
        <f t="shared" si="48"/>
        <v>7500000</v>
      </c>
      <c r="BF109" s="257">
        <f t="shared" si="49"/>
        <v>2500000</v>
      </c>
      <c r="BG109" s="257">
        <f t="shared" si="54"/>
        <v>5023000</v>
      </c>
      <c r="BH109" s="257"/>
      <c r="BI109" s="257"/>
      <c r="BJ109" s="257"/>
      <c r="BK109" s="257"/>
      <c r="BL109" s="257">
        <v>2477000</v>
      </c>
      <c r="BN109" s="123"/>
      <c r="BO109" s="123"/>
      <c r="BP109" s="123"/>
      <c r="BQ109" s="123"/>
      <c r="BR109" s="123"/>
      <c r="BS109" s="123"/>
    </row>
    <row r="110" spans="1:71" s="5" customFormat="1" ht="30" customHeight="1">
      <c r="A110" s="213">
        <f t="shared" si="38"/>
        <v>105</v>
      </c>
      <c r="B110" s="19">
        <v>20097</v>
      </c>
      <c r="C110" s="19" t="s">
        <v>583</v>
      </c>
      <c r="D110" s="257">
        <v>2900000</v>
      </c>
      <c r="E110" s="257">
        <v>1000000</v>
      </c>
      <c r="F110" s="257">
        <f>D110-E110</f>
        <v>1900000</v>
      </c>
      <c r="G110" s="257">
        <v>0</v>
      </c>
      <c r="H110" s="257"/>
      <c r="I110" s="257"/>
      <c r="J110" s="257"/>
      <c r="K110" s="257">
        <f>SUM(I110:J110)</f>
        <v>0</v>
      </c>
      <c r="L110" s="257">
        <f>K110+H110</f>
        <v>0</v>
      </c>
      <c r="M110" s="257">
        <f>P110+S110</f>
        <v>0</v>
      </c>
      <c r="N110" s="257">
        <v>2900000</v>
      </c>
      <c r="O110" s="257">
        <f>D110-L110-M110-N110</f>
        <v>0</v>
      </c>
      <c r="P110" s="257">
        <f>G110-L110</f>
        <v>0</v>
      </c>
      <c r="Q110" s="257"/>
      <c r="R110" s="257"/>
      <c r="S110" s="257">
        <f>SUM(Q110:R110)</f>
        <v>0</v>
      </c>
      <c r="T110" s="257">
        <f>P110-M110+S110</f>
        <v>0</v>
      </c>
      <c r="U110" s="257">
        <f>N110-T110</f>
        <v>2900000</v>
      </c>
      <c r="V110" s="257">
        <f>U110-Z110-X110-AA110-W110-Y110</f>
        <v>2300000</v>
      </c>
      <c r="W110" s="257"/>
      <c r="X110" s="257"/>
      <c r="Y110" s="257"/>
      <c r="Z110" s="257"/>
      <c r="AA110" s="257">
        <v>600000</v>
      </c>
      <c r="AB110" s="19" t="s">
        <v>791</v>
      </c>
      <c r="AC110" s="19">
        <v>930000</v>
      </c>
      <c r="AD110" s="257"/>
      <c r="AE110" s="257"/>
      <c r="AF110" s="257"/>
      <c r="AG110" s="257"/>
      <c r="AH110" s="257"/>
      <c r="AI110" s="257"/>
      <c r="AJ110" s="257">
        <f t="shared" si="52"/>
        <v>0</v>
      </c>
      <c r="AK110" s="257">
        <f t="shared" si="35"/>
        <v>2900000</v>
      </c>
      <c r="AL110" s="257"/>
      <c r="AM110" s="236"/>
      <c r="AN110" s="257">
        <f t="shared" si="53"/>
        <v>2900000</v>
      </c>
      <c r="AO110" s="257">
        <f t="shared" si="46"/>
        <v>2300000</v>
      </c>
      <c r="AP110" s="257"/>
      <c r="AQ110" s="257"/>
      <c r="AR110" s="257"/>
      <c r="AS110" s="257"/>
      <c r="AT110" s="257">
        <v>600000</v>
      </c>
      <c r="AU110" s="257"/>
      <c r="AV110" s="257"/>
      <c r="AW110" s="257">
        <v>2900000</v>
      </c>
      <c r="AX110" s="257">
        <f t="shared" si="51"/>
        <v>0</v>
      </c>
      <c r="AY110" s="257">
        <f t="shared" si="47"/>
        <v>0</v>
      </c>
      <c r="AZ110" s="257"/>
      <c r="BA110" s="257"/>
      <c r="BB110" s="257"/>
      <c r="BC110" s="257"/>
      <c r="BD110" s="257"/>
      <c r="BE110" s="257">
        <f t="shared" si="48"/>
        <v>0</v>
      </c>
      <c r="BF110" s="257">
        <f t="shared" si="49"/>
        <v>2900000</v>
      </c>
      <c r="BG110" s="257">
        <f t="shared" si="54"/>
        <v>0</v>
      </c>
      <c r="BH110" s="257"/>
      <c r="BI110" s="257"/>
      <c r="BJ110" s="257"/>
      <c r="BK110" s="257"/>
      <c r="BL110" s="257"/>
      <c r="BN110" s="123"/>
      <c r="BO110" s="123"/>
      <c r="BP110" s="123"/>
      <c r="BQ110" s="123"/>
      <c r="BR110" s="123"/>
      <c r="BS110" s="123"/>
    </row>
    <row r="111" spans="1:71" s="5" customFormat="1" ht="30" customHeight="1">
      <c r="A111" s="213">
        <f t="shared" si="38"/>
        <v>106</v>
      </c>
      <c r="B111" s="19">
        <v>20098</v>
      </c>
      <c r="C111" s="19" t="s">
        <v>584</v>
      </c>
      <c r="D111" s="257">
        <f>250000+250000</f>
        <v>500000</v>
      </c>
      <c r="E111" s="257">
        <v>250000</v>
      </c>
      <c r="F111" s="257">
        <f t="shared" si="39"/>
        <v>250000</v>
      </c>
      <c r="G111" s="257">
        <v>250000</v>
      </c>
      <c r="H111" s="257">
        <v>24336</v>
      </c>
      <c r="I111" s="257"/>
      <c r="J111" s="257"/>
      <c r="K111" s="257">
        <f t="shared" si="32"/>
        <v>0</v>
      </c>
      <c r="L111" s="257">
        <f t="shared" si="40"/>
        <v>24336</v>
      </c>
      <c r="M111" s="257">
        <f>P111+S111-200000-25000</f>
        <v>664</v>
      </c>
      <c r="N111" s="257">
        <f>450000-250000+25000</f>
        <v>225000</v>
      </c>
      <c r="O111" s="257">
        <f t="shared" si="41"/>
        <v>250000</v>
      </c>
      <c r="P111" s="257">
        <f t="shared" si="42"/>
        <v>225664</v>
      </c>
      <c r="Q111" s="257"/>
      <c r="R111" s="257"/>
      <c r="S111" s="257">
        <f t="shared" si="33"/>
        <v>0</v>
      </c>
      <c r="T111" s="257">
        <f t="shared" si="43"/>
        <v>225000</v>
      </c>
      <c r="U111" s="257">
        <f t="shared" si="44"/>
        <v>0</v>
      </c>
      <c r="V111" s="257">
        <f t="shared" si="45"/>
        <v>0</v>
      </c>
      <c r="W111" s="257"/>
      <c r="X111" s="257"/>
      <c r="Y111" s="257"/>
      <c r="Z111" s="257"/>
      <c r="AA111" s="213"/>
      <c r="AB111" s="19" t="s">
        <v>593</v>
      </c>
      <c r="AC111" s="19">
        <v>742000</v>
      </c>
      <c r="AD111" s="257"/>
      <c r="AE111" s="257"/>
      <c r="AF111" s="257"/>
      <c r="AG111" s="257"/>
      <c r="AH111" s="257"/>
      <c r="AI111" s="257"/>
      <c r="AJ111" s="257">
        <f t="shared" si="52"/>
        <v>0</v>
      </c>
      <c r="AK111" s="257">
        <f t="shared" si="35"/>
        <v>0</v>
      </c>
      <c r="AL111" s="257"/>
      <c r="AM111" s="236"/>
      <c r="AN111" s="257">
        <f t="shared" si="53"/>
        <v>0</v>
      </c>
      <c r="AO111" s="257">
        <f t="shared" si="46"/>
        <v>0</v>
      </c>
      <c r="AP111" s="257"/>
      <c r="AQ111" s="257"/>
      <c r="AR111" s="257"/>
      <c r="AS111" s="257"/>
      <c r="AT111" s="257"/>
      <c r="AU111" s="257"/>
      <c r="AV111" s="257"/>
      <c r="AW111" s="257"/>
      <c r="AX111" s="257">
        <f t="shared" si="51"/>
        <v>0</v>
      </c>
      <c r="AY111" s="257">
        <f t="shared" si="47"/>
        <v>0</v>
      </c>
      <c r="AZ111" s="257"/>
      <c r="BA111" s="257"/>
      <c r="BB111" s="257"/>
      <c r="BC111" s="257"/>
      <c r="BD111" s="257"/>
      <c r="BE111" s="257">
        <f t="shared" si="48"/>
        <v>0</v>
      </c>
      <c r="BF111" s="257">
        <f t="shared" si="49"/>
        <v>0</v>
      </c>
      <c r="BG111" s="257">
        <f t="shared" si="54"/>
        <v>0</v>
      </c>
      <c r="BH111" s="257"/>
      <c r="BI111" s="257"/>
      <c r="BJ111" s="257"/>
      <c r="BK111" s="257"/>
      <c r="BL111" s="257"/>
      <c r="BN111" s="123"/>
      <c r="BO111" s="123"/>
      <c r="BP111" s="123"/>
      <c r="BQ111" s="123"/>
      <c r="BR111" s="123"/>
      <c r="BS111" s="123"/>
    </row>
    <row r="112" spans="1:71" s="5" customFormat="1" ht="30" customHeight="1">
      <c r="A112" s="213">
        <f t="shared" si="38"/>
        <v>107</v>
      </c>
      <c r="B112" s="19">
        <v>20109</v>
      </c>
      <c r="C112" s="213" t="s">
        <v>606</v>
      </c>
      <c r="D112" s="257">
        <v>1500000</v>
      </c>
      <c r="E112" s="257"/>
      <c r="F112" s="257">
        <f t="shared" si="39"/>
        <v>1500000</v>
      </c>
      <c r="G112" s="257">
        <v>0</v>
      </c>
      <c r="H112" s="257"/>
      <c r="I112" s="257"/>
      <c r="J112" s="257"/>
      <c r="K112" s="257">
        <f>I112+J112</f>
        <v>0</v>
      </c>
      <c r="L112" s="257">
        <f>H112+K112</f>
        <v>0</v>
      </c>
      <c r="M112" s="257">
        <f>P112+S112</f>
        <v>0</v>
      </c>
      <c r="N112" s="257">
        <v>1500000</v>
      </c>
      <c r="O112" s="257">
        <f t="shared" si="41"/>
        <v>0</v>
      </c>
      <c r="P112" s="257">
        <f t="shared" si="42"/>
        <v>0</v>
      </c>
      <c r="Q112" s="257"/>
      <c r="R112" s="257"/>
      <c r="S112" s="257">
        <f>SUM(Q112:R112)</f>
        <v>0</v>
      </c>
      <c r="T112" s="257">
        <f t="shared" si="43"/>
        <v>0</v>
      </c>
      <c r="U112" s="257">
        <f t="shared" si="44"/>
        <v>1500000</v>
      </c>
      <c r="V112" s="257">
        <f>U112-W112-Z112-AA112</f>
        <v>1500000</v>
      </c>
      <c r="W112" s="257"/>
      <c r="X112" s="257"/>
      <c r="Y112" s="257"/>
      <c r="Z112" s="257"/>
      <c r="AA112" s="257"/>
      <c r="AB112" s="19" t="s">
        <v>792</v>
      </c>
      <c r="AC112" s="19">
        <v>840000</v>
      </c>
      <c r="AD112" s="257"/>
      <c r="AE112" s="257"/>
      <c r="AF112" s="257"/>
      <c r="AG112" s="257"/>
      <c r="AH112" s="257"/>
      <c r="AI112" s="257"/>
      <c r="AJ112" s="257">
        <f t="shared" si="52"/>
        <v>0</v>
      </c>
      <c r="AK112" s="257">
        <f t="shared" si="35"/>
        <v>1500000</v>
      </c>
      <c r="AL112" s="257"/>
      <c r="AM112" s="236"/>
      <c r="AN112" s="257">
        <f t="shared" si="53"/>
        <v>1500000</v>
      </c>
      <c r="AO112" s="257">
        <f t="shared" si="46"/>
        <v>1500000</v>
      </c>
      <c r="AP112" s="257"/>
      <c r="AQ112" s="257"/>
      <c r="AR112" s="257"/>
      <c r="AS112" s="257"/>
      <c r="AT112" s="257"/>
      <c r="AU112" s="257"/>
      <c r="AV112" s="257"/>
      <c r="AW112" s="257"/>
      <c r="AX112" s="257">
        <f t="shared" si="51"/>
        <v>1500000</v>
      </c>
      <c r="AY112" s="257">
        <f t="shared" si="47"/>
        <v>1500000</v>
      </c>
      <c r="AZ112" s="257"/>
      <c r="BA112" s="257"/>
      <c r="BB112" s="257"/>
      <c r="BC112" s="257"/>
      <c r="BD112" s="257"/>
      <c r="BE112" s="257">
        <f t="shared" si="48"/>
        <v>1500000</v>
      </c>
      <c r="BF112" s="257">
        <f t="shared" si="49"/>
        <v>0</v>
      </c>
      <c r="BG112" s="257">
        <f t="shared" si="54"/>
        <v>1500000</v>
      </c>
      <c r="BH112" s="257"/>
      <c r="BI112" s="257"/>
      <c r="BJ112" s="257"/>
      <c r="BK112" s="257"/>
      <c r="BL112" s="257"/>
      <c r="BN112" s="123"/>
      <c r="BO112" s="123"/>
      <c r="BP112" s="123"/>
      <c r="BQ112" s="123"/>
      <c r="BR112" s="123"/>
      <c r="BS112" s="123"/>
    </row>
    <row r="113" spans="1:71" s="5" customFormat="1" ht="30" customHeight="1">
      <c r="A113" s="213">
        <f t="shared" si="38"/>
        <v>108</v>
      </c>
      <c r="B113" s="19">
        <v>20110</v>
      </c>
      <c r="C113" s="213" t="s">
        <v>609</v>
      </c>
      <c r="D113" s="257">
        <v>600000</v>
      </c>
      <c r="E113" s="257"/>
      <c r="F113" s="257">
        <f t="shared" si="39"/>
        <v>600000</v>
      </c>
      <c r="G113" s="257">
        <v>0</v>
      </c>
      <c r="H113" s="257"/>
      <c r="I113" s="257"/>
      <c r="J113" s="257"/>
      <c r="K113" s="257">
        <f>I113+J113</f>
        <v>0</v>
      </c>
      <c r="L113" s="257">
        <f>H113+K113</f>
        <v>0</v>
      </c>
      <c r="M113" s="257">
        <f>P113+S113</f>
        <v>0</v>
      </c>
      <c r="N113" s="257">
        <f>600000-100000</f>
        <v>500000</v>
      </c>
      <c r="O113" s="257">
        <f t="shared" si="41"/>
        <v>100000</v>
      </c>
      <c r="P113" s="257">
        <f t="shared" si="42"/>
        <v>0</v>
      </c>
      <c r="Q113" s="257"/>
      <c r="R113" s="257"/>
      <c r="S113" s="257">
        <f>SUM(Q113:R113)</f>
        <v>0</v>
      </c>
      <c r="T113" s="257">
        <f t="shared" si="43"/>
        <v>0</v>
      </c>
      <c r="U113" s="257">
        <f t="shared" si="44"/>
        <v>500000</v>
      </c>
      <c r="V113" s="257">
        <f>U113-W113-Z113-AA113-Y113</f>
        <v>0</v>
      </c>
      <c r="W113" s="257"/>
      <c r="X113" s="257"/>
      <c r="Y113" s="257">
        <v>500000</v>
      </c>
      <c r="Z113" s="257"/>
      <c r="AA113" s="257"/>
      <c r="AB113" s="19" t="s">
        <v>718</v>
      </c>
      <c r="AC113" s="19">
        <v>810000</v>
      </c>
      <c r="AD113" s="257"/>
      <c r="AE113" s="257"/>
      <c r="AF113" s="257"/>
      <c r="AG113" s="257"/>
      <c r="AH113" s="257">
        <v>250000</v>
      </c>
      <c r="AI113" s="257"/>
      <c r="AJ113" s="257">
        <f t="shared" si="52"/>
        <v>250000</v>
      </c>
      <c r="AK113" s="257">
        <f t="shared" si="35"/>
        <v>250000</v>
      </c>
      <c r="AL113" s="257"/>
      <c r="AM113" s="236"/>
      <c r="AN113" s="257">
        <f t="shared" si="53"/>
        <v>250000</v>
      </c>
      <c r="AO113" s="257">
        <f t="shared" si="46"/>
        <v>0</v>
      </c>
      <c r="AP113" s="257"/>
      <c r="AQ113" s="257"/>
      <c r="AR113" s="257">
        <v>250000</v>
      </c>
      <c r="AS113" s="257"/>
      <c r="AT113" s="257"/>
      <c r="AU113" s="257"/>
      <c r="AV113" s="257"/>
      <c r="AW113" s="257"/>
      <c r="AX113" s="257">
        <f t="shared" si="51"/>
        <v>250000</v>
      </c>
      <c r="AY113" s="257">
        <f t="shared" si="47"/>
        <v>250000</v>
      </c>
      <c r="AZ113" s="257"/>
      <c r="BA113" s="257"/>
      <c r="BB113" s="257"/>
      <c r="BC113" s="257"/>
      <c r="BD113" s="257"/>
      <c r="BE113" s="257">
        <f t="shared" si="48"/>
        <v>500000</v>
      </c>
      <c r="BF113" s="257">
        <f t="shared" si="49"/>
        <v>0</v>
      </c>
      <c r="BG113" s="257">
        <f t="shared" si="54"/>
        <v>0</v>
      </c>
      <c r="BH113" s="257"/>
      <c r="BI113" s="257"/>
      <c r="BJ113" s="257">
        <v>500000</v>
      </c>
      <c r="BK113" s="257"/>
      <c r="BL113" s="257"/>
      <c r="BN113" s="123"/>
      <c r="BO113" s="123"/>
      <c r="BP113" s="123"/>
      <c r="BQ113" s="123"/>
      <c r="BR113" s="123"/>
      <c r="BS113" s="123"/>
    </row>
    <row r="114" spans="1:71" s="5" customFormat="1" ht="30" customHeight="1">
      <c r="A114" s="213">
        <f t="shared" si="38"/>
        <v>109</v>
      </c>
      <c r="B114" s="19">
        <v>20111</v>
      </c>
      <c r="C114" s="213" t="s">
        <v>656</v>
      </c>
      <c r="D114" s="257">
        <v>3400000</v>
      </c>
      <c r="E114" s="257"/>
      <c r="F114" s="257">
        <f t="shared" si="39"/>
        <v>3400000</v>
      </c>
      <c r="G114" s="257"/>
      <c r="H114" s="257"/>
      <c r="I114" s="257"/>
      <c r="J114" s="257"/>
      <c r="K114" s="257"/>
      <c r="L114" s="257"/>
      <c r="M114" s="257"/>
      <c r="N114" s="257">
        <f>2500000-1000000</f>
        <v>1500000</v>
      </c>
      <c r="O114" s="257">
        <f t="shared" si="41"/>
        <v>1900000</v>
      </c>
      <c r="P114" s="257"/>
      <c r="Q114" s="257"/>
      <c r="R114" s="257"/>
      <c r="S114" s="257"/>
      <c r="T114" s="257"/>
      <c r="U114" s="257">
        <f t="shared" si="44"/>
        <v>1500000</v>
      </c>
      <c r="V114" s="257">
        <f>U114-W114-Z114-AA114</f>
        <v>1500000</v>
      </c>
      <c r="W114" s="257"/>
      <c r="X114" s="257"/>
      <c r="Y114" s="257"/>
      <c r="Z114" s="257"/>
      <c r="AA114" s="257"/>
      <c r="AB114" s="19" t="s">
        <v>672</v>
      </c>
      <c r="AC114" s="19">
        <v>742000</v>
      </c>
      <c r="AD114" s="257"/>
      <c r="AE114" s="257"/>
      <c r="AF114" s="257"/>
      <c r="AG114" s="257"/>
      <c r="AH114" s="257"/>
      <c r="AI114" s="257"/>
      <c r="AJ114" s="257">
        <f t="shared" si="52"/>
        <v>0</v>
      </c>
      <c r="AK114" s="236">
        <f t="shared" si="35"/>
        <v>1500000</v>
      </c>
      <c r="AL114" s="257"/>
      <c r="AM114" s="236">
        <v>-1400000</v>
      </c>
      <c r="AN114" s="257">
        <f t="shared" si="53"/>
        <v>100000</v>
      </c>
      <c r="AO114" s="257">
        <f t="shared" si="46"/>
        <v>100000</v>
      </c>
      <c r="AP114" s="257"/>
      <c r="AQ114" s="257"/>
      <c r="AR114" s="257"/>
      <c r="AS114" s="257"/>
      <c r="AT114" s="257"/>
      <c r="AU114" s="257"/>
      <c r="AV114" s="257"/>
      <c r="AW114" s="257">
        <v>100000</v>
      </c>
      <c r="AX114" s="257">
        <f t="shared" si="51"/>
        <v>0</v>
      </c>
      <c r="AY114" s="257">
        <f t="shared" si="47"/>
        <v>0</v>
      </c>
      <c r="AZ114" s="257"/>
      <c r="BA114" s="257"/>
      <c r="BB114" s="257"/>
      <c r="BC114" s="257"/>
      <c r="BD114" s="257"/>
      <c r="BE114" s="257">
        <f t="shared" si="48"/>
        <v>0</v>
      </c>
      <c r="BF114" s="257">
        <f t="shared" si="49"/>
        <v>1500000</v>
      </c>
      <c r="BG114" s="257">
        <f t="shared" si="54"/>
        <v>0</v>
      </c>
      <c r="BH114" s="257"/>
      <c r="BI114" s="257"/>
      <c r="BJ114" s="257"/>
      <c r="BK114" s="257"/>
      <c r="BL114" s="257"/>
      <c r="BN114" s="123"/>
      <c r="BO114" s="123"/>
      <c r="BP114" s="123"/>
      <c r="BQ114" s="123"/>
      <c r="BR114" s="123"/>
      <c r="BS114" s="123"/>
    </row>
    <row r="115" spans="1:71" s="5" customFormat="1" ht="30" customHeight="1">
      <c r="A115" s="213">
        <f t="shared" si="38"/>
        <v>110</v>
      </c>
      <c r="B115" s="19">
        <v>20112</v>
      </c>
      <c r="C115" s="213" t="s">
        <v>657</v>
      </c>
      <c r="D115" s="257">
        <f>5500000-800000</f>
        <v>4700000</v>
      </c>
      <c r="E115" s="257"/>
      <c r="F115" s="257">
        <f t="shared" si="39"/>
        <v>4700000</v>
      </c>
      <c r="G115" s="257"/>
      <c r="H115" s="257"/>
      <c r="I115" s="257"/>
      <c r="J115" s="257"/>
      <c r="K115" s="257"/>
      <c r="L115" s="257"/>
      <c r="M115" s="257"/>
      <c r="N115" s="257">
        <f>2750000-1750000</f>
        <v>1000000</v>
      </c>
      <c r="O115" s="257">
        <f t="shared" si="41"/>
        <v>3700000</v>
      </c>
      <c r="P115" s="257"/>
      <c r="Q115" s="257"/>
      <c r="R115" s="257"/>
      <c r="S115" s="257"/>
      <c r="T115" s="257"/>
      <c r="U115" s="257">
        <f t="shared" si="44"/>
        <v>1000000</v>
      </c>
      <c r="V115" s="257">
        <f>U115-W115-Z115-AA115</f>
        <v>1000000</v>
      </c>
      <c r="W115" s="257"/>
      <c r="X115" s="257"/>
      <c r="Y115" s="257"/>
      <c r="Z115" s="257"/>
      <c r="AA115" s="257"/>
      <c r="AB115" s="19" t="s">
        <v>680</v>
      </c>
      <c r="AC115" s="19">
        <v>746000</v>
      </c>
      <c r="AD115" s="257"/>
      <c r="AE115" s="257"/>
      <c r="AF115" s="257"/>
      <c r="AG115" s="257"/>
      <c r="AH115" s="257"/>
      <c r="AI115" s="257"/>
      <c r="AJ115" s="257">
        <f t="shared" si="52"/>
        <v>0</v>
      </c>
      <c r="AK115" s="236">
        <f t="shared" si="35"/>
        <v>1000000</v>
      </c>
      <c r="AL115" s="257"/>
      <c r="AM115" s="236">
        <v>-900000</v>
      </c>
      <c r="AN115" s="257">
        <f t="shared" si="53"/>
        <v>100000</v>
      </c>
      <c r="AO115" s="257">
        <f t="shared" si="46"/>
        <v>100000</v>
      </c>
      <c r="AP115" s="257"/>
      <c r="AQ115" s="257"/>
      <c r="AR115" s="257"/>
      <c r="AS115" s="257"/>
      <c r="AT115" s="257"/>
      <c r="AU115" s="257"/>
      <c r="AV115" s="257"/>
      <c r="AW115" s="257">
        <v>100000</v>
      </c>
      <c r="AX115" s="257">
        <f t="shared" si="51"/>
        <v>0</v>
      </c>
      <c r="AY115" s="257">
        <f t="shared" si="47"/>
        <v>0</v>
      </c>
      <c r="AZ115" s="257"/>
      <c r="BA115" s="257"/>
      <c r="BB115" s="257"/>
      <c r="BC115" s="257"/>
      <c r="BD115" s="257"/>
      <c r="BE115" s="257">
        <f t="shared" si="48"/>
        <v>0</v>
      </c>
      <c r="BF115" s="257">
        <f t="shared" si="49"/>
        <v>1000000</v>
      </c>
      <c r="BG115" s="257">
        <f t="shared" si="54"/>
        <v>0</v>
      </c>
      <c r="BH115" s="257"/>
      <c r="BI115" s="257"/>
      <c r="BJ115" s="257"/>
      <c r="BK115" s="257"/>
      <c r="BL115" s="257"/>
      <c r="BN115" s="123"/>
      <c r="BO115" s="123"/>
      <c r="BP115" s="123"/>
      <c r="BQ115" s="123"/>
      <c r="BR115" s="123"/>
      <c r="BS115" s="123"/>
    </row>
    <row r="116" spans="1:71" s="5" customFormat="1" ht="30" customHeight="1">
      <c r="A116" s="213">
        <f t="shared" si="38"/>
        <v>111</v>
      </c>
      <c r="B116" s="19">
        <v>20113</v>
      </c>
      <c r="C116" s="213" t="s">
        <v>670</v>
      </c>
      <c r="D116" s="257">
        <v>2030000</v>
      </c>
      <c r="E116" s="257"/>
      <c r="F116" s="257">
        <f>D116-E116</f>
        <v>2030000</v>
      </c>
      <c r="G116" s="257"/>
      <c r="H116" s="257"/>
      <c r="I116" s="257"/>
      <c r="J116" s="257"/>
      <c r="K116" s="257"/>
      <c r="L116" s="257"/>
      <c r="M116" s="257"/>
      <c r="N116" s="257">
        <f>2030000-1030000</f>
        <v>1000000</v>
      </c>
      <c r="O116" s="257">
        <f>D116-L116-M116-N116</f>
        <v>1030000</v>
      </c>
      <c r="P116" s="257"/>
      <c r="Q116" s="257"/>
      <c r="R116" s="257"/>
      <c r="S116" s="257"/>
      <c r="T116" s="257"/>
      <c r="U116" s="257">
        <f>N116-T116</f>
        <v>1000000</v>
      </c>
      <c r="V116" s="257">
        <f>U116-W116-Z116-AA116</f>
        <v>1000000</v>
      </c>
      <c r="W116" s="257"/>
      <c r="X116" s="257"/>
      <c r="Y116" s="257"/>
      <c r="Z116" s="257"/>
      <c r="AA116" s="257"/>
      <c r="AB116" s="19" t="s">
        <v>671</v>
      </c>
      <c r="AC116" s="19">
        <v>742000</v>
      </c>
      <c r="AD116" s="257"/>
      <c r="AE116" s="257"/>
      <c r="AF116" s="257"/>
      <c r="AG116" s="257"/>
      <c r="AH116" s="257"/>
      <c r="AI116" s="257"/>
      <c r="AJ116" s="257">
        <f t="shared" si="52"/>
        <v>0</v>
      </c>
      <c r="AK116" s="257">
        <f t="shared" si="35"/>
        <v>1000000</v>
      </c>
      <c r="AL116" s="257"/>
      <c r="AM116" s="236"/>
      <c r="AN116" s="257">
        <f t="shared" si="53"/>
        <v>1000000</v>
      </c>
      <c r="AO116" s="257">
        <f t="shared" si="46"/>
        <v>1000000</v>
      </c>
      <c r="AP116" s="257"/>
      <c r="AQ116" s="257"/>
      <c r="AR116" s="257"/>
      <c r="AS116" s="257"/>
      <c r="AT116" s="257"/>
      <c r="AU116" s="257"/>
      <c r="AV116" s="257"/>
      <c r="AW116" s="257"/>
      <c r="AX116" s="257">
        <f t="shared" si="51"/>
        <v>1000000</v>
      </c>
      <c r="AY116" s="257">
        <f t="shared" si="47"/>
        <v>1000000</v>
      </c>
      <c r="AZ116" s="257"/>
      <c r="BA116" s="257"/>
      <c r="BB116" s="257"/>
      <c r="BC116" s="257"/>
      <c r="BD116" s="257"/>
      <c r="BE116" s="257">
        <f t="shared" si="48"/>
        <v>1000000</v>
      </c>
      <c r="BF116" s="257">
        <f t="shared" si="49"/>
        <v>0</v>
      </c>
      <c r="BG116" s="257">
        <f t="shared" si="54"/>
        <v>1000000</v>
      </c>
      <c r="BH116" s="257"/>
      <c r="BI116" s="257"/>
      <c r="BJ116" s="257"/>
      <c r="BK116" s="257"/>
      <c r="BL116" s="257"/>
      <c r="BN116" s="123"/>
      <c r="BO116" s="123"/>
      <c r="BP116" s="123"/>
      <c r="BQ116" s="123"/>
      <c r="BR116" s="123"/>
      <c r="BS116" s="123"/>
    </row>
    <row r="117" spans="1:71" s="5" customFormat="1" ht="30" customHeight="1">
      <c r="A117" s="213">
        <f t="shared" si="38"/>
        <v>112</v>
      </c>
      <c r="B117" s="19">
        <v>20114</v>
      </c>
      <c r="C117" s="213" t="s">
        <v>695</v>
      </c>
      <c r="D117" s="257">
        <v>5000000</v>
      </c>
      <c r="E117" s="257"/>
      <c r="F117" s="257">
        <f>D117-E117</f>
        <v>5000000</v>
      </c>
      <c r="G117" s="257"/>
      <c r="H117" s="257"/>
      <c r="I117" s="257"/>
      <c r="J117" s="257"/>
      <c r="K117" s="257"/>
      <c r="L117" s="257"/>
      <c r="M117" s="257"/>
      <c r="N117" s="257">
        <f>5000000-3000000</f>
        <v>2000000</v>
      </c>
      <c r="O117" s="257">
        <f>D117-L117-M117-N117</f>
        <v>3000000</v>
      </c>
      <c r="P117" s="257"/>
      <c r="Q117" s="257"/>
      <c r="R117" s="257"/>
      <c r="S117" s="257"/>
      <c r="T117" s="257"/>
      <c r="U117" s="257">
        <f>N117-T117</f>
        <v>2000000</v>
      </c>
      <c r="V117" s="257">
        <f>U117-W117-Z117-AA117</f>
        <v>1790000</v>
      </c>
      <c r="W117" s="257"/>
      <c r="X117" s="257"/>
      <c r="Y117" s="257"/>
      <c r="Z117" s="257"/>
      <c r="AA117" s="257">
        <f>70000*3</f>
        <v>210000</v>
      </c>
      <c r="AB117" s="19" t="s">
        <v>717</v>
      </c>
      <c r="AC117" s="19">
        <v>810000</v>
      </c>
      <c r="AD117" s="257"/>
      <c r="AE117" s="257"/>
      <c r="AF117" s="257"/>
      <c r="AG117" s="257"/>
      <c r="AH117" s="257"/>
      <c r="AI117" s="257"/>
      <c r="AJ117" s="257">
        <f t="shared" si="52"/>
        <v>0</v>
      </c>
      <c r="AK117" s="236">
        <f t="shared" si="35"/>
        <v>2000000</v>
      </c>
      <c r="AL117" s="257"/>
      <c r="AM117" s="236">
        <v>-2000000</v>
      </c>
      <c r="AN117" s="257">
        <f t="shared" si="53"/>
        <v>0</v>
      </c>
      <c r="AO117" s="257">
        <f t="shared" si="46"/>
        <v>0</v>
      </c>
      <c r="AP117" s="257"/>
      <c r="AQ117" s="257"/>
      <c r="AR117" s="257"/>
      <c r="AS117" s="257"/>
      <c r="AT117" s="257"/>
      <c r="AU117" s="257"/>
      <c r="AV117" s="257"/>
      <c r="AW117" s="257"/>
      <c r="AX117" s="257">
        <f t="shared" si="51"/>
        <v>0</v>
      </c>
      <c r="AY117" s="257">
        <f t="shared" si="47"/>
        <v>0</v>
      </c>
      <c r="AZ117" s="257"/>
      <c r="BA117" s="257"/>
      <c r="BB117" s="257"/>
      <c r="BC117" s="257"/>
      <c r="BD117" s="257"/>
      <c r="BE117" s="257">
        <f t="shared" si="48"/>
        <v>0</v>
      </c>
      <c r="BF117" s="257">
        <f t="shared" si="49"/>
        <v>2000000</v>
      </c>
      <c r="BG117" s="257">
        <f t="shared" si="54"/>
        <v>0</v>
      </c>
      <c r="BH117" s="257"/>
      <c r="BI117" s="257"/>
      <c r="BJ117" s="257"/>
      <c r="BK117" s="257"/>
      <c r="BL117" s="257"/>
      <c r="BN117" s="123"/>
      <c r="BO117" s="123"/>
      <c r="BP117" s="123"/>
      <c r="BQ117" s="123"/>
      <c r="BR117" s="123"/>
      <c r="BS117" s="123"/>
    </row>
    <row r="118" spans="1:71" s="212" customFormat="1" ht="30" customHeight="1">
      <c r="A118" s="208">
        <f>COUNT(A6:A117)</f>
        <v>112</v>
      </c>
      <c r="B118" s="763"/>
      <c r="C118" s="208" t="s">
        <v>141</v>
      </c>
      <c r="D118" s="236">
        <f t="shared" ref="D118:BL118" si="55">SUM(D6:D117)</f>
        <v>2719909650</v>
      </c>
      <c r="E118" s="236">
        <f t="shared" si="55"/>
        <v>2371453556</v>
      </c>
      <c r="F118" s="236">
        <f t="shared" si="55"/>
        <v>348456094</v>
      </c>
      <c r="G118" s="236">
        <f t="shared" si="55"/>
        <v>1028072314</v>
      </c>
      <c r="H118" s="236">
        <f t="shared" si="55"/>
        <v>1002704785</v>
      </c>
      <c r="I118" s="236">
        <f t="shared" si="55"/>
        <v>449944</v>
      </c>
      <c r="J118" s="236">
        <f t="shared" si="55"/>
        <v>1996222</v>
      </c>
      <c r="K118" s="236">
        <f t="shared" si="55"/>
        <v>2446166</v>
      </c>
      <c r="L118" s="236">
        <f t="shared" si="55"/>
        <v>1005150951</v>
      </c>
      <c r="M118" s="236">
        <f t="shared" si="55"/>
        <v>617780</v>
      </c>
      <c r="N118" s="236">
        <f t="shared" si="55"/>
        <v>364647940</v>
      </c>
      <c r="O118" s="236">
        <f t="shared" si="55"/>
        <v>1349492979</v>
      </c>
      <c r="P118" s="236">
        <f t="shared" si="55"/>
        <v>22921363</v>
      </c>
      <c r="Q118" s="236">
        <f t="shared" si="55"/>
        <v>84241899</v>
      </c>
      <c r="R118" s="236">
        <f t="shared" si="55"/>
        <v>7500000</v>
      </c>
      <c r="S118" s="236">
        <f t="shared" si="55"/>
        <v>91741899</v>
      </c>
      <c r="T118" s="236">
        <f t="shared" si="55"/>
        <v>114045482</v>
      </c>
      <c r="U118" s="236">
        <f t="shared" si="55"/>
        <v>250602458</v>
      </c>
      <c r="V118" s="236">
        <f t="shared" si="55"/>
        <v>170276061</v>
      </c>
      <c r="W118" s="236">
        <f t="shared" si="55"/>
        <v>2216408</v>
      </c>
      <c r="X118" s="236">
        <f t="shared" si="55"/>
        <v>0</v>
      </c>
      <c r="Y118" s="236">
        <f t="shared" si="55"/>
        <v>16236186</v>
      </c>
      <c r="Z118" s="236">
        <f t="shared" si="55"/>
        <v>0</v>
      </c>
      <c r="AA118" s="236">
        <f t="shared" si="55"/>
        <v>61873803</v>
      </c>
      <c r="AB118" s="236">
        <f t="shared" si="55"/>
        <v>0</v>
      </c>
      <c r="AC118" s="236">
        <f t="shared" si="55"/>
        <v>87472000</v>
      </c>
      <c r="AD118" s="236">
        <f t="shared" si="55"/>
        <v>-9556482</v>
      </c>
      <c r="AE118" s="236">
        <f>SUM(AE6:AE117)</f>
        <v>27900000</v>
      </c>
      <c r="AF118" s="236">
        <f>SUM(AF6:AF117)</f>
        <v>36050000</v>
      </c>
      <c r="AG118" s="236">
        <f t="shared" ref="AG118:AH118" si="56">SUM(AG6:AG117)</f>
        <v>20449987</v>
      </c>
      <c r="AH118" s="236">
        <f t="shared" si="56"/>
        <v>35649746</v>
      </c>
      <c r="AI118" s="236">
        <f t="shared" si="55"/>
        <v>0</v>
      </c>
      <c r="AJ118" s="236">
        <f t="shared" si="55"/>
        <v>116293251</v>
      </c>
      <c r="AK118" s="236">
        <f t="shared" si="55"/>
        <v>134309207</v>
      </c>
      <c r="AL118" s="236">
        <f t="shared" si="55"/>
        <v>5800000</v>
      </c>
      <c r="AM118" s="236">
        <f t="shared" si="55"/>
        <v>-17750000</v>
      </c>
      <c r="AN118" s="236">
        <f t="shared" si="55"/>
        <v>116559207</v>
      </c>
      <c r="AO118" s="236">
        <f t="shared" si="55"/>
        <v>61506211</v>
      </c>
      <c r="AP118" s="236">
        <f t="shared" si="55"/>
        <v>1500000</v>
      </c>
      <c r="AQ118" s="236">
        <f t="shared" si="55"/>
        <v>0</v>
      </c>
      <c r="AR118" s="236">
        <f t="shared" si="55"/>
        <v>14986186</v>
      </c>
      <c r="AS118" s="236">
        <f t="shared" si="55"/>
        <v>0</v>
      </c>
      <c r="AT118" s="236">
        <f t="shared" si="55"/>
        <v>38566810</v>
      </c>
      <c r="AU118" s="236">
        <f t="shared" si="55"/>
        <v>20150000</v>
      </c>
      <c r="AV118" s="236">
        <f t="shared" si="55"/>
        <v>28300000</v>
      </c>
      <c r="AW118" s="236">
        <f t="shared" si="55"/>
        <v>44598862</v>
      </c>
      <c r="AX118" s="236">
        <f t="shared" si="55"/>
        <v>71960345</v>
      </c>
      <c r="AY118" s="236">
        <f t="shared" si="55"/>
        <v>53244918</v>
      </c>
      <c r="AZ118" s="236">
        <f t="shared" si="55"/>
        <v>1500000</v>
      </c>
      <c r="BA118" s="236">
        <f t="shared" si="55"/>
        <v>0</v>
      </c>
      <c r="BB118" s="236">
        <f t="shared" si="55"/>
        <v>6000000</v>
      </c>
      <c r="BC118" s="236">
        <f t="shared" si="55"/>
        <v>0</v>
      </c>
      <c r="BD118" s="236">
        <f t="shared" si="55"/>
        <v>11215427</v>
      </c>
      <c r="BE118" s="236">
        <f t="shared" si="55"/>
        <v>188253596</v>
      </c>
      <c r="BF118" s="236">
        <f t="shared" si="55"/>
        <v>62348862</v>
      </c>
      <c r="BG118" s="236">
        <f t="shared" si="55"/>
        <v>144674768</v>
      </c>
      <c r="BH118" s="236">
        <f t="shared" si="55"/>
        <v>2416408</v>
      </c>
      <c r="BI118" s="236">
        <f t="shared" si="55"/>
        <v>0</v>
      </c>
      <c r="BJ118" s="236">
        <f t="shared" si="55"/>
        <v>7500000</v>
      </c>
      <c r="BK118" s="236">
        <f t="shared" si="55"/>
        <v>0</v>
      </c>
      <c r="BL118" s="236">
        <f t="shared" si="55"/>
        <v>33662420</v>
      </c>
      <c r="BN118" s="123"/>
      <c r="BO118" s="123"/>
      <c r="BP118" s="123"/>
      <c r="BQ118" s="123"/>
      <c r="BR118" s="123"/>
      <c r="BS118" s="123"/>
    </row>
    <row r="119" spans="1:71" s="212" customFormat="1" ht="30" customHeight="1">
      <c r="A119" s="208"/>
      <c r="B119" s="763"/>
      <c r="C119" s="208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57">
        <f>G119-L119</f>
        <v>0</v>
      </c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57"/>
      <c r="AE119" s="257"/>
      <c r="AF119" s="257"/>
      <c r="AG119" s="257"/>
      <c r="AH119" s="257"/>
      <c r="AI119" s="257"/>
      <c r="AJ119" s="257"/>
      <c r="AK119" s="257"/>
      <c r="AL119" s="257"/>
      <c r="AM119" s="236"/>
      <c r="AN119" s="257"/>
      <c r="AO119" s="257"/>
      <c r="AP119" s="257"/>
      <c r="AQ119" s="257"/>
      <c r="AR119" s="257"/>
      <c r="AS119" s="257"/>
      <c r="AT119" s="257"/>
      <c r="AU119" s="257"/>
      <c r="AV119" s="257"/>
      <c r="AW119" s="257"/>
      <c r="AX119" s="257"/>
      <c r="AY119" s="257"/>
      <c r="AZ119" s="257"/>
      <c r="BA119" s="257"/>
      <c r="BB119" s="257"/>
      <c r="BC119" s="257"/>
      <c r="BD119" s="257"/>
      <c r="BE119" s="257"/>
      <c r="BF119" s="257"/>
      <c r="BG119" s="257"/>
      <c r="BH119" s="257"/>
      <c r="BI119" s="257"/>
      <c r="BJ119" s="257"/>
      <c r="BK119" s="257"/>
      <c r="BL119" s="257"/>
      <c r="BN119" s="123"/>
      <c r="BO119" s="123"/>
      <c r="BP119" s="123"/>
      <c r="BQ119" s="123"/>
      <c r="BR119" s="123"/>
      <c r="BS119" s="123"/>
    </row>
    <row r="120" spans="1:71" s="212" customFormat="1" ht="30" customHeight="1">
      <c r="A120" s="208"/>
      <c r="B120" s="763"/>
      <c r="C120" s="208" t="s">
        <v>981</v>
      </c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57">
        <f>G120-L120</f>
        <v>0</v>
      </c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A120" s="236"/>
      <c r="AB120" s="237"/>
      <c r="AC120" s="208"/>
      <c r="AD120" s="257"/>
      <c r="AE120" s="257"/>
      <c r="AF120" s="257"/>
      <c r="AG120" s="257"/>
      <c r="AH120" s="257"/>
      <c r="AI120" s="257"/>
      <c r="AJ120" s="257"/>
      <c r="AK120" s="257"/>
      <c r="AL120" s="257"/>
      <c r="AM120" s="236"/>
      <c r="AN120" s="257"/>
      <c r="AO120" s="257"/>
      <c r="AP120" s="257"/>
      <c r="AQ120" s="257"/>
      <c r="AR120" s="257"/>
      <c r="AS120" s="257"/>
      <c r="AT120" s="257"/>
      <c r="AU120" s="257"/>
      <c r="AV120" s="257"/>
      <c r="AW120" s="257"/>
      <c r="AX120" s="257"/>
      <c r="AY120" s="257"/>
      <c r="AZ120" s="257"/>
      <c r="BA120" s="257"/>
      <c r="BB120" s="257"/>
      <c r="BC120" s="257"/>
      <c r="BD120" s="257"/>
      <c r="BE120" s="257"/>
      <c r="BF120" s="257">
        <f t="shared" ref="BF120:BF132" si="57">U120-BE120</f>
        <v>0</v>
      </c>
      <c r="BG120" s="257"/>
      <c r="BH120" s="257"/>
      <c r="BI120" s="257"/>
      <c r="BJ120" s="257"/>
      <c r="BK120" s="257"/>
      <c r="BL120" s="257"/>
      <c r="BN120" s="123"/>
      <c r="BO120" s="123"/>
      <c r="BP120" s="123"/>
      <c r="BQ120" s="123"/>
      <c r="BR120" s="123"/>
      <c r="BS120" s="123"/>
    </row>
    <row r="121" spans="1:71" s="126" customFormat="1" ht="30" customHeight="1">
      <c r="A121" s="213">
        <f>A118+1</f>
        <v>113</v>
      </c>
      <c r="B121" s="213">
        <v>1547</v>
      </c>
      <c r="C121" s="213" t="s">
        <v>308</v>
      </c>
      <c r="D121" s="257">
        <v>144000000</v>
      </c>
      <c r="E121" s="257">
        <v>144000000</v>
      </c>
      <c r="F121" s="257">
        <f>D121-E121</f>
        <v>0</v>
      </c>
      <c r="G121" s="257">
        <v>114000000</v>
      </c>
      <c r="H121" s="257">
        <v>113874221</v>
      </c>
      <c r="I121" s="257"/>
      <c r="J121" s="257"/>
      <c r="K121" s="257">
        <f>SUM(I121:J121)</f>
        <v>0</v>
      </c>
      <c r="L121" s="257">
        <f>K121+H121</f>
        <v>113874221</v>
      </c>
      <c r="M121" s="257">
        <f>P121+S121-125000</f>
        <v>779</v>
      </c>
      <c r="N121" s="257">
        <f>15000000-7000000-2000000+125000-125000</f>
        <v>6000000</v>
      </c>
      <c r="O121" s="257">
        <f>D121-L121-M121-N121</f>
        <v>24125000</v>
      </c>
      <c r="P121" s="257">
        <f>G121-L121</f>
        <v>125779</v>
      </c>
      <c r="Q121" s="257"/>
      <c r="R121" s="257"/>
      <c r="S121" s="257">
        <f>SUM(Q121:R121)</f>
        <v>0</v>
      </c>
      <c r="T121" s="257">
        <f>P121-M121+S121</f>
        <v>125000</v>
      </c>
      <c r="U121" s="257">
        <f>N121-T121</f>
        <v>5875000</v>
      </c>
      <c r="V121" s="257">
        <f>U121-Z121-X121-AA121-W121-Y121</f>
        <v>375000</v>
      </c>
      <c r="W121" s="257"/>
      <c r="X121" s="257"/>
      <c r="Y121" s="257"/>
      <c r="Z121" s="257"/>
      <c r="AA121" s="257">
        <v>5500000</v>
      </c>
      <c r="AB121" s="213" t="s">
        <v>706</v>
      </c>
      <c r="AC121" s="213">
        <v>742000</v>
      </c>
      <c r="AD121" s="257"/>
      <c r="AE121" s="257"/>
      <c r="AF121" s="257"/>
      <c r="AG121" s="257">
        <v>350000</v>
      </c>
      <c r="AH121" s="257">
        <f>200000+100000</f>
        <v>300000</v>
      </c>
      <c r="AI121" s="257"/>
      <c r="AJ121" s="257">
        <f t="shared" ref="AJ121:AJ132" si="58">SUM(AD121:AI121)+AL121</f>
        <v>650000</v>
      </c>
      <c r="AK121" s="236">
        <f t="shared" ref="AK121:AK132" si="59">U121-AJ121</f>
        <v>5225000</v>
      </c>
      <c r="AL121" s="257"/>
      <c r="AM121" s="236"/>
      <c r="AN121" s="257">
        <f t="shared" ref="AN121:AN132" si="60">AK121+AM121</f>
        <v>5225000</v>
      </c>
      <c r="AO121" s="257">
        <f t="shared" ref="AO121:AO132" si="61">AN121-AP121-AQ121-AR121-AS121-AT121</f>
        <v>0</v>
      </c>
      <c r="AP121" s="257"/>
      <c r="AQ121" s="257"/>
      <c r="AR121" s="257"/>
      <c r="AS121" s="257"/>
      <c r="AT121" s="257">
        <f>5500000-200000-75000</f>
        <v>5225000</v>
      </c>
      <c r="AU121" s="257"/>
      <c r="AV121" s="257"/>
      <c r="AW121" s="257">
        <v>636888</v>
      </c>
      <c r="AX121" s="257">
        <f t="shared" ref="AX121:AX132" si="62">AN121-AW121</f>
        <v>4588112</v>
      </c>
      <c r="AY121" s="257">
        <f t="shared" ref="AY121:AY132" si="63">AX121-AZ121-BA121-BB121-BC121-BD121</f>
        <v>0</v>
      </c>
      <c r="AZ121" s="257"/>
      <c r="BA121" s="257"/>
      <c r="BB121" s="257"/>
      <c r="BC121" s="257"/>
      <c r="BD121" s="257">
        <v>4588112</v>
      </c>
      <c r="BE121" s="257">
        <f t="shared" ref="BE121" si="64">AJ121+AX121</f>
        <v>5238112</v>
      </c>
      <c r="BF121" s="257">
        <f t="shared" si="57"/>
        <v>636888</v>
      </c>
      <c r="BG121" s="257">
        <f t="shared" ref="BG121:BG132" si="65">BE121-BH121-BI121-BJ121-BK121-BL121</f>
        <v>375000</v>
      </c>
      <c r="BH121" s="257"/>
      <c r="BI121" s="257"/>
      <c r="BJ121" s="257"/>
      <c r="BK121" s="257"/>
      <c r="BL121" s="257">
        <f>5500000-636888</f>
        <v>4863112</v>
      </c>
      <c r="BN121" s="123"/>
      <c r="BO121" s="123"/>
      <c r="BP121" s="123"/>
      <c r="BQ121" s="123"/>
      <c r="BR121" s="123"/>
      <c r="BS121" s="123"/>
    </row>
    <row r="122" spans="1:71" ht="30" customHeight="1">
      <c r="A122" s="213">
        <f t="shared" ref="A122:A132" si="66">A121+1</f>
        <v>114</v>
      </c>
      <c r="B122" s="761">
        <v>1827</v>
      </c>
      <c r="C122" s="213" t="s">
        <v>309</v>
      </c>
      <c r="D122" s="257">
        <v>100000000</v>
      </c>
      <c r="E122" s="257">
        <v>100000000</v>
      </c>
      <c r="F122" s="257">
        <f t="shared" ref="F122:F132" si="67">D122-E122</f>
        <v>0</v>
      </c>
      <c r="G122" s="257">
        <v>89000000</v>
      </c>
      <c r="H122" s="257">
        <v>92668742</v>
      </c>
      <c r="I122" s="257"/>
      <c r="J122" s="257"/>
      <c r="K122" s="257">
        <f t="shared" ref="K122:K132" si="68">SUM(I122:J122)</f>
        <v>0</v>
      </c>
      <c r="L122" s="257">
        <f t="shared" ref="L122:L132" si="69">K122+H122</f>
        <v>92668742</v>
      </c>
      <c r="M122" s="257">
        <f>P122+S122-7300000</f>
        <v>31258</v>
      </c>
      <c r="N122" s="257">
        <v>7300000</v>
      </c>
      <c r="O122" s="257">
        <f t="shared" ref="O122:O132" si="70">D122-L122-M122-N122</f>
        <v>0</v>
      </c>
      <c r="P122" s="257">
        <f t="shared" ref="P122:P132" si="71">G122-L122</f>
        <v>-3668742</v>
      </c>
      <c r="Q122" s="257">
        <v>11000000</v>
      </c>
      <c r="R122" s="257"/>
      <c r="S122" s="257">
        <f t="shared" ref="S122:S132" si="72">SUM(Q122:R122)</f>
        <v>11000000</v>
      </c>
      <c r="T122" s="257">
        <f t="shared" ref="T122:T132" si="73">P122-M122+S122</f>
        <v>7300000</v>
      </c>
      <c r="U122" s="257">
        <f t="shared" ref="U122:U132" si="74">N122-T122</f>
        <v>0</v>
      </c>
      <c r="V122" s="257">
        <f t="shared" ref="V122:V132" si="75">U122-Z122-X122-AA122-W122-Y122</f>
        <v>0</v>
      </c>
      <c r="W122" s="257"/>
      <c r="X122" s="257"/>
      <c r="Y122" s="257"/>
      <c r="Z122" s="257"/>
      <c r="AA122" s="213"/>
      <c r="AB122" s="213" t="s">
        <v>665</v>
      </c>
      <c r="AC122" s="213">
        <v>746000</v>
      </c>
      <c r="AD122" s="257"/>
      <c r="AE122" s="257"/>
      <c r="AF122" s="257"/>
      <c r="AG122" s="257"/>
      <c r="AH122" s="257"/>
      <c r="AI122" s="257"/>
      <c r="AJ122" s="257">
        <f t="shared" si="58"/>
        <v>0</v>
      </c>
      <c r="AK122" s="257">
        <f t="shared" si="59"/>
        <v>0</v>
      </c>
      <c r="AL122" s="257"/>
      <c r="AM122" s="236"/>
      <c r="AN122" s="257">
        <f t="shared" si="60"/>
        <v>0</v>
      </c>
      <c r="AO122" s="257">
        <f t="shared" si="61"/>
        <v>0</v>
      </c>
      <c r="AP122" s="257"/>
      <c r="AQ122" s="257"/>
      <c r="AR122" s="257"/>
      <c r="AS122" s="257"/>
      <c r="AT122" s="257"/>
      <c r="AU122" s="257"/>
      <c r="AV122" s="257"/>
      <c r="AW122" s="257"/>
      <c r="AX122" s="257">
        <f t="shared" si="62"/>
        <v>0</v>
      </c>
      <c r="AY122" s="257">
        <f t="shared" si="63"/>
        <v>0</v>
      </c>
      <c r="AZ122" s="257"/>
      <c r="BA122" s="257"/>
      <c r="BB122" s="257"/>
      <c r="BC122" s="257"/>
      <c r="BD122" s="257"/>
      <c r="BE122" s="257">
        <f t="shared" ref="BE122:BE132" si="76">AJ122+AX122</f>
        <v>0</v>
      </c>
      <c r="BF122" s="257">
        <f t="shared" si="57"/>
        <v>0</v>
      </c>
      <c r="BG122" s="257">
        <f t="shared" si="65"/>
        <v>0</v>
      </c>
      <c r="BH122" s="257"/>
      <c r="BI122" s="257"/>
      <c r="BJ122" s="257"/>
      <c r="BK122" s="257"/>
      <c r="BL122" s="257"/>
    </row>
    <row r="123" spans="1:71" s="126" customFormat="1" ht="30" customHeight="1">
      <c r="A123" s="213">
        <f t="shared" si="66"/>
        <v>115</v>
      </c>
      <c r="B123" s="213">
        <v>1905</v>
      </c>
      <c r="C123" s="213" t="s">
        <v>1152</v>
      </c>
      <c r="D123" s="257">
        <v>3366000</v>
      </c>
      <c r="E123" s="257">
        <v>3366000</v>
      </c>
      <c r="F123" s="257">
        <f t="shared" si="67"/>
        <v>0</v>
      </c>
      <c r="G123" s="257">
        <v>3366000</v>
      </c>
      <c r="H123" s="257"/>
      <c r="I123" s="257"/>
      <c r="J123" s="257"/>
      <c r="K123" s="257">
        <f t="shared" si="68"/>
        <v>0</v>
      </c>
      <c r="L123" s="257">
        <f t="shared" si="69"/>
        <v>0</v>
      </c>
      <c r="M123" s="257">
        <f>P123+S123-3366000</f>
        <v>0</v>
      </c>
      <c r="N123" s="257">
        <v>3366000</v>
      </c>
      <c r="O123" s="257">
        <f t="shared" si="70"/>
        <v>0</v>
      </c>
      <c r="P123" s="257">
        <f t="shared" si="71"/>
        <v>3366000</v>
      </c>
      <c r="Q123" s="257"/>
      <c r="R123" s="257"/>
      <c r="S123" s="257">
        <f t="shared" si="72"/>
        <v>0</v>
      </c>
      <c r="T123" s="257">
        <f t="shared" si="73"/>
        <v>3366000</v>
      </c>
      <c r="U123" s="257">
        <f t="shared" si="74"/>
        <v>0</v>
      </c>
      <c r="V123" s="257">
        <f t="shared" si="75"/>
        <v>0</v>
      </c>
      <c r="W123" s="257"/>
      <c r="X123" s="257"/>
      <c r="Y123" s="257"/>
      <c r="Z123" s="257"/>
      <c r="AA123" s="213"/>
      <c r="AB123" s="213" t="s">
        <v>982</v>
      </c>
      <c r="AC123" s="213">
        <v>746000</v>
      </c>
      <c r="AD123" s="257"/>
      <c r="AE123" s="257"/>
      <c r="AF123" s="257"/>
      <c r="AG123" s="257"/>
      <c r="AH123" s="257"/>
      <c r="AI123" s="257"/>
      <c r="AJ123" s="257">
        <f t="shared" si="58"/>
        <v>0</v>
      </c>
      <c r="AK123" s="257">
        <f t="shared" si="59"/>
        <v>0</v>
      </c>
      <c r="AL123" s="257"/>
      <c r="AM123" s="236"/>
      <c r="AN123" s="257">
        <f t="shared" si="60"/>
        <v>0</v>
      </c>
      <c r="AO123" s="257">
        <f t="shared" si="61"/>
        <v>0</v>
      </c>
      <c r="AP123" s="257"/>
      <c r="AQ123" s="257"/>
      <c r="AR123" s="257"/>
      <c r="AS123" s="257"/>
      <c r="AT123" s="257"/>
      <c r="AU123" s="257"/>
      <c r="AV123" s="257"/>
      <c r="AW123" s="257"/>
      <c r="AX123" s="257">
        <f t="shared" si="62"/>
        <v>0</v>
      </c>
      <c r="AY123" s="257">
        <f t="shared" si="63"/>
        <v>0</v>
      </c>
      <c r="AZ123" s="257"/>
      <c r="BA123" s="257"/>
      <c r="BB123" s="257"/>
      <c r="BC123" s="257"/>
      <c r="BD123" s="257"/>
      <c r="BE123" s="257">
        <f t="shared" si="76"/>
        <v>0</v>
      </c>
      <c r="BF123" s="257">
        <f t="shared" si="57"/>
        <v>0</v>
      </c>
      <c r="BG123" s="257">
        <f t="shared" si="65"/>
        <v>0</v>
      </c>
      <c r="BH123" s="257"/>
      <c r="BI123" s="257"/>
      <c r="BJ123" s="257"/>
      <c r="BK123" s="257"/>
      <c r="BL123" s="257"/>
      <c r="BN123" s="123"/>
      <c r="BO123" s="123"/>
      <c r="BP123" s="123"/>
      <c r="BQ123" s="123"/>
      <c r="BR123" s="123"/>
      <c r="BS123" s="123"/>
    </row>
    <row r="124" spans="1:71" s="126" customFormat="1" ht="30" customHeight="1">
      <c r="A124" s="213">
        <f t="shared" si="66"/>
        <v>116</v>
      </c>
      <c r="B124" s="213">
        <v>1908</v>
      </c>
      <c r="C124" s="213" t="s">
        <v>1379</v>
      </c>
      <c r="D124" s="257">
        <f>19054496-849</f>
        <v>19053647</v>
      </c>
      <c r="E124" s="257">
        <v>19054496</v>
      </c>
      <c r="F124" s="257">
        <f t="shared" si="67"/>
        <v>-849</v>
      </c>
      <c r="G124" s="257">
        <v>19054496</v>
      </c>
      <c r="H124" s="257">
        <v>19053647</v>
      </c>
      <c r="I124" s="257"/>
      <c r="J124" s="257"/>
      <c r="K124" s="257">
        <f t="shared" si="68"/>
        <v>0</v>
      </c>
      <c r="L124" s="257">
        <f t="shared" si="69"/>
        <v>19053647</v>
      </c>
      <c r="M124" s="257">
        <f>P124+S124-849</f>
        <v>0</v>
      </c>
      <c r="N124" s="257"/>
      <c r="O124" s="257">
        <f t="shared" si="70"/>
        <v>0</v>
      </c>
      <c r="P124" s="257">
        <f t="shared" si="71"/>
        <v>849</v>
      </c>
      <c r="Q124" s="257"/>
      <c r="R124" s="257"/>
      <c r="S124" s="257">
        <f t="shared" si="72"/>
        <v>0</v>
      </c>
      <c r="T124" s="257">
        <f t="shared" si="73"/>
        <v>849</v>
      </c>
      <c r="U124" s="257">
        <f t="shared" si="74"/>
        <v>-849</v>
      </c>
      <c r="V124" s="257">
        <f t="shared" si="75"/>
        <v>-849</v>
      </c>
      <c r="W124" s="257"/>
      <c r="X124" s="257"/>
      <c r="Y124" s="257"/>
      <c r="Z124" s="257"/>
      <c r="AA124" s="213"/>
      <c r="AB124" s="213" t="s">
        <v>983</v>
      </c>
      <c r="AC124" s="213">
        <v>810000</v>
      </c>
      <c r="AD124" s="257">
        <v>-849</v>
      </c>
      <c r="AE124" s="257"/>
      <c r="AF124" s="257"/>
      <c r="AG124" s="257"/>
      <c r="AH124" s="257"/>
      <c r="AI124" s="257"/>
      <c r="AJ124" s="257">
        <f t="shared" si="58"/>
        <v>-849</v>
      </c>
      <c r="AK124" s="257">
        <f t="shared" si="59"/>
        <v>0</v>
      </c>
      <c r="AL124" s="257"/>
      <c r="AM124" s="236"/>
      <c r="AN124" s="257">
        <f t="shared" si="60"/>
        <v>0</v>
      </c>
      <c r="AO124" s="257">
        <f t="shared" si="61"/>
        <v>0</v>
      </c>
      <c r="AP124" s="257"/>
      <c r="AQ124" s="257"/>
      <c r="AR124" s="257"/>
      <c r="AS124" s="257"/>
      <c r="AT124" s="257"/>
      <c r="AU124" s="257"/>
      <c r="AV124" s="257"/>
      <c r="AW124" s="257"/>
      <c r="AX124" s="257">
        <f t="shared" si="62"/>
        <v>0</v>
      </c>
      <c r="AY124" s="257">
        <f t="shared" si="63"/>
        <v>0</v>
      </c>
      <c r="AZ124" s="257"/>
      <c r="BA124" s="257"/>
      <c r="BB124" s="257"/>
      <c r="BC124" s="257"/>
      <c r="BD124" s="257"/>
      <c r="BE124" s="257">
        <f t="shared" si="76"/>
        <v>-849</v>
      </c>
      <c r="BF124" s="257">
        <f t="shared" si="57"/>
        <v>0</v>
      </c>
      <c r="BG124" s="257">
        <f t="shared" si="65"/>
        <v>-849</v>
      </c>
      <c r="BH124" s="257"/>
      <c r="BI124" s="257"/>
      <c r="BJ124" s="257"/>
      <c r="BK124" s="257"/>
      <c r="BL124" s="257"/>
      <c r="BN124" s="123"/>
      <c r="BO124" s="123"/>
      <c r="BP124" s="123"/>
      <c r="BQ124" s="123"/>
      <c r="BR124" s="123"/>
      <c r="BS124" s="123"/>
    </row>
    <row r="125" spans="1:71" ht="30" customHeight="1">
      <c r="A125" s="213">
        <f t="shared" si="66"/>
        <v>117</v>
      </c>
      <c r="B125" s="761">
        <v>1909</v>
      </c>
      <c r="C125" s="213" t="s">
        <v>1380</v>
      </c>
      <c r="D125" s="257">
        <v>184500000</v>
      </c>
      <c r="E125" s="257">
        <v>184500000</v>
      </c>
      <c r="F125" s="257">
        <f t="shared" si="67"/>
        <v>0</v>
      </c>
      <c r="G125" s="257">
        <v>169145785</v>
      </c>
      <c r="H125" s="257">
        <v>169128282</v>
      </c>
      <c r="I125" s="257"/>
      <c r="J125" s="257"/>
      <c r="K125" s="257">
        <f t="shared" si="68"/>
        <v>0</v>
      </c>
      <c r="L125" s="257">
        <f t="shared" si="69"/>
        <v>169128282</v>
      </c>
      <c r="M125" s="257">
        <f>P125+S125-15000</f>
        <v>2503</v>
      </c>
      <c r="N125" s="257">
        <f>15354215+15000-4000000</f>
        <v>11369215</v>
      </c>
      <c r="O125" s="257">
        <f t="shared" si="70"/>
        <v>4000000</v>
      </c>
      <c r="P125" s="257">
        <f t="shared" si="71"/>
        <v>17503</v>
      </c>
      <c r="Q125" s="257"/>
      <c r="R125" s="257"/>
      <c r="S125" s="257">
        <f t="shared" si="72"/>
        <v>0</v>
      </c>
      <c r="T125" s="257">
        <f t="shared" si="73"/>
        <v>15000</v>
      </c>
      <c r="U125" s="257">
        <f t="shared" si="74"/>
        <v>11354215</v>
      </c>
      <c r="V125" s="257">
        <f t="shared" si="75"/>
        <v>6147109</v>
      </c>
      <c r="W125" s="257"/>
      <c r="X125" s="257"/>
      <c r="Y125" s="257"/>
      <c r="Z125" s="257"/>
      <c r="AA125" s="257">
        <f>4470073+737033</f>
        <v>5207106</v>
      </c>
      <c r="AB125" s="262" t="s">
        <v>1381</v>
      </c>
      <c r="AC125" s="213">
        <v>810000</v>
      </c>
      <c r="AD125" s="760"/>
      <c r="AE125" s="257">
        <v>1000000</v>
      </c>
      <c r="AF125" s="257"/>
      <c r="AG125" s="257">
        <f>2117182+130000+344978+45253</f>
        <v>2637413</v>
      </c>
      <c r="AH125" s="257"/>
      <c r="AI125" s="257"/>
      <c r="AJ125" s="257">
        <f t="shared" si="58"/>
        <v>11137413</v>
      </c>
      <c r="AK125" s="257">
        <f t="shared" si="59"/>
        <v>216802</v>
      </c>
      <c r="AL125" s="257">
        <v>7500000</v>
      </c>
      <c r="AM125" s="236"/>
      <c r="AN125" s="257">
        <f t="shared" si="60"/>
        <v>216802</v>
      </c>
      <c r="AO125" s="257">
        <f t="shared" si="61"/>
        <v>0</v>
      </c>
      <c r="AP125" s="257"/>
      <c r="AQ125" s="257"/>
      <c r="AR125" s="257"/>
      <c r="AS125" s="257"/>
      <c r="AT125" s="257">
        <v>216802</v>
      </c>
      <c r="AU125" s="257"/>
      <c r="AV125" s="257"/>
      <c r="AW125" s="257"/>
      <c r="AX125" s="257">
        <f t="shared" si="62"/>
        <v>216802</v>
      </c>
      <c r="AY125" s="257">
        <f t="shared" si="63"/>
        <v>0</v>
      </c>
      <c r="AZ125" s="257"/>
      <c r="BA125" s="257"/>
      <c r="BB125" s="257"/>
      <c r="BC125" s="257"/>
      <c r="BD125" s="257">
        <v>216802</v>
      </c>
      <c r="BE125" s="257">
        <f t="shared" si="76"/>
        <v>11354215</v>
      </c>
      <c r="BF125" s="257">
        <f t="shared" si="57"/>
        <v>0</v>
      </c>
      <c r="BG125" s="257">
        <f t="shared" si="65"/>
        <v>6147109</v>
      </c>
      <c r="BH125" s="257"/>
      <c r="BI125" s="257"/>
      <c r="BJ125" s="257"/>
      <c r="BK125" s="257"/>
      <c r="BL125" s="257">
        <f>4470073+737033</f>
        <v>5207106</v>
      </c>
    </row>
    <row r="126" spans="1:71" ht="30" customHeight="1">
      <c r="A126" s="213">
        <f t="shared" si="66"/>
        <v>118</v>
      </c>
      <c r="B126" s="761">
        <v>1911</v>
      </c>
      <c r="C126" s="213" t="s">
        <v>225</v>
      </c>
      <c r="D126" s="257">
        <f>27236240-300000</f>
        <v>26936240</v>
      </c>
      <c r="E126" s="257">
        <v>27236240</v>
      </c>
      <c r="F126" s="257">
        <f t="shared" si="67"/>
        <v>-300000</v>
      </c>
      <c r="G126" s="257">
        <v>27236240</v>
      </c>
      <c r="H126" s="257">
        <v>26634223</v>
      </c>
      <c r="I126" s="257"/>
      <c r="J126" s="257"/>
      <c r="K126" s="257">
        <f t="shared" si="68"/>
        <v>0</v>
      </c>
      <c r="L126" s="257">
        <f t="shared" si="69"/>
        <v>26634223</v>
      </c>
      <c r="M126" s="257">
        <f>P126+S126-600000</f>
        <v>2017</v>
      </c>
      <c r="N126" s="257">
        <v>300000</v>
      </c>
      <c r="O126" s="257">
        <f t="shared" si="70"/>
        <v>0</v>
      </c>
      <c r="P126" s="257">
        <f t="shared" si="71"/>
        <v>602017</v>
      </c>
      <c r="Q126" s="257"/>
      <c r="R126" s="257"/>
      <c r="S126" s="257">
        <f t="shared" si="72"/>
        <v>0</v>
      </c>
      <c r="T126" s="257">
        <f t="shared" si="73"/>
        <v>600000</v>
      </c>
      <c r="U126" s="257">
        <f t="shared" si="74"/>
        <v>-300000</v>
      </c>
      <c r="V126" s="257">
        <f t="shared" si="75"/>
        <v>-300000</v>
      </c>
      <c r="W126" s="257"/>
      <c r="X126" s="257"/>
      <c r="Y126" s="257"/>
      <c r="Z126" s="257"/>
      <c r="AA126" s="213"/>
      <c r="AB126" s="262" t="s">
        <v>691</v>
      </c>
      <c r="AC126" s="213">
        <v>810000</v>
      </c>
      <c r="AD126" s="257">
        <v>-300000</v>
      </c>
      <c r="AE126" s="257"/>
      <c r="AF126" s="257"/>
      <c r="AG126" s="257"/>
      <c r="AH126" s="257"/>
      <c r="AI126" s="257"/>
      <c r="AJ126" s="257">
        <f t="shared" si="58"/>
        <v>-300000</v>
      </c>
      <c r="AK126" s="257">
        <f t="shared" si="59"/>
        <v>0</v>
      </c>
      <c r="AL126" s="257"/>
      <c r="AM126" s="236"/>
      <c r="AN126" s="257">
        <f t="shared" si="60"/>
        <v>0</v>
      </c>
      <c r="AO126" s="257">
        <f t="shared" si="61"/>
        <v>0</v>
      </c>
      <c r="AP126" s="257"/>
      <c r="AQ126" s="257"/>
      <c r="AR126" s="257"/>
      <c r="AS126" s="257"/>
      <c r="AT126" s="257"/>
      <c r="AU126" s="257"/>
      <c r="AV126" s="257"/>
      <c r="AW126" s="257"/>
      <c r="AX126" s="257">
        <f t="shared" si="62"/>
        <v>0</v>
      </c>
      <c r="AY126" s="257">
        <f t="shared" si="63"/>
        <v>0</v>
      </c>
      <c r="AZ126" s="257"/>
      <c r="BA126" s="257"/>
      <c r="BB126" s="257"/>
      <c r="BC126" s="257"/>
      <c r="BD126" s="257"/>
      <c r="BE126" s="257">
        <f t="shared" si="76"/>
        <v>-300000</v>
      </c>
      <c r="BF126" s="257">
        <f t="shared" si="57"/>
        <v>0</v>
      </c>
      <c r="BG126" s="257">
        <f t="shared" si="65"/>
        <v>-300000</v>
      </c>
      <c r="BH126" s="257"/>
      <c r="BI126" s="257"/>
      <c r="BJ126" s="257"/>
      <c r="BK126" s="257"/>
      <c r="BL126" s="257"/>
    </row>
    <row r="127" spans="1:71" ht="30" customHeight="1">
      <c r="A127" s="213">
        <f t="shared" si="66"/>
        <v>119</v>
      </c>
      <c r="B127" s="761">
        <v>1912</v>
      </c>
      <c r="C127" s="213" t="s">
        <v>1382</v>
      </c>
      <c r="D127" s="257">
        <v>430000000</v>
      </c>
      <c r="E127" s="257">
        <v>430000000</v>
      </c>
      <c r="F127" s="257">
        <f t="shared" si="67"/>
        <v>0</v>
      </c>
      <c r="G127" s="257">
        <f>287713073+11691178</f>
        <v>299404251</v>
      </c>
      <c r="H127" s="257">
        <v>299054983</v>
      </c>
      <c r="I127" s="257"/>
      <c r="J127" s="257"/>
      <c r="K127" s="257">
        <f t="shared" si="68"/>
        <v>0</v>
      </c>
      <c r="L127" s="257">
        <f t="shared" si="69"/>
        <v>299054983</v>
      </c>
      <c r="M127" s="257">
        <f>P127+S127-345000</f>
        <v>4268</v>
      </c>
      <c r="N127" s="257">
        <f>100000000-30000000+345000-5000000</f>
        <v>65345000</v>
      </c>
      <c r="O127" s="257">
        <f t="shared" si="70"/>
        <v>65595749</v>
      </c>
      <c r="P127" s="257">
        <f t="shared" si="71"/>
        <v>349268</v>
      </c>
      <c r="Q127" s="257"/>
      <c r="R127" s="257"/>
      <c r="S127" s="257">
        <f t="shared" si="72"/>
        <v>0</v>
      </c>
      <c r="T127" s="257">
        <f t="shared" si="73"/>
        <v>345000</v>
      </c>
      <c r="U127" s="257">
        <f t="shared" si="74"/>
        <v>65000000</v>
      </c>
      <c r="V127" s="257">
        <f t="shared" si="75"/>
        <v>52872606</v>
      </c>
      <c r="W127" s="257"/>
      <c r="X127" s="257"/>
      <c r="Y127" s="257"/>
      <c r="Z127" s="257"/>
      <c r="AA127" s="257">
        <f>2741672+3436847+5948875</f>
        <v>12127394</v>
      </c>
      <c r="AB127" s="262" t="s">
        <v>692</v>
      </c>
      <c r="AC127" s="213">
        <v>810000</v>
      </c>
      <c r="AD127" s="257"/>
      <c r="AE127" s="257"/>
      <c r="AF127" s="257">
        <f>700000+2500000</f>
        <v>3200000</v>
      </c>
      <c r="AG127" s="257">
        <v>3000000</v>
      </c>
      <c r="AH127" s="257">
        <f>12000000+2000000</f>
        <v>14000000</v>
      </c>
      <c r="AI127" s="257"/>
      <c r="AJ127" s="257">
        <f t="shared" si="58"/>
        <v>35600000</v>
      </c>
      <c r="AK127" s="236">
        <f t="shared" si="59"/>
        <v>29400000</v>
      </c>
      <c r="AL127" s="257">
        <v>15400000</v>
      </c>
      <c r="AM127" s="236">
        <v>-10000000</v>
      </c>
      <c r="AN127" s="257">
        <f t="shared" si="60"/>
        <v>19400000</v>
      </c>
      <c r="AO127" s="257">
        <f t="shared" si="61"/>
        <v>7272606</v>
      </c>
      <c r="AP127" s="257"/>
      <c r="AQ127" s="257"/>
      <c r="AR127" s="257"/>
      <c r="AS127" s="257"/>
      <c r="AT127" s="257">
        <f>2741672+3436847+5948875</f>
        <v>12127394</v>
      </c>
      <c r="AU127" s="257"/>
      <c r="AV127" s="257"/>
      <c r="AW127" s="257">
        <v>1575998</v>
      </c>
      <c r="AX127" s="257">
        <f t="shared" si="62"/>
        <v>17824002</v>
      </c>
      <c r="AY127" s="257">
        <f t="shared" si="63"/>
        <v>7272606</v>
      </c>
      <c r="AZ127" s="257"/>
      <c r="BA127" s="257"/>
      <c r="BB127" s="257"/>
      <c r="BC127" s="257"/>
      <c r="BD127" s="257">
        <f>2741672+3436847+5948875-1575998</f>
        <v>10551396</v>
      </c>
      <c r="BE127" s="257">
        <f t="shared" si="76"/>
        <v>53424002</v>
      </c>
      <c r="BF127" s="257">
        <f t="shared" si="57"/>
        <v>11575998</v>
      </c>
      <c r="BG127" s="257">
        <f t="shared" si="65"/>
        <v>42872606</v>
      </c>
      <c r="BH127" s="257"/>
      <c r="BI127" s="257"/>
      <c r="BJ127" s="257"/>
      <c r="BK127" s="257"/>
      <c r="BL127" s="257">
        <f>2741672+3436847+5948875-1575998</f>
        <v>10551396</v>
      </c>
    </row>
    <row r="128" spans="1:71" ht="30" customHeight="1">
      <c r="A128" s="213">
        <f t="shared" si="66"/>
        <v>120</v>
      </c>
      <c r="B128" s="761">
        <v>1914</v>
      </c>
      <c r="C128" s="213" t="s">
        <v>95</v>
      </c>
      <c r="D128" s="257">
        <v>8100000</v>
      </c>
      <c r="E128" s="257">
        <v>8100000</v>
      </c>
      <c r="F128" s="257">
        <f t="shared" si="67"/>
        <v>0</v>
      </c>
      <c r="G128" s="257">
        <v>8100000</v>
      </c>
      <c r="H128" s="257">
        <v>7872635</v>
      </c>
      <c r="I128" s="257"/>
      <c r="J128" s="257"/>
      <c r="K128" s="257">
        <f t="shared" si="68"/>
        <v>0</v>
      </c>
      <c r="L128" s="257">
        <f t="shared" si="69"/>
        <v>7872635</v>
      </c>
      <c r="M128" s="257">
        <f>P128+S128-225000</f>
        <v>2365</v>
      </c>
      <c r="N128" s="257">
        <v>225000</v>
      </c>
      <c r="O128" s="257">
        <f t="shared" si="70"/>
        <v>0</v>
      </c>
      <c r="P128" s="257">
        <f t="shared" si="71"/>
        <v>227365</v>
      </c>
      <c r="Q128" s="257"/>
      <c r="R128" s="257"/>
      <c r="S128" s="257">
        <f t="shared" si="72"/>
        <v>0</v>
      </c>
      <c r="T128" s="257">
        <f t="shared" si="73"/>
        <v>225000</v>
      </c>
      <c r="U128" s="257">
        <f t="shared" si="74"/>
        <v>0</v>
      </c>
      <c r="V128" s="257">
        <f t="shared" si="75"/>
        <v>0</v>
      </c>
      <c r="W128" s="257"/>
      <c r="X128" s="257"/>
      <c r="Y128" s="257"/>
      <c r="Z128" s="257"/>
      <c r="AA128" s="213"/>
      <c r="AB128" s="262" t="s">
        <v>663</v>
      </c>
      <c r="AC128" s="213">
        <v>810000</v>
      </c>
      <c r="AD128" s="257"/>
      <c r="AE128" s="257"/>
      <c r="AF128" s="257"/>
      <c r="AG128" s="257"/>
      <c r="AH128" s="257"/>
      <c r="AI128" s="257"/>
      <c r="AJ128" s="257">
        <f t="shared" si="58"/>
        <v>0</v>
      </c>
      <c r="AK128" s="257">
        <f t="shared" si="59"/>
        <v>0</v>
      </c>
      <c r="AL128" s="257"/>
      <c r="AM128" s="236"/>
      <c r="AN128" s="257">
        <f t="shared" si="60"/>
        <v>0</v>
      </c>
      <c r="AO128" s="257">
        <f t="shared" si="61"/>
        <v>0</v>
      </c>
      <c r="AP128" s="257"/>
      <c r="AQ128" s="257"/>
      <c r="AR128" s="257"/>
      <c r="AS128" s="257"/>
      <c r="AT128" s="257"/>
      <c r="AU128" s="257"/>
      <c r="AV128" s="257"/>
      <c r="AW128" s="257"/>
      <c r="AX128" s="257">
        <f t="shared" si="62"/>
        <v>0</v>
      </c>
      <c r="AY128" s="257">
        <f t="shared" si="63"/>
        <v>0</v>
      </c>
      <c r="AZ128" s="257"/>
      <c r="BA128" s="257"/>
      <c r="BB128" s="257"/>
      <c r="BC128" s="257"/>
      <c r="BD128" s="257"/>
      <c r="BE128" s="257">
        <f t="shared" si="76"/>
        <v>0</v>
      </c>
      <c r="BF128" s="257">
        <f t="shared" si="57"/>
        <v>0</v>
      </c>
      <c r="BG128" s="257">
        <f t="shared" si="65"/>
        <v>0</v>
      </c>
      <c r="BH128" s="257"/>
      <c r="BI128" s="257"/>
      <c r="BJ128" s="257"/>
      <c r="BK128" s="257"/>
      <c r="BL128" s="257"/>
    </row>
    <row r="129" spans="1:71" ht="30" customHeight="1">
      <c r="A129" s="213">
        <f t="shared" si="66"/>
        <v>121</v>
      </c>
      <c r="B129" s="761">
        <v>1919</v>
      </c>
      <c r="C129" s="213" t="s">
        <v>86</v>
      </c>
      <c r="D129" s="257">
        <v>135100000</v>
      </c>
      <c r="E129" s="257">
        <v>135100000</v>
      </c>
      <c r="F129" s="257"/>
      <c r="G129" s="257">
        <v>72024834</v>
      </c>
      <c r="H129" s="257">
        <v>72015642</v>
      </c>
      <c r="I129" s="257"/>
      <c r="J129" s="257"/>
      <c r="K129" s="257">
        <f t="shared" si="68"/>
        <v>0</v>
      </c>
      <c r="L129" s="257">
        <f t="shared" si="69"/>
        <v>72015642</v>
      </c>
      <c r="M129" s="257">
        <f>P129+S129</f>
        <v>9192</v>
      </c>
      <c r="N129" s="257">
        <f>13500000-5500000</f>
        <v>8000000</v>
      </c>
      <c r="O129" s="257">
        <f t="shared" si="70"/>
        <v>55075166</v>
      </c>
      <c r="P129" s="257">
        <f t="shared" si="71"/>
        <v>9192</v>
      </c>
      <c r="Q129" s="257"/>
      <c r="R129" s="257"/>
      <c r="S129" s="257">
        <f t="shared" si="72"/>
        <v>0</v>
      </c>
      <c r="T129" s="257">
        <f t="shared" si="73"/>
        <v>0</v>
      </c>
      <c r="U129" s="257">
        <f t="shared" si="74"/>
        <v>8000000</v>
      </c>
      <c r="V129" s="257">
        <f t="shared" si="75"/>
        <v>8000000</v>
      </c>
      <c r="W129" s="257"/>
      <c r="X129" s="257"/>
      <c r="Y129" s="257"/>
      <c r="Z129" s="257"/>
      <c r="AA129" s="213"/>
      <c r="AB129" s="213" t="s">
        <v>984</v>
      </c>
      <c r="AC129" s="213">
        <v>742000</v>
      </c>
      <c r="AD129" s="257"/>
      <c r="AE129" s="257"/>
      <c r="AF129" s="257">
        <v>4000000</v>
      </c>
      <c r="AG129" s="257">
        <v>1500000</v>
      </c>
      <c r="AH129" s="257">
        <v>1600000</v>
      </c>
      <c r="AI129" s="257"/>
      <c r="AJ129" s="257">
        <f t="shared" si="58"/>
        <v>8000000</v>
      </c>
      <c r="AK129" s="257">
        <f t="shared" si="59"/>
        <v>0</v>
      </c>
      <c r="AL129" s="257">
        <v>900000</v>
      </c>
      <c r="AM129" s="236"/>
      <c r="AN129" s="257">
        <f t="shared" si="60"/>
        <v>0</v>
      </c>
      <c r="AO129" s="257">
        <f t="shared" si="61"/>
        <v>0</v>
      </c>
      <c r="AP129" s="257"/>
      <c r="AQ129" s="257"/>
      <c r="AR129" s="257"/>
      <c r="AS129" s="257"/>
      <c r="AT129" s="257"/>
      <c r="AU129" s="257"/>
      <c r="AV129" s="257"/>
      <c r="AW129" s="257"/>
      <c r="AX129" s="257">
        <f t="shared" si="62"/>
        <v>0</v>
      </c>
      <c r="AY129" s="257">
        <f t="shared" si="63"/>
        <v>0</v>
      </c>
      <c r="AZ129" s="257"/>
      <c r="BA129" s="257"/>
      <c r="BB129" s="257"/>
      <c r="BC129" s="257"/>
      <c r="BD129" s="257"/>
      <c r="BE129" s="257">
        <f t="shared" si="76"/>
        <v>8000000</v>
      </c>
      <c r="BF129" s="257">
        <f t="shared" si="57"/>
        <v>0</v>
      </c>
      <c r="BG129" s="257">
        <f t="shared" si="65"/>
        <v>8000000</v>
      </c>
      <c r="BH129" s="257"/>
      <c r="BI129" s="257"/>
      <c r="BJ129" s="257"/>
      <c r="BK129" s="257"/>
      <c r="BL129" s="257"/>
    </row>
    <row r="130" spans="1:71" ht="30" customHeight="1">
      <c r="A130" s="213">
        <f t="shared" si="66"/>
        <v>122</v>
      </c>
      <c r="B130" s="761">
        <v>1960</v>
      </c>
      <c r="C130" s="213" t="s">
        <v>226</v>
      </c>
      <c r="D130" s="257">
        <f>24710000-3230000</f>
        <v>21480000</v>
      </c>
      <c r="E130" s="257">
        <v>24710000</v>
      </c>
      <c r="F130" s="257">
        <f t="shared" si="67"/>
        <v>-3230000</v>
      </c>
      <c r="G130" s="257">
        <v>22421744</v>
      </c>
      <c r="H130" s="257">
        <v>20975550</v>
      </c>
      <c r="I130" s="257"/>
      <c r="J130" s="257"/>
      <c r="K130" s="257">
        <f t="shared" si="68"/>
        <v>0</v>
      </c>
      <c r="L130" s="257">
        <f t="shared" si="69"/>
        <v>20975550</v>
      </c>
      <c r="M130" s="257">
        <f>P130+S130-3730000</f>
        <v>4450</v>
      </c>
      <c r="N130" s="257">
        <v>500000</v>
      </c>
      <c r="O130" s="257">
        <f t="shared" si="70"/>
        <v>0</v>
      </c>
      <c r="P130" s="257">
        <f t="shared" si="71"/>
        <v>1446194</v>
      </c>
      <c r="Q130" s="257">
        <v>2288256</v>
      </c>
      <c r="R130" s="257"/>
      <c r="S130" s="257">
        <f t="shared" si="72"/>
        <v>2288256</v>
      </c>
      <c r="T130" s="257">
        <f t="shared" si="73"/>
        <v>3730000</v>
      </c>
      <c r="U130" s="257">
        <f t="shared" si="74"/>
        <v>-3230000</v>
      </c>
      <c r="V130" s="257">
        <f t="shared" si="75"/>
        <v>-3352590</v>
      </c>
      <c r="W130" s="257"/>
      <c r="X130" s="257"/>
      <c r="Y130" s="257"/>
      <c r="Z130" s="257"/>
      <c r="AA130" s="257">
        <f>2846661-2724071</f>
        <v>122590</v>
      </c>
      <c r="AB130" s="262" t="s">
        <v>721</v>
      </c>
      <c r="AC130" s="213">
        <v>810000</v>
      </c>
      <c r="AD130" s="257">
        <v>-3230000</v>
      </c>
      <c r="AE130" s="257"/>
      <c r="AF130" s="257"/>
      <c r="AG130" s="257"/>
      <c r="AH130" s="257"/>
      <c r="AI130" s="257"/>
      <c r="AJ130" s="257">
        <f t="shared" si="58"/>
        <v>-3230000</v>
      </c>
      <c r="AK130" s="257">
        <f t="shared" si="59"/>
        <v>0</v>
      </c>
      <c r="AL130" s="257"/>
      <c r="AM130" s="236"/>
      <c r="AN130" s="257">
        <f t="shared" si="60"/>
        <v>0</v>
      </c>
      <c r="AO130" s="257">
        <f t="shared" si="61"/>
        <v>0</v>
      </c>
      <c r="AP130" s="257"/>
      <c r="AQ130" s="257"/>
      <c r="AR130" s="257"/>
      <c r="AS130" s="257"/>
      <c r="AT130" s="257"/>
      <c r="AU130" s="257"/>
      <c r="AV130" s="257"/>
      <c r="AW130" s="257"/>
      <c r="AX130" s="257">
        <f t="shared" si="62"/>
        <v>0</v>
      </c>
      <c r="AY130" s="257">
        <f t="shared" si="63"/>
        <v>0</v>
      </c>
      <c r="AZ130" s="257"/>
      <c r="BA130" s="257"/>
      <c r="BB130" s="257"/>
      <c r="BC130" s="257"/>
      <c r="BD130" s="257"/>
      <c r="BE130" s="257">
        <f t="shared" si="76"/>
        <v>-3230000</v>
      </c>
      <c r="BF130" s="257">
        <f t="shared" si="57"/>
        <v>0</v>
      </c>
      <c r="BG130" s="257">
        <f t="shared" si="65"/>
        <v>-3352590</v>
      </c>
      <c r="BH130" s="257"/>
      <c r="BI130" s="257"/>
      <c r="BJ130" s="257"/>
      <c r="BK130" s="257"/>
      <c r="BL130" s="257">
        <v>122590</v>
      </c>
    </row>
    <row r="131" spans="1:71" ht="30" customHeight="1">
      <c r="A131" s="213">
        <f t="shared" si="66"/>
        <v>123</v>
      </c>
      <c r="B131" s="761">
        <v>1962</v>
      </c>
      <c r="C131" s="213" t="s">
        <v>99</v>
      </c>
      <c r="D131" s="257">
        <v>20000000</v>
      </c>
      <c r="E131" s="257">
        <v>20000000</v>
      </c>
      <c r="F131" s="257">
        <f t="shared" si="67"/>
        <v>0</v>
      </c>
      <c r="G131" s="257">
        <v>100000</v>
      </c>
      <c r="H131" s="257"/>
      <c r="I131" s="257"/>
      <c r="J131" s="257"/>
      <c r="K131" s="257">
        <f t="shared" si="68"/>
        <v>0</v>
      </c>
      <c r="L131" s="257">
        <f t="shared" si="69"/>
        <v>0</v>
      </c>
      <c r="M131" s="257">
        <f>P131+S131-100000</f>
        <v>0</v>
      </c>
      <c r="N131" s="257">
        <v>100000</v>
      </c>
      <c r="O131" s="257">
        <f t="shared" si="70"/>
        <v>19900000</v>
      </c>
      <c r="P131" s="257">
        <f t="shared" si="71"/>
        <v>100000</v>
      </c>
      <c r="Q131" s="257"/>
      <c r="R131" s="257"/>
      <c r="S131" s="257">
        <f t="shared" si="72"/>
        <v>0</v>
      </c>
      <c r="T131" s="257">
        <f t="shared" si="73"/>
        <v>100000</v>
      </c>
      <c r="U131" s="257">
        <f t="shared" si="74"/>
        <v>0</v>
      </c>
      <c r="V131" s="257">
        <f t="shared" si="75"/>
        <v>0</v>
      </c>
      <c r="W131" s="257"/>
      <c r="X131" s="257"/>
      <c r="Y131" s="257"/>
      <c r="Z131" s="257"/>
      <c r="AA131" s="213"/>
      <c r="AB131" s="262" t="s">
        <v>985</v>
      </c>
      <c r="AC131" s="213">
        <v>742000</v>
      </c>
      <c r="AD131" s="257"/>
      <c r="AE131" s="257"/>
      <c r="AF131" s="257"/>
      <c r="AG131" s="257"/>
      <c r="AH131" s="257"/>
      <c r="AI131" s="257"/>
      <c r="AJ131" s="257">
        <f t="shared" si="58"/>
        <v>0</v>
      </c>
      <c r="AK131" s="257">
        <f t="shared" si="59"/>
        <v>0</v>
      </c>
      <c r="AL131" s="257"/>
      <c r="AM131" s="236"/>
      <c r="AN131" s="257">
        <f t="shared" si="60"/>
        <v>0</v>
      </c>
      <c r="AO131" s="257">
        <f t="shared" si="61"/>
        <v>0</v>
      </c>
      <c r="AP131" s="257"/>
      <c r="AQ131" s="257"/>
      <c r="AR131" s="257"/>
      <c r="AS131" s="257"/>
      <c r="AT131" s="257"/>
      <c r="AU131" s="257"/>
      <c r="AV131" s="257"/>
      <c r="AW131" s="257"/>
      <c r="AX131" s="257">
        <f t="shared" si="62"/>
        <v>0</v>
      </c>
      <c r="AY131" s="257">
        <f t="shared" si="63"/>
        <v>0</v>
      </c>
      <c r="AZ131" s="257"/>
      <c r="BA131" s="257"/>
      <c r="BB131" s="257"/>
      <c r="BC131" s="257"/>
      <c r="BD131" s="257"/>
      <c r="BE131" s="257">
        <f t="shared" si="76"/>
        <v>0</v>
      </c>
      <c r="BF131" s="257">
        <f t="shared" si="57"/>
        <v>0</v>
      </c>
      <c r="BG131" s="257">
        <f t="shared" si="65"/>
        <v>0</v>
      </c>
      <c r="BH131" s="257"/>
      <c r="BI131" s="257"/>
      <c r="BJ131" s="257"/>
      <c r="BK131" s="257"/>
      <c r="BL131" s="257"/>
    </row>
    <row r="132" spans="1:71" ht="30" customHeight="1">
      <c r="A132" s="213">
        <f t="shared" si="66"/>
        <v>124</v>
      </c>
      <c r="B132" s="213">
        <v>1965</v>
      </c>
      <c r="C132" s="213" t="s">
        <v>227</v>
      </c>
      <c r="D132" s="257">
        <f>97500000-8500000-2000000</f>
        <v>87000000</v>
      </c>
      <c r="E132" s="257">
        <v>35000000</v>
      </c>
      <c r="F132" s="257">
        <f t="shared" si="67"/>
        <v>52000000</v>
      </c>
      <c r="G132" s="257">
        <v>2100000</v>
      </c>
      <c r="H132" s="257">
        <v>2066817</v>
      </c>
      <c r="I132" s="257"/>
      <c r="J132" s="257"/>
      <c r="K132" s="257">
        <f t="shared" si="68"/>
        <v>0</v>
      </c>
      <c r="L132" s="257">
        <f t="shared" si="69"/>
        <v>2066817</v>
      </c>
      <c r="M132" s="257">
        <f>P132+S132-30000</f>
        <v>3183</v>
      </c>
      <c r="N132" s="257">
        <f>60000000-40000000+30000-2000000</f>
        <v>18030000</v>
      </c>
      <c r="O132" s="257">
        <f t="shared" si="70"/>
        <v>66900000</v>
      </c>
      <c r="P132" s="257">
        <f t="shared" si="71"/>
        <v>33183</v>
      </c>
      <c r="Q132" s="257"/>
      <c r="R132" s="257"/>
      <c r="S132" s="257">
        <f t="shared" si="72"/>
        <v>0</v>
      </c>
      <c r="T132" s="257">
        <f t="shared" si="73"/>
        <v>30000</v>
      </c>
      <c r="U132" s="257">
        <f t="shared" si="74"/>
        <v>18000000</v>
      </c>
      <c r="V132" s="257">
        <f t="shared" si="75"/>
        <v>6751594</v>
      </c>
      <c r="W132" s="257"/>
      <c r="X132" s="257"/>
      <c r="Y132" s="257"/>
      <c r="Z132" s="257"/>
      <c r="AA132" s="257">
        <f>9696902+1551504</f>
        <v>11248406</v>
      </c>
      <c r="AB132" s="262" t="s">
        <v>763</v>
      </c>
      <c r="AC132" s="213">
        <v>810000</v>
      </c>
      <c r="AD132" s="257"/>
      <c r="AE132" s="257">
        <v>500000</v>
      </c>
      <c r="AF132" s="257">
        <f>1250000+800000</f>
        <v>2050000</v>
      </c>
      <c r="AG132" s="257"/>
      <c r="AH132" s="257"/>
      <c r="AI132" s="257"/>
      <c r="AJ132" s="257">
        <f t="shared" si="58"/>
        <v>2550000</v>
      </c>
      <c r="AK132" s="257">
        <f t="shared" si="59"/>
        <v>15450000</v>
      </c>
      <c r="AL132" s="257"/>
      <c r="AM132" s="236"/>
      <c r="AN132" s="257">
        <f t="shared" si="60"/>
        <v>15450000</v>
      </c>
      <c r="AO132" s="257">
        <f t="shared" si="61"/>
        <v>4201594</v>
      </c>
      <c r="AP132" s="257"/>
      <c r="AQ132" s="257"/>
      <c r="AR132" s="257"/>
      <c r="AS132" s="257"/>
      <c r="AT132" s="257">
        <f>9696902+1551504</f>
        <v>11248406</v>
      </c>
      <c r="AU132" s="257"/>
      <c r="AV132" s="257"/>
      <c r="AW132" s="257">
        <f>2500000+1551504</f>
        <v>4051504</v>
      </c>
      <c r="AX132" s="257">
        <f t="shared" si="62"/>
        <v>11398496</v>
      </c>
      <c r="AY132" s="257">
        <f t="shared" si="63"/>
        <v>1701594</v>
      </c>
      <c r="AZ132" s="257"/>
      <c r="BA132" s="257"/>
      <c r="BB132" s="257"/>
      <c r="BC132" s="257"/>
      <c r="BD132" s="257">
        <f>9696902+1551504-1551504</f>
        <v>9696902</v>
      </c>
      <c r="BE132" s="257">
        <f t="shared" si="76"/>
        <v>13948496</v>
      </c>
      <c r="BF132" s="257">
        <f t="shared" si="57"/>
        <v>4051504</v>
      </c>
      <c r="BG132" s="257">
        <f t="shared" si="65"/>
        <v>4251594</v>
      </c>
      <c r="BH132" s="257"/>
      <c r="BI132" s="257"/>
      <c r="BJ132" s="257"/>
      <c r="BK132" s="257"/>
      <c r="BL132" s="257">
        <f>9696902+1551504-1551504</f>
        <v>9696902</v>
      </c>
    </row>
    <row r="133" spans="1:71" s="212" customFormat="1" ht="30" customHeight="1">
      <c r="A133" s="208">
        <f>COUNT(A121:A132)</f>
        <v>12</v>
      </c>
      <c r="B133" s="763"/>
      <c r="C133" s="208" t="s">
        <v>986</v>
      </c>
      <c r="D133" s="236">
        <f t="shared" ref="D133:BD133" si="77">SUM(D121:D132)</f>
        <v>1179535887</v>
      </c>
      <c r="E133" s="236">
        <f t="shared" si="77"/>
        <v>1131066736</v>
      </c>
      <c r="F133" s="236">
        <f t="shared" si="77"/>
        <v>48469151</v>
      </c>
      <c r="G133" s="236">
        <f t="shared" si="77"/>
        <v>825953350</v>
      </c>
      <c r="H133" s="236">
        <f t="shared" si="77"/>
        <v>823344742</v>
      </c>
      <c r="I133" s="236">
        <f t="shared" si="77"/>
        <v>0</v>
      </c>
      <c r="J133" s="236">
        <f t="shared" si="77"/>
        <v>0</v>
      </c>
      <c r="K133" s="236">
        <f t="shared" si="77"/>
        <v>0</v>
      </c>
      <c r="L133" s="236">
        <f t="shared" si="77"/>
        <v>823344742</v>
      </c>
      <c r="M133" s="236">
        <f t="shared" si="77"/>
        <v>60015</v>
      </c>
      <c r="N133" s="236">
        <f t="shared" si="77"/>
        <v>120535215</v>
      </c>
      <c r="O133" s="236">
        <f t="shared" si="77"/>
        <v>235595915</v>
      </c>
      <c r="P133" s="236">
        <f t="shared" si="77"/>
        <v>2608608</v>
      </c>
      <c r="Q133" s="236">
        <f t="shared" si="77"/>
        <v>13288256</v>
      </c>
      <c r="R133" s="236">
        <f t="shared" si="77"/>
        <v>0</v>
      </c>
      <c r="S133" s="236">
        <f t="shared" si="77"/>
        <v>13288256</v>
      </c>
      <c r="T133" s="236">
        <f t="shared" si="77"/>
        <v>15836849</v>
      </c>
      <c r="U133" s="236">
        <f t="shared" si="77"/>
        <v>104698366</v>
      </c>
      <c r="V133" s="236">
        <f t="shared" si="77"/>
        <v>70492870</v>
      </c>
      <c r="W133" s="236">
        <f t="shared" si="77"/>
        <v>0</v>
      </c>
      <c r="X133" s="236">
        <f t="shared" si="77"/>
        <v>0</v>
      </c>
      <c r="Y133" s="236">
        <f t="shared" si="77"/>
        <v>0</v>
      </c>
      <c r="Z133" s="236">
        <f t="shared" si="77"/>
        <v>0</v>
      </c>
      <c r="AA133" s="236">
        <f t="shared" si="77"/>
        <v>34205496</v>
      </c>
      <c r="AB133" s="236">
        <f t="shared" si="77"/>
        <v>0</v>
      </c>
      <c r="AC133" s="236">
        <f t="shared" si="77"/>
        <v>9388000</v>
      </c>
      <c r="AD133" s="236">
        <f t="shared" si="77"/>
        <v>-3530849</v>
      </c>
      <c r="AE133" s="236">
        <f>SUM(AE121:AE132)</f>
        <v>1500000</v>
      </c>
      <c r="AF133" s="236">
        <f>SUM(AF121:AF132)</f>
        <v>9250000</v>
      </c>
      <c r="AG133" s="236">
        <f t="shared" ref="AG133:AH133" si="78">SUM(AG121:AG132)</f>
        <v>7487413</v>
      </c>
      <c r="AH133" s="236">
        <f t="shared" si="78"/>
        <v>15900000</v>
      </c>
      <c r="AI133" s="236">
        <f t="shared" si="77"/>
        <v>0</v>
      </c>
      <c r="AJ133" s="236">
        <f t="shared" si="77"/>
        <v>54406564</v>
      </c>
      <c r="AK133" s="236">
        <f t="shared" si="77"/>
        <v>50291802</v>
      </c>
      <c r="AL133" s="236">
        <f t="shared" si="77"/>
        <v>23800000</v>
      </c>
      <c r="AM133" s="236">
        <f t="shared" si="77"/>
        <v>-10000000</v>
      </c>
      <c r="AN133" s="236">
        <f t="shared" si="77"/>
        <v>40291802</v>
      </c>
      <c r="AO133" s="236">
        <f t="shared" si="77"/>
        <v>11474200</v>
      </c>
      <c r="AP133" s="236">
        <f t="shared" si="77"/>
        <v>0</v>
      </c>
      <c r="AQ133" s="236">
        <f t="shared" si="77"/>
        <v>0</v>
      </c>
      <c r="AR133" s="236">
        <f t="shared" si="77"/>
        <v>0</v>
      </c>
      <c r="AS133" s="236">
        <f t="shared" si="77"/>
        <v>0</v>
      </c>
      <c r="AT133" s="236">
        <f t="shared" si="77"/>
        <v>28817602</v>
      </c>
      <c r="AU133" s="236">
        <f t="shared" si="77"/>
        <v>0</v>
      </c>
      <c r="AV133" s="236">
        <f t="shared" si="77"/>
        <v>0</v>
      </c>
      <c r="AW133" s="236">
        <f t="shared" si="77"/>
        <v>6264390</v>
      </c>
      <c r="AX133" s="236">
        <f t="shared" si="77"/>
        <v>34027412</v>
      </c>
      <c r="AY133" s="236">
        <f t="shared" si="77"/>
        <v>8974200</v>
      </c>
      <c r="AZ133" s="236">
        <f t="shared" si="77"/>
        <v>0</v>
      </c>
      <c r="BA133" s="236">
        <f t="shared" si="77"/>
        <v>0</v>
      </c>
      <c r="BB133" s="236">
        <f t="shared" si="77"/>
        <v>0</v>
      </c>
      <c r="BC133" s="236">
        <f t="shared" si="77"/>
        <v>0</v>
      </c>
      <c r="BD133" s="236">
        <f t="shared" si="77"/>
        <v>25053212</v>
      </c>
      <c r="BE133" s="236">
        <f t="shared" ref="BE133:BL133" si="79">SUM(BE121:BE132)</f>
        <v>88433976</v>
      </c>
      <c r="BF133" s="236">
        <f t="shared" ref="BF133" si="80">SUM(BF121:BF132)</f>
        <v>16264390</v>
      </c>
      <c r="BG133" s="236">
        <f t="shared" si="79"/>
        <v>57992870</v>
      </c>
      <c r="BH133" s="236">
        <f t="shared" si="79"/>
        <v>0</v>
      </c>
      <c r="BI133" s="236">
        <f t="shared" si="79"/>
        <v>0</v>
      </c>
      <c r="BJ133" s="236">
        <f t="shared" si="79"/>
        <v>0</v>
      </c>
      <c r="BK133" s="236">
        <f t="shared" si="79"/>
        <v>0</v>
      </c>
      <c r="BL133" s="236">
        <f t="shared" si="79"/>
        <v>30441106</v>
      </c>
      <c r="BN133" s="123"/>
      <c r="BO133" s="123"/>
      <c r="BP133" s="123"/>
      <c r="BQ133" s="123"/>
      <c r="BR133" s="123"/>
      <c r="BS133" s="123"/>
    </row>
    <row r="134" spans="1:71" s="512" customFormat="1" ht="30" customHeight="1">
      <c r="A134" s="233">
        <f>A132</f>
        <v>124</v>
      </c>
      <c r="B134" s="233"/>
      <c r="C134" s="20" t="s">
        <v>344</v>
      </c>
      <c r="D134" s="271">
        <f t="shared" ref="D134:BD134" si="81">D133+D118</f>
        <v>3899445537</v>
      </c>
      <c r="E134" s="271">
        <f t="shared" si="81"/>
        <v>3502520292</v>
      </c>
      <c r="F134" s="271">
        <f t="shared" si="81"/>
        <v>396925245</v>
      </c>
      <c r="G134" s="271">
        <f t="shared" si="81"/>
        <v>1854025664</v>
      </c>
      <c r="H134" s="271">
        <f t="shared" si="81"/>
        <v>1826049527</v>
      </c>
      <c r="I134" s="271">
        <f t="shared" si="81"/>
        <v>449944</v>
      </c>
      <c r="J134" s="271">
        <f t="shared" si="81"/>
        <v>1996222</v>
      </c>
      <c r="K134" s="271">
        <f t="shared" si="81"/>
        <v>2446166</v>
      </c>
      <c r="L134" s="271">
        <f t="shared" si="81"/>
        <v>1828495693</v>
      </c>
      <c r="M134" s="271">
        <f t="shared" si="81"/>
        <v>677795</v>
      </c>
      <c r="N134" s="271">
        <f t="shared" si="81"/>
        <v>485183155</v>
      </c>
      <c r="O134" s="271">
        <f t="shared" si="81"/>
        <v>1585088894</v>
      </c>
      <c r="P134" s="271">
        <f t="shared" si="81"/>
        <v>25529971</v>
      </c>
      <c r="Q134" s="271">
        <f t="shared" si="81"/>
        <v>97530155</v>
      </c>
      <c r="R134" s="271">
        <f t="shared" si="81"/>
        <v>7500000</v>
      </c>
      <c r="S134" s="271">
        <f t="shared" si="81"/>
        <v>105030155</v>
      </c>
      <c r="T134" s="271">
        <f t="shared" si="81"/>
        <v>129882331</v>
      </c>
      <c r="U134" s="271">
        <f t="shared" si="81"/>
        <v>355300824</v>
      </c>
      <c r="V134" s="271">
        <f t="shared" si="81"/>
        <v>240768931</v>
      </c>
      <c r="W134" s="271">
        <f t="shared" si="81"/>
        <v>2216408</v>
      </c>
      <c r="X134" s="271">
        <f t="shared" si="81"/>
        <v>0</v>
      </c>
      <c r="Y134" s="271">
        <f t="shared" si="81"/>
        <v>16236186</v>
      </c>
      <c r="Z134" s="271">
        <f t="shared" si="81"/>
        <v>0</v>
      </c>
      <c r="AA134" s="271">
        <f t="shared" si="81"/>
        <v>96079299</v>
      </c>
      <c r="AB134" s="271">
        <f t="shared" si="81"/>
        <v>0</v>
      </c>
      <c r="AC134" s="271">
        <f t="shared" si="81"/>
        <v>96860000</v>
      </c>
      <c r="AD134" s="271">
        <f t="shared" si="81"/>
        <v>-13087331</v>
      </c>
      <c r="AE134" s="271">
        <f>AE133+AE118</f>
        <v>29400000</v>
      </c>
      <c r="AF134" s="271">
        <f>AF133+AF118</f>
        <v>45300000</v>
      </c>
      <c r="AG134" s="271">
        <f t="shared" ref="AG134:AH134" si="82">AG133+AG118</f>
        <v>27937400</v>
      </c>
      <c r="AH134" s="271">
        <f t="shared" si="82"/>
        <v>51549746</v>
      </c>
      <c r="AI134" s="271">
        <f t="shared" si="81"/>
        <v>0</v>
      </c>
      <c r="AJ134" s="271">
        <f t="shared" si="81"/>
        <v>170699815</v>
      </c>
      <c r="AK134" s="271">
        <f t="shared" si="81"/>
        <v>184601009</v>
      </c>
      <c r="AL134" s="271">
        <f t="shared" si="81"/>
        <v>29600000</v>
      </c>
      <c r="AM134" s="271">
        <f t="shared" si="81"/>
        <v>-27750000</v>
      </c>
      <c r="AN134" s="236">
        <f t="shared" si="81"/>
        <v>156851009</v>
      </c>
      <c r="AO134" s="236">
        <f t="shared" si="81"/>
        <v>72980411</v>
      </c>
      <c r="AP134" s="236">
        <f t="shared" si="81"/>
        <v>1500000</v>
      </c>
      <c r="AQ134" s="236">
        <f t="shared" si="81"/>
        <v>0</v>
      </c>
      <c r="AR134" s="236">
        <f t="shared" si="81"/>
        <v>14986186</v>
      </c>
      <c r="AS134" s="236">
        <f t="shared" si="81"/>
        <v>0</v>
      </c>
      <c r="AT134" s="236">
        <f t="shared" si="81"/>
        <v>67384412</v>
      </c>
      <c r="AU134" s="236">
        <f t="shared" si="81"/>
        <v>20150000</v>
      </c>
      <c r="AV134" s="236">
        <f t="shared" si="81"/>
        <v>28300000</v>
      </c>
      <c r="AW134" s="236">
        <f t="shared" si="81"/>
        <v>50863252</v>
      </c>
      <c r="AX134" s="236">
        <f t="shared" si="81"/>
        <v>105987757</v>
      </c>
      <c r="AY134" s="236">
        <f t="shared" si="81"/>
        <v>62219118</v>
      </c>
      <c r="AZ134" s="236">
        <f t="shared" si="81"/>
        <v>1500000</v>
      </c>
      <c r="BA134" s="236">
        <f t="shared" si="81"/>
        <v>0</v>
      </c>
      <c r="BB134" s="236">
        <f t="shared" si="81"/>
        <v>6000000</v>
      </c>
      <c r="BC134" s="236">
        <f t="shared" si="81"/>
        <v>0</v>
      </c>
      <c r="BD134" s="236">
        <f t="shared" si="81"/>
        <v>36268639</v>
      </c>
      <c r="BE134" s="236">
        <f t="shared" ref="BE134:BL134" si="83">BE133+BE118</f>
        <v>276687572</v>
      </c>
      <c r="BF134" s="236">
        <f t="shared" ref="BF134" si="84">BF133+BF118</f>
        <v>78613252</v>
      </c>
      <c r="BG134" s="236">
        <f t="shared" si="83"/>
        <v>202667638</v>
      </c>
      <c r="BH134" s="236">
        <f t="shared" si="83"/>
        <v>2416408</v>
      </c>
      <c r="BI134" s="236">
        <f t="shared" si="83"/>
        <v>0</v>
      </c>
      <c r="BJ134" s="236">
        <f t="shared" si="83"/>
        <v>7500000</v>
      </c>
      <c r="BK134" s="236">
        <f t="shared" si="83"/>
        <v>0</v>
      </c>
      <c r="BL134" s="236">
        <f t="shared" si="83"/>
        <v>64103526</v>
      </c>
      <c r="BN134" s="123"/>
      <c r="BO134" s="123"/>
      <c r="BP134" s="123"/>
      <c r="BQ134" s="123"/>
      <c r="BR134" s="123"/>
      <c r="BS134" s="123"/>
    </row>
    <row r="135" spans="1:71" ht="15" customHeight="1">
      <c r="D135" s="306">
        <f>SUM(L134:O134)</f>
        <v>3899445537</v>
      </c>
      <c r="F135" s="124">
        <f>D134-E134</f>
        <v>396925245</v>
      </c>
      <c r="L135" s="306">
        <f>H134+K134</f>
        <v>1828495693</v>
      </c>
      <c r="P135" s="306">
        <f>G134-L135</f>
        <v>25529971</v>
      </c>
      <c r="T135" s="306">
        <f>P135+S134-M134</f>
        <v>129882331</v>
      </c>
      <c r="U135" s="306">
        <f>N134-T135</f>
        <v>355300824</v>
      </c>
      <c r="V135" s="124"/>
      <c r="W135" s="124"/>
      <c r="X135" s="124"/>
      <c r="Y135" s="124"/>
      <c r="Z135" s="124"/>
      <c r="AA135" s="124"/>
    </row>
    <row r="136" spans="1:71" ht="15" customHeight="1">
      <c r="D136" s="306">
        <f>D134-D135</f>
        <v>0</v>
      </c>
      <c r="L136" s="306">
        <f>L134-L135</f>
        <v>0</v>
      </c>
      <c r="P136" s="306">
        <f>P134-P135</f>
        <v>0</v>
      </c>
      <c r="T136" s="306">
        <f>T134-T135</f>
        <v>0</v>
      </c>
      <c r="U136" s="306">
        <f>U134-U135</f>
        <v>0</v>
      </c>
      <c r="V136" s="124"/>
      <c r="W136" s="124"/>
      <c r="X136" s="124"/>
      <c r="Y136" s="124"/>
      <c r="Z136" s="124"/>
      <c r="AA136" s="124"/>
    </row>
    <row r="137" spans="1:71" ht="15" customHeight="1">
      <c r="U137" s="124"/>
      <c r="V137" s="124"/>
      <c r="W137" s="124"/>
      <c r="X137" s="124"/>
      <c r="Y137" s="124"/>
      <c r="Z137" s="124"/>
      <c r="AA137" s="124"/>
      <c r="AB137" s="124"/>
      <c r="AC137" s="124"/>
    </row>
    <row r="138" spans="1:71">
      <c r="U138" s="124"/>
      <c r="V138" s="124"/>
      <c r="W138" s="124"/>
      <c r="X138" s="124"/>
      <c r="Y138" s="124"/>
      <c r="Z138" s="124"/>
      <c r="AA138" s="124"/>
      <c r="AB138" s="124"/>
      <c r="AC138" s="124"/>
      <c r="AX138" s="206" t="s">
        <v>814</v>
      </c>
    </row>
    <row r="139" spans="1:71">
      <c r="U139" s="124"/>
      <c r="V139" s="124"/>
      <c r="W139" s="124"/>
      <c r="X139" s="124"/>
      <c r="Y139" s="124"/>
      <c r="Z139" s="124"/>
      <c r="AA139" s="124"/>
      <c r="AB139" s="124"/>
      <c r="AC139" s="124"/>
      <c r="AM139" s="297">
        <f>-27650000</f>
        <v>-27650000</v>
      </c>
      <c r="AT139" s="123" t="s">
        <v>987</v>
      </c>
      <c r="AV139" s="4">
        <v>2000000</v>
      </c>
    </row>
    <row r="140" spans="1:71">
      <c r="U140" s="124"/>
      <c r="V140" s="124"/>
      <c r="W140" s="124"/>
      <c r="X140" s="124"/>
      <c r="Y140" s="124"/>
      <c r="Z140" s="124"/>
      <c r="AA140" s="124"/>
      <c r="AB140" s="124"/>
      <c r="AC140" s="124"/>
      <c r="AM140" s="214"/>
      <c r="AT140" s="4">
        <f>8000000+16000000+1500000+2000000</f>
        <v>27500000</v>
      </c>
      <c r="AV140" s="214">
        <f>AV134+AV139</f>
        <v>30300000</v>
      </c>
    </row>
    <row r="141" spans="1:71">
      <c r="AB141" s="123"/>
      <c r="AL141" s="123" t="s">
        <v>988</v>
      </c>
      <c r="AM141" s="214">
        <f>AM134-AM139</f>
        <v>-100000</v>
      </c>
    </row>
    <row r="142" spans="1:71">
      <c r="AB142" s="123"/>
      <c r="AW142" s="123" t="s">
        <v>989</v>
      </c>
      <c r="AX142" s="206">
        <f>AX121+AX11+AX17</f>
        <v>10088112</v>
      </c>
    </row>
    <row r="143" spans="1:71">
      <c r="AB143" s="123"/>
      <c r="AW143" s="123" t="s">
        <v>990</v>
      </c>
      <c r="AX143" s="206">
        <f>AX28+AX40</f>
        <v>3150000</v>
      </c>
    </row>
    <row r="144" spans="1:71">
      <c r="AB144" s="123"/>
    </row>
    <row r="145" spans="28:28">
      <c r="AB145" s="123"/>
    </row>
    <row r="146" spans="28:28">
      <c r="AB146" s="123"/>
    </row>
    <row r="147" spans="28:28">
      <c r="AB147" s="123"/>
    </row>
    <row r="148" spans="28:28">
      <c r="AB148" s="123"/>
    </row>
    <row r="149" spans="28:28">
      <c r="AB149" s="123"/>
    </row>
    <row r="150" spans="28:28">
      <c r="AB150" s="123"/>
    </row>
    <row r="151" spans="28:28">
      <c r="AB151" s="123"/>
    </row>
    <row r="152" spans="28:28">
      <c r="AB152" s="123"/>
    </row>
    <row r="153" spans="28:28">
      <c r="AB153" s="123"/>
    </row>
    <row r="154" spans="28:28">
      <c r="AB154" s="123"/>
    </row>
    <row r="155" spans="28:28">
      <c r="AB155" s="123"/>
    </row>
    <row r="156" spans="28:28">
      <c r="AB156" s="123"/>
    </row>
    <row r="157" spans="28:28">
      <c r="AB157" s="123"/>
    </row>
    <row r="158" spans="28:28">
      <c r="AB158" s="123"/>
    </row>
  </sheetData>
  <sheetProtection formatCells="0" formatColumns="0" formatRows="0" insertColumns="0" insertRows="0" insertHyperlinks="0" deleteColumns="0" deleteRows="0" sort="0" autoFilter="0" pivotTables="0"/>
  <mergeCells count="7">
    <mergeCell ref="BG4:BL4"/>
    <mergeCell ref="A4:C4"/>
    <mergeCell ref="AD4:AK4"/>
    <mergeCell ref="AO4:AT4"/>
    <mergeCell ref="T4:U4"/>
    <mergeCell ref="V4:AA4"/>
    <mergeCell ref="BE4:BF4"/>
  </mergeCells>
  <conditionalFormatting sqref="O19">
    <cfRule type="cellIs" dxfId="190" priority="7" operator="lessThan">
      <formula>0</formula>
    </cfRule>
  </conditionalFormatting>
  <conditionalFormatting sqref="O75">
    <cfRule type="cellIs" dxfId="189" priority="6" operator="lessThan">
      <formula>0</formula>
    </cfRule>
  </conditionalFormatting>
  <conditionalFormatting sqref="O91">
    <cfRule type="cellIs" dxfId="188" priority="5" operator="lessThan">
      <formula>0</formula>
    </cfRule>
  </conditionalFormatting>
  <conditionalFormatting sqref="AB5">
    <cfRule type="cellIs" dxfId="187" priority="8" operator="equal">
      <formula>0</formula>
    </cfRule>
  </conditionalFormatting>
  <conditionalFormatting sqref="AJ5">
    <cfRule type="cellIs" dxfId="186" priority="4" operator="equal">
      <formula>0</formula>
    </cfRule>
  </conditionalFormatting>
  <conditionalFormatting sqref="BO5">
    <cfRule type="cellIs" dxfId="185" priority="3" operator="equal">
      <formula>0</formula>
    </cfRule>
  </conditionalFormatting>
  <conditionalFormatting sqref="AV5">
    <cfRule type="cellIs" dxfId="184" priority="2" operator="equal">
      <formula>0</formula>
    </cfRule>
  </conditionalFormatting>
  <conditionalFormatting sqref="AW5">
    <cfRule type="cellIs" dxfId="183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97E8-2966-4F9E-96AA-7B6B53E4D2B7}">
  <dimension ref="A1:BN133"/>
  <sheetViews>
    <sheetView showZeros="0" rightToLeft="1" zoomScaleNormal="100" workbookViewId="0">
      <pane xSplit="4" ySplit="5" topLeftCell="AG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85546875" defaultRowHeight="15"/>
  <cols>
    <col min="1" max="1" width="3.7109375" style="569" customWidth="1"/>
    <col min="2" max="2" width="5.7109375" style="569" customWidth="1"/>
    <col min="3" max="3" width="24.42578125" style="569" customWidth="1"/>
    <col min="4" max="4" width="11.140625" style="569" hidden="1" customWidth="1"/>
    <col min="5" max="5" width="11.85546875" style="569" hidden="1" customWidth="1"/>
    <col min="6" max="8" width="11.140625" style="569" hidden="1" customWidth="1"/>
    <col min="9" max="10" width="10.140625" style="569" hidden="1" customWidth="1"/>
    <col min="11" max="11" width="10.28515625" style="569" hidden="1" customWidth="1"/>
    <col min="12" max="12" width="11.140625" style="569" hidden="1" customWidth="1"/>
    <col min="13" max="13" width="9.140625" style="569" hidden="1" customWidth="1"/>
    <col min="14" max="15" width="11.140625" style="569" hidden="1" customWidth="1"/>
    <col min="16" max="16" width="10.140625" style="569" hidden="1" customWidth="1"/>
    <col min="17" max="18" width="10.28515625" style="569" hidden="1" customWidth="1"/>
    <col min="19" max="19" width="10.7109375" style="569" hidden="1" customWidth="1"/>
    <col min="20" max="23" width="10.7109375" style="569" customWidth="1"/>
    <col min="24" max="24" width="5" style="569" hidden="1" customWidth="1"/>
    <col min="25" max="25" width="10.7109375" style="569" customWidth="1"/>
    <col min="26" max="26" width="7.42578125" style="569" hidden="1" customWidth="1"/>
    <col min="27" max="27" width="10.7109375" style="569" customWidth="1"/>
    <col min="28" max="28" width="35.28515625" style="569" hidden="1" customWidth="1"/>
    <col min="29" max="29" width="10.140625" style="569" hidden="1" customWidth="1"/>
    <col min="30" max="30" width="11.140625" style="531" hidden="1" customWidth="1"/>
    <col min="31" max="31" width="10.140625" style="531" hidden="1" customWidth="1"/>
    <col min="32" max="34" width="9.140625" style="531" hidden="1" customWidth="1"/>
    <col min="35" max="35" width="8.28515625" style="531" hidden="1" customWidth="1"/>
    <col min="36" max="37" width="10.140625" style="531" hidden="1" customWidth="1"/>
    <col min="38" max="38" width="12.42578125" style="531" hidden="1" customWidth="1"/>
    <col min="39" max="39" width="12.140625" style="523" hidden="1" customWidth="1"/>
    <col min="40" max="41" width="10.140625" style="531" hidden="1" customWidth="1"/>
    <col min="42" max="42" width="10.140625" style="569" hidden="1" customWidth="1"/>
    <col min="43" max="43" width="8.28515625" style="569" hidden="1" customWidth="1"/>
    <col min="44" max="44" width="10.28515625" style="569" hidden="1" customWidth="1"/>
    <col min="45" max="45" width="7.42578125" style="569" hidden="1" customWidth="1"/>
    <col min="46" max="46" width="9.7109375" style="569" hidden="1" customWidth="1"/>
    <col min="47" max="47" width="9.85546875" style="569" hidden="1" customWidth="1"/>
    <col min="48" max="48" width="9.140625" style="531" hidden="1" customWidth="1"/>
    <col min="49" max="49" width="10.140625" style="531" hidden="1" customWidth="1"/>
    <col min="50" max="50" width="10.5703125" style="531" hidden="1" customWidth="1"/>
    <col min="51" max="52" width="10.140625" style="531" hidden="1" customWidth="1"/>
    <col min="53" max="53" width="8.28515625" style="531" hidden="1" customWidth="1"/>
    <col min="54" max="54" width="10.28515625" style="531" hidden="1" customWidth="1"/>
    <col min="55" max="55" width="7.42578125" style="531" hidden="1" customWidth="1"/>
    <col min="56" max="56" width="6.28515625" style="531" hidden="1" customWidth="1"/>
    <col min="57" max="57" width="12.7109375" style="531" customWidth="1"/>
    <col min="58" max="60" width="10.7109375" style="531" customWidth="1"/>
    <col min="61" max="61" width="8.28515625" style="531" hidden="1" customWidth="1"/>
    <col min="62" max="62" width="10.7109375" style="531" customWidth="1"/>
    <col min="63" max="63" width="7.42578125" style="531" hidden="1" customWidth="1"/>
    <col min="64" max="64" width="10.7109375" style="531" customWidth="1"/>
    <col min="65" max="66" width="9.28515625" style="523" customWidth="1"/>
    <col min="67" max="16384" width="8.85546875" style="569"/>
  </cols>
  <sheetData>
    <row r="1" spans="1:64">
      <c r="A1" s="10"/>
      <c r="B1" s="570"/>
      <c r="C1" s="57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0"/>
    </row>
    <row r="2" spans="1:64" ht="18.75">
      <c r="A2" s="41" t="s">
        <v>1383</v>
      </c>
      <c r="B2" s="41"/>
      <c r="C2" s="57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0"/>
    </row>
    <row r="3" spans="1:64" ht="18.75">
      <c r="A3" s="41"/>
      <c r="B3" s="41"/>
      <c r="C3" s="57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0"/>
    </row>
    <row r="4" spans="1:64" ht="21" customHeight="1">
      <c r="A4" s="812"/>
      <c r="B4" s="813"/>
      <c r="C4" s="814"/>
      <c r="D4" s="11"/>
      <c r="E4" s="11"/>
      <c r="F4" s="11"/>
      <c r="G4" s="11"/>
      <c r="H4" s="11"/>
      <c r="I4" s="11"/>
      <c r="J4" s="11"/>
      <c r="K4" s="11"/>
      <c r="L4" s="11"/>
      <c r="M4" s="532"/>
      <c r="N4" s="11"/>
      <c r="O4" s="11"/>
      <c r="P4" s="11"/>
      <c r="Q4" s="11"/>
      <c r="R4" s="11"/>
      <c r="S4" s="11"/>
      <c r="T4" s="811" t="s">
        <v>1354</v>
      </c>
      <c r="U4" s="811"/>
      <c r="V4" s="811" t="s">
        <v>71</v>
      </c>
      <c r="W4" s="811"/>
      <c r="X4" s="811"/>
      <c r="Y4" s="811"/>
      <c r="Z4" s="811"/>
      <c r="AA4" s="811"/>
      <c r="AB4" s="14"/>
      <c r="AC4" s="10"/>
      <c r="AD4" s="807"/>
      <c r="AE4" s="808"/>
      <c r="AF4" s="808"/>
      <c r="AG4" s="808"/>
      <c r="AH4" s="808"/>
      <c r="AI4" s="808"/>
      <c r="AJ4" s="808"/>
      <c r="AK4" s="809"/>
      <c r="AN4" s="766"/>
      <c r="AO4" s="807"/>
      <c r="AP4" s="808"/>
      <c r="AQ4" s="808"/>
      <c r="AR4" s="808"/>
      <c r="AS4" s="808"/>
      <c r="AT4" s="809"/>
      <c r="AU4" s="766"/>
      <c r="AV4" s="766"/>
      <c r="AW4" s="766"/>
      <c r="AX4" s="766"/>
      <c r="AY4" s="766"/>
      <c r="AZ4" s="766"/>
      <c r="BA4" s="766"/>
      <c r="BB4" s="766"/>
      <c r="BC4" s="766"/>
      <c r="BD4" s="766"/>
      <c r="BE4" s="811" t="s">
        <v>1351</v>
      </c>
      <c r="BF4" s="811"/>
      <c r="BG4" s="811" t="s">
        <v>1356</v>
      </c>
      <c r="BH4" s="811"/>
      <c r="BI4" s="811"/>
      <c r="BJ4" s="811"/>
      <c r="BK4" s="811"/>
      <c r="BL4" s="811"/>
    </row>
    <row r="5" spans="1:64" ht="75" customHeight="1">
      <c r="A5" s="533" t="s">
        <v>0</v>
      </c>
      <c r="B5" s="533" t="s">
        <v>1</v>
      </c>
      <c r="C5" s="533" t="s">
        <v>2</v>
      </c>
      <c r="D5" s="533" t="s">
        <v>3</v>
      </c>
      <c r="E5" s="533" t="s">
        <v>4</v>
      </c>
      <c r="F5" s="533" t="s">
        <v>5</v>
      </c>
      <c r="G5" s="533" t="s">
        <v>6</v>
      </c>
      <c r="H5" s="533" t="s">
        <v>7</v>
      </c>
      <c r="I5" s="533" t="s">
        <v>9</v>
      </c>
      <c r="J5" s="533" t="s">
        <v>101</v>
      </c>
      <c r="K5" s="533" t="s">
        <v>10</v>
      </c>
      <c r="L5" s="533" t="s">
        <v>11</v>
      </c>
      <c r="M5" s="533" t="s">
        <v>568</v>
      </c>
      <c r="N5" s="533" t="s">
        <v>569</v>
      </c>
      <c r="O5" s="2" t="s">
        <v>570</v>
      </c>
      <c r="P5" s="534" t="s">
        <v>12</v>
      </c>
      <c r="Q5" s="533" t="s">
        <v>571</v>
      </c>
      <c r="R5" s="533" t="s">
        <v>572</v>
      </c>
      <c r="S5" s="2" t="s">
        <v>573</v>
      </c>
      <c r="T5" s="2" t="s">
        <v>574</v>
      </c>
      <c r="U5" s="2" t="s">
        <v>575</v>
      </c>
      <c r="V5" s="533" t="s">
        <v>13</v>
      </c>
      <c r="W5" s="533" t="s">
        <v>14</v>
      </c>
      <c r="X5" s="533" t="s">
        <v>15</v>
      </c>
      <c r="Y5" s="533" t="s">
        <v>185</v>
      </c>
      <c r="Z5" s="533" t="s">
        <v>385</v>
      </c>
      <c r="AA5" s="533" t="s">
        <v>67</v>
      </c>
      <c r="AB5" s="535" t="s">
        <v>207</v>
      </c>
      <c r="AC5" s="125" t="s">
        <v>16</v>
      </c>
      <c r="AD5" s="518" t="s">
        <v>905</v>
      </c>
      <c r="AE5" s="518" t="s">
        <v>906</v>
      </c>
      <c r="AF5" s="518" t="s">
        <v>907</v>
      </c>
      <c r="AG5" s="518" t="s">
        <v>908</v>
      </c>
      <c r="AH5" s="518" t="s">
        <v>909</v>
      </c>
      <c r="AI5" s="518" t="s">
        <v>910</v>
      </c>
      <c r="AJ5" s="518" t="s">
        <v>911</v>
      </c>
      <c r="AK5" s="518" t="s">
        <v>912</v>
      </c>
      <c r="AL5" s="518" t="s">
        <v>991</v>
      </c>
      <c r="AM5" s="518" t="s">
        <v>914</v>
      </c>
      <c r="AN5" s="518" t="s">
        <v>915</v>
      </c>
      <c r="AO5" s="2" t="s">
        <v>13</v>
      </c>
      <c r="AP5" s="2" t="s">
        <v>14</v>
      </c>
      <c r="AQ5" s="2" t="s">
        <v>15</v>
      </c>
      <c r="AR5" s="2" t="s">
        <v>185</v>
      </c>
      <c r="AS5" s="2" t="s">
        <v>385</v>
      </c>
      <c r="AT5" s="2" t="s">
        <v>67</v>
      </c>
      <c r="AU5" s="518" t="s">
        <v>947</v>
      </c>
      <c r="AV5" s="518" t="s">
        <v>917</v>
      </c>
      <c r="AW5" s="518" t="s">
        <v>918</v>
      </c>
      <c r="AX5" s="518" t="s">
        <v>919</v>
      </c>
      <c r="AY5" s="518" t="s">
        <v>13</v>
      </c>
      <c r="AZ5" s="518" t="s">
        <v>14</v>
      </c>
      <c r="BA5" s="518" t="s">
        <v>15</v>
      </c>
      <c r="BB5" s="518" t="s">
        <v>185</v>
      </c>
      <c r="BC5" s="518" t="s">
        <v>385</v>
      </c>
      <c r="BD5" s="518" t="s">
        <v>67</v>
      </c>
      <c r="BE5" s="494" t="s">
        <v>1355</v>
      </c>
      <c r="BF5" s="518" t="s">
        <v>1350</v>
      </c>
      <c r="BG5" s="518" t="s">
        <v>13</v>
      </c>
      <c r="BH5" s="518" t="s">
        <v>14</v>
      </c>
      <c r="BI5" s="518" t="s">
        <v>15</v>
      </c>
      <c r="BJ5" s="518" t="s">
        <v>185</v>
      </c>
      <c r="BK5" s="518" t="s">
        <v>385</v>
      </c>
      <c r="BL5" s="518" t="s">
        <v>67</v>
      </c>
    </row>
    <row r="6" spans="1:64" ht="30" customHeight="1">
      <c r="A6" s="3">
        <v>1</v>
      </c>
      <c r="B6" s="3">
        <v>1210</v>
      </c>
      <c r="C6" s="3" t="s">
        <v>53</v>
      </c>
      <c r="D6" s="4">
        <f>118550000+12000000</f>
        <v>130550000</v>
      </c>
      <c r="E6" s="4">
        <v>118550000</v>
      </c>
      <c r="F6" s="4">
        <f t="shared" ref="F6:F71" si="0">D6-E6</f>
        <v>12000000</v>
      </c>
      <c r="G6" s="4">
        <v>116200000</v>
      </c>
      <c r="H6" s="4">
        <v>111415805</v>
      </c>
      <c r="I6" s="4">
        <v>0</v>
      </c>
      <c r="J6" s="4"/>
      <c r="K6" s="4">
        <f t="shared" ref="K6:K71" si="1">I6+J6</f>
        <v>0</v>
      </c>
      <c r="L6" s="4">
        <f t="shared" ref="L6:L71" si="2">H6+K6</f>
        <v>111415805</v>
      </c>
      <c r="M6" s="4">
        <f>P6+S6-4780000</f>
        <v>4195</v>
      </c>
      <c r="N6" s="4">
        <f>12000000+4780000</f>
        <v>16780000</v>
      </c>
      <c r="O6" s="4">
        <f t="shared" ref="O6:O71" si="3">D6-L6-M6-N6</f>
        <v>2350000</v>
      </c>
      <c r="P6" s="4">
        <f t="shared" ref="P6:P71" si="4">G6-L6</f>
        <v>4784195</v>
      </c>
      <c r="Q6" s="4"/>
      <c r="R6" s="4"/>
      <c r="S6" s="4">
        <f>SUM(Q6:R6)</f>
        <v>0</v>
      </c>
      <c r="T6" s="4">
        <f t="shared" ref="T6:T71" si="5">P6-M6+S6</f>
        <v>4780000</v>
      </c>
      <c r="U6" s="4">
        <f t="shared" ref="U6:U71" si="6">N6-T6</f>
        <v>12000000</v>
      </c>
      <c r="V6" s="4"/>
      <c r="W6" s="4"/>
      <c r="X6" s="4"/>
      <c r="Y6" s="4"/>
      <c r="Z6" s="4"/>
      <c r="AA6" s="4">
        <f>U6</f>
        <v>12000000</v>
      </c>
      <c r="AB6" s="3" t="s">
        <v>329</v>
      </c>
      <c r="AC6" s="3">
        <v>764000</v>
      </c>
      <c r="AD6" s="4"/>
      <c r="AE6" s="4"/>
      <c r="AF6" s="4"/>
      <c r="AG6" s="4"/>
      <c r="AH6" s="4">
        <v>3000000</v>
      </c>
      <c r="AI6" s="4"/>
      <c r="AJ6" s="4">
        <f t="shared" ref="AJ6:AJ37" si="7">SUM(AD6:AI6)+AL6</f>
        <v>3000000</v>
      </c>
      <c r="AK6" s="4">
        <f>U6-AJ6</f>
        <v>9000000</v>
      </c>
      <c r="AL6" s="112"/>
      <c r="AM6" s="130"/>
      <c r="AN6" s="4">
        <f t="shared" ref="AN6:AN37" si="8">AK6+AM6</f>
        <v>9000000</v>
      </c>
      <c r="AO6" s="4"/>
      <c r="AP6" s="4"/>
      <c r="AQ6" s="4"/>
      <c r="AR6" s="4"/>
      <c r="AS6" s="4"/>
      <c r="AT6" s="4">
        <f>AN6</f>
        <v>9000000</v>
      </c>
      <c r="AU6" s="4"/>
      <c r="AV6" s="4"/>
      <c r="AW6" s="4">
        <v>9000000</v>
      </c>
      <c r="AX6" s="4">
        <f>AN6-AW6</f>
        <v>0</v>
      </c>
      <c r="AY6" s="4"/>
      <c r="AZ6" s="4">
        <f>AX6-AY6-BA6-BB6-BC6-BD6</f>
        <v>0</v>
      </c>
      <c r="BA6" s="4"/>
      <c r="BB6" s="4"/>
      <c r="BC6" s="4"/>
      <c r="BD6" s="4"/>
      <c r="BE6" s="4">
        <f>AX6+AJ6</f>
        <v>3000000</v>
      </c>
      <c r="BF6" s="4">
        <f>U6-BE6</f>
        <v>9000000</v>
      </c>
      <c r="BG6" s="4"/>
      <c r="BH6" s="4">
        <f>BE6-BG6-BI6-BJ6-BK6-BL6</f>
        <v>0</v>
      </c>
      <c r="BI6" s="4"/>
      <c r="BJ6" s="4"/>
      <c r="BK6" s="4"/>
      <c r="BL6" s="4">
        <v>3000000</v>
      </c>
    </row>
    <row r="7" spans="1:64" ht="30" customHeight="1">
      <c r="A7" s="3">
        <f t="shared" ref="A7:A70" si="9">A6+1</f>
        <v>2</v>
      </c>
      <c r="B7" s="3">
        <v>1247</v>
      </c>
      <c r="C7" s="3" t="s">
        <v>39</v>
      </c>
      <c r="D7" s="4">
        <f>9750000+300000</f>
        <v>10050000</v>
      </c>
      <c r="E7" s="4">
        <v>9750000</v>
      </c>
      <c r="F7" s="4">
        <f t="shared" si="0"/>
        <v>300000</v>
      </c>
      <c r="G7" s="4">
        <v>9750000</v>
      </c>
      <c r="H7" s="4">
        <v>9382566</v>
      </c>
      <c r="I7" s="4">
        <v>0</v>
      </c>
      <c r="J7" s="4">
        <f>296384+70902</f>
        <v>367286</v>
      </c>
      <c r="K7" s="4">
        <f t="shared" si="1"/>
        <v>367286</v>
      </c>
      <c r="L7" s="4">
        <f t="shared" si="2"/>
        <v>9749852</v>
      </c>
      <c r="M7" s="4">
        <f>P7+S7</f>
        <v>148</v>
      </c>
      <c r="N7" s="4">
        <v>300000</v>
      </c>
      <c r="O7" s="4">
        <f t="shared" si="3"/>
        <v>0</v>
      </c>
      <c r="P7" s="4">
        <f t="shared" si="4"/>
        <v>148</v>
      </c>
      <c r="Q7" s="4"/>
      <c r="R7" s="4"/>
      <c r="S7" s="4">
        <f>SUM(Q7:R7)</f>
        <v>0</v>
      </c>
      <c r="T7" s="4">
        <f t="shared" si="5"/>
        <v>0</v>
      </c>
      <c r="U7" s="4">
        <f t="shared" si="6"/>
        <v>300000</v>
      </c>
      <c r="V7" s="4"/>
      <c r="W7" s="4">
        <f t="shared" ref="W7:W70" si="10">U7-AA7-V7-Y7</f>
        <v>300000</v>
      </c>
      <c r="X7" s="4"/>
      <c r="Y7" s="4"/>
      <c r="Z7" s="4"/>
      <c r="AA7" s="3"/>
      <c r="AB7" s="3" t="s">
        <v>427</v>
      </c>
      <c r="AC7" s="3">
        <v>732000</v>
      </c>
      <c r="AD7" s="4"/>
      <c r="AE7" s="4">
        <v>100000</v>
      </c>
      <c r="AF7" s="4"/>
      <c r="AG7" s="4"/>
      <c r="AH7" s="4"/>
      <c r="AI7" s="4"/>
      <c r="AJ7" s="4">
        <f t="shared" si="7"/>
        <v>100000</v>
      </c>
      <c r="AK7" s="4">
        <f t="shared" ref="AK7:AK70" si="11">U7-AJ7</f>
        <v>200000</v>
      </c>
      <c r="AL7" s="112"/>
      <c r="AM7" s="130"/>
      <c r="AN7" s="536">
        <f t="shared" si="8"/>
        <v>200000</v>
      </c>
      <c r="AO7" s="4"/>
      <c r="AP7" s="4">
        <f>AN7-AO7-AQ7-AR7-AS7-AT7</f>
        <v>200000</v>
      </c>
      <c r="AQ7" s="4"/>
      <c r="AR7" s="4"/>
      <c r="AS7" s="4"/>
      <c r="AT7" s="4"/>
      <c r="AU7" s="4"/>
      <c r="AV7" s="4"/>
      <c r="AW7" s="4"/>
      <c r="AX7" s="4">
        <f t="shared" ref="AX7:AX70" si="12">AN7-AW7</f>
        <v>200000</v>
      </c>
      <c r="AY7" s="4"/>
      <c r="AZ7" s="4">
        <f t="shared" ref="AZ7:AZ70" si="13">AX7-AY7-BA7-BB7-BC7-BD7</f>
        <v>200000</v>
      </c>
      <c r="BA7" s="4"/>
      <c r="BB7" s="4"/>
      <c r="BC7" s="4"/>
      <c r="BD7" s="4"/>
      <c r="BE7" s="4">
        <f t="shared" ref="BE7:BE70" si="14">AX7+AJ7</f>
        <v>300000</v>
      </c>
      <c r="BF7" s="4">
        <f t="shared" ref="BF7:BF70" si="15">U7-BE7</f>
        <v>0</v>
      </c>
      <c r="BG7" s="4"/>
      <c r="BH7" s="4">
        <f t="shared" ref="BH7:BH70" si="16">BE7-BG7-BI7-BJ7-BK7-BL7</f>
        <v>300000</v>
      </c>
      <c r="BI7" s="4"/>
      <c r="BJ7" s="4"/>
      <c r="BK7" s="4"/>
      <c r="BL7" s="4"/>
    </row>
    <row r="8" spans="1:64" ht="30" customHeight="1">
      <c r="A8" s="3">
        <f t="shared" si="9"/>
        <v>3</v>
      </c>
      <c r="B8" s="3">
        <v>1253</v>
      </c>
      <c r="C8" s="3" t="s">
        <v>40</v>
      </c>
      <c r="D8" s="4">
        <f>6100000+500000</f>
        <v>6600000</v>
      </c>
      <c r="E8" s="4">
        <v>6100000</v>
      </c>
      <c r="F8" s="4">
        <f t="shared" si="0"/>
        <v>500000</v>
      </c>
      <c r="G8" s="4">
        <v>6100000</v>
      </c>
      <c r="H8" s="4">
        <v>5666747</v>
      </c>
      <c r="I8" s="4">
        <v>0</v>
      </c>
      <c r="J8" s="4">
        <v>412935</v>
      </c>
      <c r="K8" s="4">
        <f t="shared" si="1"/>
        <v>412935</v>
      </c>
      <c r="L8" s="4">
        <f t="shared" si="2"/>
        <v>6079682</v>
      </c>
      <c r="M8" s="4">
        <f>P8+S8-20000</f>
        <v>318</v>
      </c>
      <c r="N8" s="4">
        <f>500000+20000</f>
        <v>520000</v>
      </c>
      <c r="O8" s="4">
        <f t="shared" si="3"/>
        <v>0</v>
      </c>
      <c r="P8" s="4">
        <f t="shared" si="4"/>
        <v>20318</v>
      </c>
      <c r="Q8" s="4"/>
      <c r="R8" s="4"/>
      <c r="S8" s="4">
        <f t="shared" ref="S8:S70" si="17">SUM(Q8:R8)</f>
        <v>0</v>
      </c>
      <c r="T8" s="4">
        <f t="shared" si="5"/>
        <v>20000</v>
      </c>
      <c r="U8" s="4">
        <f t="shared" si="6"/>
        <v>500000</v>
      </c>
      <c r="V8" s="4"/>
      <c r="W8" s="4">
        <f t="shared" si="10"/>
        <v>500000</v>
      </c>
      <c r="X8" s="4"/>
      <c r="Y8" s="4"/>
      <c r="Z8" s="4"/>
      <c r="AA8" s="3"/>
      <c r="AB8" s="3" t="s">
        <v>554</v>
      </c>
      <c r="AC8" s="3">
        <v>850000</v>
      </c>
      <c r="AD8" s="4"/>
      <c r="AE8" s="4">
        <v>500000</v>
      </c>
      <c r="AF8" s="4"/>
      <c r="AG8" s="4"/>
      <c r="AH8" s="4"/>
      <c r="AI8" s="4"/>
      <c r="AJ8" s="4">
        <f t="shared" si="7"/>
        <v>500000</v>
      </c>
      <c r="AK8" s="4">
        <f t="shared" si="11"/>
        <v>0</v>
      </c>
      <c r="AL8" s="112"/>
      <c r="AM8" s="130"/>
      <c r="AN8" s="4">
        <f t="shared" si="8"/>
        <v>0</v>
      </c>
      <c r="AO8" s="4"/>
      <c r="AP8" s="4">
        <f t="shared" ref="AP8:AP71" si="18">AN8-AO8-AQ8-AR8-AS8-AT8</f>
        <v>0</v>
      </c>
      <c r="AQ8" s="4"/>
      <c r="AR8" s="4"/>
      <c r="AS8" s="4"/>
      <c r="AT8" s="4"/>
      <c r="AU8" s="4"/>
      <c r="AV8" s="4"/>
      <c r="AW8" s="4"/>
      <c r="AX8" s="4">
        <f t="shared" si="12"/>
        <v>0</v>
      </c>
      <c r="AY8" s="4"/>
      <c r="AZ8" s="4">
        <f t="shared" si="13"/>
        <v>0</v>
      </c>
      <c r="BA8" s="4"/>
      <c r="BB8" s="4"/>
      <c r="BC8" s="4"/>
      <c r="BD8" s="4"/>
      <c r="BE8" s="4">
        <f t="shared" si="14"/>
        <v>500000</v>
      </c>
      <c r="BF8" s="4">
        <f t="shared" si="15"/>
        <v>0</v>
      </c>
      <c r="BG8" s="4"/>
      <c r="BH8" s="4">
        <f t="shared" si="16"/>
        <v>500000</v>
      </c>
      <c r="BI8" s="4"/>
      <c r="BJ8" s="4"/>
      <c r="BK8" s="4"/>
      <c r="BL8" s="4"/>
    </row>
    <row r="9" spans="1:64" ht="30" customHeight="1">
      <c r="A9" s="3">
        <f t="shared" si="9"/>
        <v>4</v>
      </c>
      <c r="B9" s="3">
        <v>1254</v>
      </c>
      <c r="C9" s="3" t="s">
        <v>233</v>
      </c>
      <c r="D9" s="4">
        <f>53372866+8500000</f>
        <v>61872866</v>
      </c>
      <c r="E9" s="4">
        <v>53372866</v>
      </c>
      <c r="F9" s="4">
        <f t="shared" si="0"/>
        <v>8500000</v>
      </c>
      <c r="G9" s="4">
        <v>51372866</v>
      </c>
      <c r="H9" s="4">
        <v>50975610</v>
      </c>
      <c r="I9" s="4">
        <v>0</v>
      </c>
      <c r="J9" s="4">
        <f>358105-100706-93600+3837</f>
        <v>167636</v>
      </c>
      <c r="K9" s="4">
        <f t="shared" si="1"/>
        <v>167636</v>
      </c>
      <c r="L9" s="4">
        <f t="shared" si="2"/>
        <v>51143246</v>
      </c>
      <c r="M9" s="4">
        <f>P9+S9-225000</f>
        <v>4620</v>
      </c>
      <c r="N9" s="4">
        <f>6500000-3500000-1000000+225000</f>
        <v>2225000</v>
      </c>
      <c r="O9" s="4">
        <f t="shared" si="3"/>
        <v>8500000</v>
      </c>
      <c r="P9" s="4">
        <f t="shared" si="4"/>
        <v>229620</v>
      </c>
      <c r="Q9" s="4"/>
      <c r="R9" s="4"/>
      <c r="S9" s="4">
        <f t="shared" si="17"/>
        <v>0</v>
      </c>
      <c r="T9" s="4">
        <f t="shared" si="5"/>
        <v>225000</v>
      </c>
      <c r="U9" s="4">
        <f t="shared" si="6"/>
        <v>2000000</v>
      </c>
      <c r="V9" s="4"/>
      <c r="W9" s="4">
        <f t="shared" si="10"/>
        <v>2000000</v>
      </c>
      <c r="X9" s="4"/>
      <c r="Y9" s="4"/>
      <c r="Z9" s="4"/>
      <c r="AA9" s="3"/>
      <c r="AB9" s="3" t="s">
        <v>520</v>
      </c>
      <c r="AC9" s="3">
        <v>746000</v>
      </c>
      <c r="AD9" s="4"/>
      <c r="AE9" s="4">
        <v>700000</v>
      </c>
      <c r="AF9" s="4">
        <v>85000</v>
      </c>
      <c r="AG9" s="4"/>
      <c r="AH9" s="4">
        <v>1215000</v>
      </c>
      <c r="AI9" s="4"/>
      <c r="AJ9" s="4">
        <f t="shared" si="7"/>
        <v>2000000</v>
      </c>
      <c r="AK9" s="4">
        <f t="shared" si="11"/>
        <v>0</v>
      </c>
      <c r="AL9" s="112"/>
      <c r="AM9" s="130"/>
      <c r="AN9" s="4">
        <f t="shared" si="8"/>
        <v>0</v>
      </c>
      <c r="AO9" s="4"/>
      <c r="AP9" s="4">
        <f t="shared" si="18"/>
        <v>0</v>
      </c>
      <c r="AQ9" s="4"/>
      <c r="AR9" s="4"/>
      <c r="AS9" s="4"/>
      <c r="AT9" s="4"/>
      <c r="AU9" s="4"/>
      <c r="AV9" s="4"/>
      <c r="AW9" s="4"/>
      <c r="AX9" s="4">
        <f t="shared" si="12"/>
        <v>0</v>
      </c>
      <c r="AY9" s="4"/>
      <c r="AZ9" s="4">
        <f t="shared" si="13"/>
        <v>0</v>
      </c>
      <c r="BA9" s="4"/>
      <c r="BB9" s="4"/>
      <c r="BC9" s="4"/>
      <c r="BD9" s="4"/>
      <c r="BE9" s="4">
        <f t="shared" si="14"/>
        <v>2000000</v>
      </c>
      <c r="BF9" s="4">
        <f t="shared" si="15"/>
        <v>0</v>
      </c>
      <c r="BG9" s="4"/>
      <c r="BH9" s="4">
        <f t="shared" si="16"/>
        <v>2000000</v>
      </c>
      <c r="BI9" s="4"/>
      <c r="BJ9" s="4"/>
      <c r="BK9" s="4"/>
      <c r="BL9" s="4"/>
    </row>
    <row r="10" spans="1:64" ht="30" customHeight="1">
      <c r="A10" s="3">
        <f t="shared" si="9"/>
        <v>5</v>
      </c>
      <c r="B10" s="3">
        <v>1342</v>
      </c>
      <c r="C10" s="3" t="s">
        <v>58</v>
      </c>
      <c r="D10" s="4">
        <f>4700000+1500000</f>
        <v>6200000</v>
      </c>
      <c r="E10" s="4">
        <v>4700000</v>
      </c>
      <c r="F10" s="4">
        <f t="shared" si="0"/>
        <v>1500000</v>
      </c>
      <c r="G10" s="4">
        <v>3940000</v>
      </c>
      <c r="H10" s="4">
        <v>3014312</v>
      </c>
      <c r="I10" s="4">
        <v>0</v>
      </c>
      <c r="J10" s="4">
        <v>918785</v>
      </c>
      <c r="K10" s="4">
        <f t="shared" si="1"/>
        <v>918785</v>
      </c>
      <c r="L10" s="4">
        <f t="shared" si="2"/>
        <v>3933097</v>
      </c>
      <c r="M10" s="4">
        <f>P10+S10</f>
        <v>6903</v>
      </c>
      <c r="N10" s="4">
        <f>1500000-750000-250000</f>
        <v>500000</v>
      </c>
      <c r="O10" s="4">
        <f t="shared" si="3"/>
        <v>1760000</v>
      </c>
      <c r="P10" s="4">
        <f t="shared" si="4"/>
        <v>6903</v>
      </c>
      <c r="Q10" s="4"/>
      <c r="R10" s="4"/>
      <c r="S10" s="4">
        <f t="shared" si="17"/>
        <v>0</v>
      </c>
      <c r="T10" s="4">
        <f t="shared" si="5"/>
        <v>0</v>
      </c>
      <c r="U10" s="4">
        <f t="shared" si="6"/>
        <v>500000</v>
      </c>
      <c r="V10" s="4">
        <v>500000</v>
      </c>
      <c r="W10" s="4">
        <f t="shared" si="10"/>
        <v>0</v>
      </c>
      <c r="X10" s="4"/>
      <c r="Y10" s="4"/>
      <c r="Z10" s="4"/>
      <c r="AA10" s="3"/>
      <c r="AB10" s="3" t="s">
        <v>501</v>
      </c>
      <c r="AC10" s="3">
        <v>746000</v>
      </c>
      <c r="AD10" s="4"/>
      <c r="AE10" s="4"/>
      <c r="AF10" s="4"/>
      <c r="AG10" s="4">
        <v>100000</v>
      </c>
      <c r="AH10" s="4"/>
      <c r="AI10" s="4"/>
      <c r="AJ10" s="4">
        <f t="shared" si="7"/>
        <v>100000</v>
      </c>
      <c r="AK10" s="4">
        <f t="shared" si="11"/>
        <v>400000</v>
      </c>
      <c r="AL10" s="112"/>
      <c r="AM10" s="130"/>
      <c r="AN10" s="4">
        <f t="shared" si="8"/>
        <v>400000</v>
      </c>
      <c r="AO10" s="4">
        <v>400000</v>
      </c>
      <c r="AP10" s="4">
        <f t="shared" si="18"/>
        <v>0</v>
      </c>
      <c r="AQ10" s="4"/>
      <c r="AR10" s="4"/>
      <c r="AS10" s="4"/>
      <c r="AT10" s="4"/>
      <c r="AU10" s="4"/>
      <c r="AV10" s="4"/>
      <c r="AW10" s="4">
        <v>250000</v>
      </c>
      <c r="AX10" s="4">
        <v>150000</v>
      </c>
      <c r="AY10" s="4">
        <v>150000</v>
      </c>
      <c r="AZ10" s="4">
        <f t="shared" si="13"/>
        <v>0</v>
      </c>
      <c r="BA10" s="4"/>
      <c r="BB10" s="4"/>
      <c r="BC10" s="4"/>
      <c r="BD10" s="4"/>
      <c r="BE10" s="4">
        <f t="shared" si="14"/>
        <v>250000</v>
      </c>
      <c r="BF10" s="4">
        <f t="shared" si="15"/>
        <v>250000</v>
      </c>
      <c r="BG10" s="4">
        <v>250000</v>
      </c>
      <c r="BH10" s="4">
        <f t="shared" si="16"/>
        <v>0</v>
      </c>
      <c r="BI10" s="4"/>
      <c r="BJ10" s="4"/>
      <c r="BK10" s="4"/>
      <c r="BL10" s="4"/>
    </row>
    <row r="11" spans="1:64" ht="30" customHeight="1">
      <c r="A11" s="3">
        <f t="shared" si="9"/>
        <v>6</v>
      </c>
      <c r="B11" s="3">
        <v>1343</v>
      </c>
      <c r="C11" s="3" t="s">
        <v>59</v>
      </c>
      <c r="D11" s="4">
        <f>7570000+1000000</f>
        <v>8570000</v>
      </c>
      <c r="E11" s="4">
        <v>7570000</v>
      </c>
      <c r="F11" s="4">
        <f t="shared" si="0"/>
        <v>1000000</v>
      </c>
      <c r="G11" s="4">
        <v>7570000</v>
      </c>
      <c r="H11" s="4">
        <v>7193339</v>
      </c>
      <c r="I11" s="4">
        <v>0</v>
      </c>
      <c r="J11" s="4">
        <f>376660-94517-128900</f>
        <v>153243</v>
      </c>
      <c r="K11" s="4">
        <f t="shared" si="1"/>
        <v>153243</v>
      </c>
      <c r="L11" s="4">
        <f t="shared" si="2"/>
        <v>7346582</v>
      </c>
      <c r="M11" s="4">
        <f>P11+S11-200000-20000</f>
        <v>3418</v>
      </c>
      <c r="N11" s="4">
        <f>750000+200000-150000+20000</f>
        <v>820000</v>
      </c>
      <c r="O11" s="4">
        <f t="shared" si="3"/>
        <v>400000</v>
      </c>
      <c r="P11" s="4">
        <f t="shared" si="4"/>
        <v>223418</v>
      </c>
      <c r="Q11" s="4"/>
      <c r="R11" s="4"/>
      <c r="S11" s="4">
        <f t="shared" si="17"/>
        <v>0</v>
      </c>
      <c r="T11" s="4">
        <f t="shared" si="5"/>
        <v>220000</v>
      </c>
      <c r="U11" s="4">
        <f t="shared" si="6"/>
        <v>600000</v>
      </c>
      <c r="V11" s="4"/>
      <c r="W11" s="4">
        <f t="shared" si="10"/>
        <v>600000</v>
      </c>
      <c r="X11" s="4"/>
      <c r="Y11" s="4"/>
      <c r="Z11" s="4"/>
      <c r="AA11" s="3"/>
      <c r="AB11" s="3" t="s">
        <v>356</v>
      </c>
      <c r="AC11" s="3">
        <v>746000</v>
      </c>
      <c r="AD11" s="4"/>
      <c r="AE11" s="4"/>
      <c r="AF11" s="4"/>
      <c r="AG11" s="4">
        <v>200000</v>
      </c>
      <c r="AH11" s="4">
        <v>-500</v>
      </c>
      <c r="AI11" s="4"/>
      <c r="AJ11" s="4">
        <f t="shared" si="7"/>
        <v>199500</v>
      </c>
      <c r="AK11" s="8">
        <f t="shared" si="11"/>
        <v>400500</v>
      </c>
      <c r="AL11" s="112"/>
      <c r="AM11" s="130">
        <v>-500</v>
      </c>
      <c r="AN11" s="4">
        <f t="shared" si="8"/>
        <v>400000</v>
      </c>
      <c r="AO11" s="4"/>
      <c r="AP11" s="4">
        <f t="shared" si="18"/>
        <v>400000</v>
      </c>
      <c r="AQ11" s="4"/>
      <c r="AR11" s="4"/>
      <c r="AS11" s="4"/>
      <c r="AT11" s="4"/>
      <c r="AU11" s="4"/>
      <c r="AV11" s="4"/>
      <c r="AW11" s="4"/>
      <c r="AX11" s="4">
        <f t="shared" si="12"/>
        <v>400000</v>
      </c>
      <c r="AY11" s="4"/>
      <c r="AZ11" s="4">
        <f t="shared" si="13"/>
        <v>400000</v>
      </c>
      <c r="BA11" s="4"/>
      <c r="BB11" s="4"/>
      <c r="BC11" s="4"/>
      <c r="BD11" s="4"/>
      <c r="BE11" s="4">
        <f t="shared" si="14"/>
        <v>599500</v>
      </c>
      <c r="BF11" s="4">
        <f t="shared" si="15"/>
        <v>500</v>
      </c>
      <c r="BG11" s="4"/>
      <c r="BH11" s="4">
        <f t="shared" si="16"/>
        <v>599500</v>
      </c>
      <c r="BI11" s="4"/>
      <c r="BJ11" s="4"/>
      <c r="BK11" s="4"/>
      <c r="BL11" s="4"/>
    </row>
    <row r="12" spans="1:64" ht="30" customHeight="1">
      <c r="A12" s="3">
        <f t="shared" si="9"/>
        <v>7</v>
      </c>
      <c r="B12" s="3">
        <v>1416</v>
      </c>
      <c r="C12" s="3" t="s">
        <v>80</v>
      </c>
      <c r="D12" s="4">
        <f>4600000+600000-200000+470000</f>
        <v>5470000</v>
      </c>
      <c r="E12" s="4">
        <f>4000000+470000</f>
        <v>4470000</v>
      </c>
      <c r="F12" s="4">
        <f t="shared" si="0"/>
        <v>1000000</v>
      </c>
      <c r="G12" s="4">
        <v>4000000</v>
      </c>
      <c r="H12" s="4">
        <v>4000429</v>
      </c>
      <c r="I12" s="4">
        <v>0</v>
      </c>
      <c r="J12" s="4"/>
      <c r="K12" s="4">
        <f t="shared" si="1"/>
        <v>0</v>
      </c>
      <c r="L12" s="4">
        <f t="shared" si="2"/>
        <v>4000429</v>
      </c>
      <c r="M12" s="4">
        <f>P12+S12-450000-15000</f>
        <v>4571</v>
      </c>
      <c r="N12" s="4">
        <f>1000000+450000-1000000+15000+235000+200000</f>
        <v>900000</v>
      </c>
      <c r="O12" s="4">
        <f t="shared" si="3"/>
        <v>565000</v>
      </c>
      <c r="P12" s="4">
        <f t="shared" si="4"/>
        <v>-429</v>
      </c>
      <c r="Q12" s="4"/>
      <c r="R12" s="4">
        <v>470000</v>
      </c>
      <c r="S12" s="4">
        <f t="shared" si="17"/>
        <v>470000</v>
      </c>
      <c r="T12" s="4">
        <f t="shared" si="5"/>
        <v>465000</v>
      </c>
      <c r="U12" s="4">
        <f t="shared" si="6"/>
        <v>435000</v>
      </c>
      <c r="V12" s="4"/>
      <c r="W12" s="4">
        <f t="shared" si="10"/>
        <v>435000</v>
      </c>
      <c r="X12" s="4"/>
      <c r="Y12" s="4"/>
      <c r="Z12" s="4"/>
      <c r="AA12" s="3"/>
      <c r="AB12" s="3" t="s">
        <v>555</v>
      </c>
      <c r="AC12" s="3">
        <v>930000</v>
      </c>
      <c r="AD12" s="4"/>
      <c r="AE12" s="4">
        <v>100000</v>
      </c>
      <c r="AF12" s="4">
        <v>290000</v>
      </c>
      <c r="AG12" s="4"/>
      <c r="AH12" s="4">
        <v>45000</v>
      </c>
      <c r="AI12" s="4"/>
      <c r="AJ12" s="4">
        <f t="shared" si="7"/>
        <v>435000</v>
      </c>
      <c r="AK12" s="4">
        <f t="shared" si="11"/>
        <v>0</v>
      </c>
      <c r="AL12" s="112"/>
      <c r="AM12" s="130"/>
      <c r="AN12" s="4">
        <f t="shared" si="8"/>
        <v>0</v>
      </c>
      <c r="AO12" s="4"/>
      <c r="AP12" s="4">
        <f t="shared" si="18"/>
        <v>0</v>
      </c>
      <c r="AQ12" s="4"/>
      <c r="AR12" s="4"/>
      <c r="AS12" s="4"/>
      <c r="AT12" s="4"/>
      <c r="AU12" s="4">
        <f>200000+430000</f>
        <v>630000</v>
      </c>
      <c r="AV12" s="4"/>
      <c r="AW12" s="4"/>
      <c r="AX12" s="4">
        <f t="shared" si="12"/>
        <v>0</v>
      </c>
      <c r="AY12" s="4"/>
      <c r="AZ12" s="4">
        <f t="shared" si="13"/>
        <v>0</v>
      </c>
      <c r="BA12" s="4"/>
      <c r="BB12" s="4"/>
      <c r="BC12" s="4"/>
      <c r="BD12" s="4"/>
      <c r="BE12" s="4">
        <f t="shared" si="14"/>
        <v>435000</v>
      </c>
      <c r="BF12" s="4">
        <f t="shared" si="15"/>
        <v>0</v>
      </c>
      <c r="BG12" s="4"/>
      <c r="BH12" s="4">
        <f t="shared" si="16"/>
        <v>435000</v>
      </c>
      <c r="BI12" s="4"/>
      <c r="BJ12" s="4"/>
      <c r="BK12" s="4"/>
      <c r="BL12" s="4"/>
    </row>
    <row r="13" spans="1:64" ht="30" customHeight="1">
      <c r="A13" s="3">
        <f t="shared" si="9"/>
        <v>8</v>
      </c>
      <c r="B13" s="3">
        <v>1435</v>
      </c>
      <c r="C13" s="3" t="s">
        <v>466</v>
      </c>
      <c r="D13" s="4">
        <f>42000000+3000000</f>
        <v>45000000</v>
      </c>
      <c r="E13" s="4">
        <v>42000000</v>
      </c>
      <c r="F13" s="4">
        <f t="shared" si="0"/>
        <v>3000000</v>
      </c>
      <c r="G13" s="4">
        <v>38074320</v>
      </c>
      <c r="H13" s="4">
        <v>37408587</v>
      </c>
      <c r="I13" s="4">
        <v>0</v>
      </c>
      <c r="J13" s="4">
        <f>781647-14052-20114</f>
        <v>747481</v>
      </c>
      <c r="K13" s="4">
        <f t="shared" si="1"/>
        <v>747481</v>
      </c>
      <c r="L13" s="4">
        <f t="shared" si="2"/>
        <v>38156068</v>
      </c>
      <c r="M13" s="4">
        <f>P13+S13-100000-115000</f>
        <v>3252</v>
      </c>
      <c r="N13" s="4">
        <f>3000000-400000-600000+115000</f>
        <v>2115000</v>
      </c>
      <c r="O13" s="4">
        <f t="shared" si="3"/>
        <v>4725680</v>
      </c>
      <c r="P13" s="4">
        <f t="shared" si="4"/>
        <v>-81748</v>
      </c>
      <c r="Q13" s="4">
        <v>300000</v>
      </c>
      <c r="R13" s="4"/>
      <c r="S13" s="4">
        <f t="shared" si="17"/>
        <v>300000</v>
      </c>
      <c r="T13" s="4">
        <f t="shared" si="5"/>
        <v>215000</v>
      </c>
      <c r="U13" s="4">
        <f t="shared" si="6"/>
        <v>1900000</v>
      </c>
      <c r="V13" s="4"/>
      <c r="W13" s="4">
        <f t="shared" si="10"/>
        <v>1900000</v>
      </c>
      <c r="X13" s="4"/>
      <c r="Y13" s="4"/>
      <c r="Z13" s="4"/>
      <c r="AA13" s="3"/>
      <c r="AB13" s="3" t="s">
        <v>716</v>
      </c>
      <c r="AC13" s="3">
        <v>848500</v>
      </c>
      <c r="AD13" s="4"/>
      <c r="AE13" s="4"/>
      <c r="AF13" s="4">
        <v>20000</v>
      </c>
      <c r="AG13" s="4">
        <v>30000</v>
      </c>
      <c r="AH13" s="4">
        <v>1850000</v>
      </c>
      <c r="AI13" s="4"/>
      <c r="AJ13" s="4">
        <f t="shared" si="7"/>
        <v>1900000</v>
      </c>
      <c r="AK13" s="4">
        <f t="shared" si="11"/>
        <v>0</v>
      </c>
      <c r="AL13" s="112"/>
      <c r="AM13" s="130"/>
      <c r="AN13" s="4">
        <f t="shared" si="8"/>
        <v>0</v>
      </c>
      <c r="AO13" s="4"/>
      <c r="AP13" s="4">
        <f t="shared" si="18"/>
        <v>0</v>
      </c>
      <c r="AQ13" s="4"/>
      <c r="AR13" s="4"/>
      <c r="AS13" s="4"/>
      <c r="AT13" s="4"/>
      <c r="AU13" s="4"/>
      <c r="AV13" s="4"/>
      <c r="AW13" s="4"/>
      <c r="AX13" s="4">
        <f t="shared" si="12"/>
        <v>0</v>
      </c>
      <c r="AY13" s="4"/>
      <c r="AZ13" s="4">
        <f t="shared" si="13"/>
        <v>0</v>
      </c>
      <c r="BA13" s="4"/>
      <c r="BB13" s="4"/>
      <c r="BC13" s="4"/>
      <c r="BD13" s="4"/>
      <c r="BE13" s="4">
        <f t="shared" si="14"/>
        <v>1900000</v>
      </c>
      <c r="BF13" s="4">
        <f t="shared" si="15"/>
        <v>0</v>
      </c>
      <c r="BG13" s="4"/>
      <c r="BH13" s="4">
        <f t="shared" si="16"/>
        <v>1900000</v>
      </c>
      <c r="BI13" s="4"/>
      <c r="BJ13" s="4"/>
      <c r="BK13" s="4"/>
      <c r="BL13" s="4"/>
    </row>
    <row r="14" spans="1:64" ht="30" customHeight="1">
      <c r="A14" s="3">
        <f t="shared" si="9"/>
        <v>9</v>
      </c>
      <c r="B14" s="3">
        <v>1477</v>
      </c>
      <c r="C14" s="3" t="s">
        <v>350</v>
      </c>
      <c r="D14" s="4">
        <v>9350000</v>
      </c>
      <c r="E14" s="4">
        <v>9350000</v>
      </c>
      <c r="F14" s="4">
        <f t="shared" si="0"/>
        <v>0</v>
      </c>
      <c r="G14" s="4">
        <v>8000000</v>
      </c>
      <c r="H14" s="4">
        <v>5543143</v>
      </c>
      <c r="I14" s="4"/>
      <c r="J14" s="4">
        <v>410309</v>
      </c>
      <c r="K14" s="4">
        <f t="shared" si="1"/>
        <v>410309</v>
      </c>
      <c r="L14" s="4">
        <f t="shared" si="2"/>
        <v>5953452</v>
      </c>
      <c r="M14" s="4">
        <f>P14+S14-2000000-45000</f>
        <v>1548</v>
      </c>
      <c r="N14" s="4"/>
      <c r="O14" s="4">
        <f t="shared" si="3"/>
        <v>3395000</v>
      </c>
      <c r="P14" s="4">
        <f t="shared" si="4"/>
        <v>2046548</v>
      </c>
      <c r="Q14" s="4"/>
      <c r="R14" s="4"/>
      <c r="S14" s="4">
        <f t="shared" si="17"/>
        <v>0</v>
      </c>
      <c r="T14" s="4">
        <f t="shared" si="5"/>
        <v>2045000</v>
      </c>
      <c r="U14" s="4">
        <f t="shared" si="6"/>
        <v>-2045000</v>
      </c>
      <c r="V14" s="4"/>
      <c r="W14" s="4">
        <f t="shared" si="10"/>
        <v>-2045000</v>
      </c>
      <c r="X14" s="4"/>
      <c r="Y14" s="4"/>
      <c r="Z14" s="4"/>
      <c r="AA14" s="3"/>
      <c r="AB14" s="290" t="s">
        <v>533</v>
      </c>
      <c r="AC14" s="290">
        <v>810000</v>
      </c>
      <c r="AD14" s="4">
        <v>-2045000</v>
      </c>
      <c r="AE14" s="4"/>
      <c r="AF14" s="4"/>
      <c r="AG14" s="4"/>
      <c r="AH14" s="4"/>
      <c r="AI14" s="4"/>
      <c r="AJ14" s="4">
        <f t="shared" si="7"/>
        <v>-2045000</v>
      </c>
      <c r="AK14" s="4">
        <f t="shared" si="11"/>
        <v>0</v>
      </c>
      <c r="AL14" s="112"/>
      <c r="AM14" s="130"/>
      <c r="AN14" s="4">
        <f t="shared" si="8"/>
        <v>0</v>
      </c>
      <c r="AO14" s="4"/>
      <c r="AP14" s="4">
        <f t="shared" si="18"/>
        <v>0</v>
      </c>
      <c r="AQ14" s="4"/>
      <c r="AR14" s="4"/>
      <c r="AS14" s="4"/>
      <c r="AT14" s="4"/>
      <c r="AU14" s="4"/>
      <c r="AV14" s="4"/>
      <c r="AW14" s="4"/>
      <c r="AX14" s="4">
        <f t="shared" si="12"/>
        <v>0</v>
      </c>
      <c r="AY14" s="4"/>
      <c r="AZ14" s="4">
        <f t="shared" si="13"/>
        <v>0</v>
      </c>
      <c r="BA14" s="4"/>
      <c r="BB14" s="4"/>
      <c r="BC14" s="4"/>
      <c r="BD14" s="4"/>
      <c r="BE14" s="4">
        <f t="shared" si="14"/>
        <v>-2045000</v>
      </c>
      <c r="BF14" s="4">
        <f t="shared" si="15"/>
        <v>0</v>
      </c>
      <c r="BG14" s="4"/>
      <c r="BH14" s="4">
        <f t="shared" si="16"/>
        <v>-2045000</v>
      </c>
      <c r="BI14" s="4"/>
      <c r="BJ14" s="4"/>
      <c r="BK14" s="4"/>
      <c r="BL14" s="4"/>
    </row>
    <row r="15" spans="1:64" ht="30" customHeight="1">
      <c r="A15" s="3">
        <f t="shared" si="9"/>
        <v>10</v>
      </c>
      <c r="B15" s="3">
        <v>1489</v>
      </c>
      <c r="C15" s="3" t="s">
        <v>228</v>
      </c>
      <c r="D15" s="4">
        <f>68500000+11000000-13000000</f>
        <v>66500000</v>
      </c>
      <c r="E15" s="4">
        <v>68500000</v>
      </c>
      <c r="F15" s="4">
        <f t="shared" si="0"/>
        <v>-2000000</v>
      </c>
      <c r="G15" s="4">
        <v>66500000</v>
      </c>
      <c r="H15" s="4">
        <v>61784558</v>
      </c>
      <c r="I15" s="4">
        <v>0</v>
      </c>
      <c r="J15" s="4">
        <f>4379600-35097-3510-5850-3112-276508-27650-44460-24403-14865-40081-4008-3086-265968-26596-25740-22281-13572</f>
        <v>3542813</v>
      </c>
      <c r="K15" s="4">
        <f t="shared" si="1"/>
        <v>3542813</v>
      </c>
      <c r="L15" s="4">
        <f t="shared" si="2"/>
        <v>65327371</v>
      </c>
      <c r="M15" s="4">
        <f>P15+S15-280000-890000</f>
        <v>2629</v>
      </c>
      <c r="N15" s="4">
        <f>17000000-4000000-6000000-720000-1780000+500000-3830000</f>
        <v>1170000</v>
      </c>
      <c r="O15" s="4">
        <f t="shared" si="3"/>
        <v>0</v>
      </c>
      <c r="P15" s="4">
        <f t="shared" si="4"/>
        <v>1172629</v>
      </c>
      <c r="Q15" s="4"/>
      <c r="R15" s="4"/>
      <c r="S15" s="4">
        <f t="shared" si="17"/>
        <v>0</v>
      </c>
      <c r="T15" s="4">
        <f t="shared" si="5"/>
        <v>1170000</v>
      </c>
      <c r="U15" s="4">
        <f t="shared" si="6"/>
        <v>0</v>
      </c>
      <c r="V15" s="4"/>
      <c r="W15" s="4">
        <f t="shared" si="10"/>
        <v>0</v>
      </c>
      <c r="X15" s="4"/>
      <c r="Y15" s="4"/>
      <c r="Z15" s="4"/>
      <c r="AA15" s="3"/>
      <c r="AB15" s="3" t="s">
        <v>764</v>
      </c>
      <c r="AC15" s="3">
        <v>742000</v>
      </c>
      <c r="AD15" s="4"/>
      <c r="AE15" s="4"/>
      <c r="AF15" s="4"/>
      <c r="AG15" s="4"/>
      <c r="AH15" s="4"/>
      <c r="AI15" s="4"/>
      <c r="AJ15" s="4">
        <f t="shared" si="7"/>
        <v>0</v>
      </c>
      <c r="AK15" s="4">
        <f t="shared" si="11"/>
        <v>0</v>
      </c>
      <c r="AL15" s="112"/>
      <c r="AM15" s="130"/>
      <c r="AN15" s="4">
        <f t="shared" si="8"/>
        <v>0</v>
      </c>
      <c r="AO15" s="4"/>
      <c r="AP15" s="4">
        <f t="shared" si="18"/>
        <v>0</v>
      </c>
      <c r="AQ15" s="4"/>
      <c r="AR15" s="4"/>
      <c r="AS15" s="4"/>
      <c r="AT15" s="4"/>
      <c r="AU15" s="4"/>
      <c r="AV15" s="4"/>
      <c r="AW15" s="4"/>
      <c r="AX15" s="4">
        <f t="shared" si="12"/>
        <v>0</v>
      </c>
      <c r="AY15" s="4"/>
      <c r="AZ15" s="4">
        <f t="shared" si="13"/>
        <v>0</v>
      </c>
      <c r="BA15" s="4"/>
      <c r="BB15" s="4"/>
      <c r="BC15" s="4"/>
      <c r="BD15" s="4"/>
      <c r="BE15" s="4">
        <f t="shared" si="14"/>
        <v>0</v>
      </c>
      <c r="BF15" s="4">
        <f t="shared" si="15"/>
        <v>0</v>
      </c>
      <c r="BG15" s="4"/>
      <c r="BH15" s="4">
        <f t="shared" si="16"/>
        <v>0</v>
      </c>
      <c r="BI15" s="4"/>
      <c r="BJ15" s="4"/>
      <c r="BK15" s="4"/>
      <c r="BL15" s="4"/>
    </row>
    <row r="16" spans="1:64" ht="30" customHeight="1">
      <c r="A16" s="3">
        <f t="shared" si="9"/>
        <v>11</v>
      </c>
      <c r="B16" s="3">
        <v>1504</v>
      </c>
      <c r="C16" s="3" t="s">
        <v>60</v>
      </c>
      <c r="D16" s="4">
        <v>2500000</v>
      </c>
      <c r="E16" s="4">
        <v>2500000</v>
      </c>
      <c r="F16" s="4">
        <f t="shared" si="0"/>
        <v>0</v>
      </c>
      <c r="G16" s="4">
        <v>1800000</v>
      </c>
      <c r="H16" s="4">
        <v>1793055</v>
      </c>
      <c r="I16" s="4">
        <v>0</v>
      </c>
      <c r="J16" s="4"/>
      <c r="K16" s="4">
        <f t="shared" si="1"/>
        <v>0</v>
      </c>
      <c r="L16" s="4">
        <f t="shared" si="2"/>
        <v>1793055</v>
      </c>
      <c r="M16" s="4">
        <f>P16+S16-100000-5000</f>
        <v>1945</v>
      </c>
      <c r="N16" s="4">
        <f>300000+5000</f>
        <v>305000</v>
      </c>
      <c r="O16" s="4">
        <f t="shared" si="3"/>
        <v>400000</v>
      </c>
      <c r="P16" s="4">
        <f t="shared" si="4"/>
        <v>6945</v>
      </c>
      <c r="Q16" s="4">
        <v>100000</v>
      </c>
      <c r="R16" s="4"/>
      <c r="S16" s="4">
        <f t="shared" si="17"/>
        <v>100000</v>
      </c>
      <c r="T16" s="4">
        <f t="shared" si="5"/>
        <v>105000</v>
      </c>
      <c r="U16" s="4">
        <f t="shared" si="6"/>
        <v>200000</v>
      </c>
      <c r="V16" s="4">
        <v>200000</v>
      </c>
      <c r="W16" s="4">
        <f t="shared" si="10"/>
        <v>0</v>
      </c>
      <c r="X16" s="4"/>
      <c r="Y16" s="4"/>
      <c r="Z16" s="4"/>
      <c r="AA16" s="3"/>
      <c r="AB16" s="3" t="s">
        <v>315</v>
      </c>
      <c r="AC16" s="3">
        <v>746000</v>
      </c>
      <c r="AD16" s="4"/>
      <c r="AE16" s="4"/>
      <c r="AF16" s="4"/>
      <c r="AG16" s="4">
        <v>200000</v>
      </c>
      <c r="AH16" s="4"/>
      <c r="AI16" s="4"/>
      <c r="AJ16" s="4">
        <f t="shared" si="7"/>
        <v>200000</v>
      </c>
      <c r="AK16" s="4">
        <f t="shared" si="11"/>
        <v>0</v>
      </c>
      <c r="AL16" s="112"/>
      <c r="AM16" s="130"/>
      <c r="AN16" s="4">
        <f t="shared" si="8"/>
        <v>0</v>
      </c>
      <c r="AO16" s="4"/>
      <c r="AP16" s="4">
        <f t="shared" si="18"/>
        <v>0</v>
      </c>
      <c r="AQ16" s="4"/>
      <c r="AR16" s="4"/>
      <c r="AS16" s="4"/>
      <c r="AT16" s="4"/>
      <c r="AU16" s="4"/>
      <c r="AV16" s="4"/>
      <c r="AW16" s="4"/>
      <c r="AX16" s="4">
        <f t="shared" si="12"/>
        <v>0</v>
      </c>
      <c r="AY16" s="4"/>
      <c r="AZ16" s="4">
        <f t="shared" si="13"/>
        <v>0</v>
      </c>
      <c r="BA16" s="4"/>
      <c r="BB16" s="4"/>
      <c r="BC16" s="4"/>
      <c r="BD16" s="4"/>
      <c r="BE16" s="4">
        <f t="shared" si="14"/>
        <v>200000</v>
      </c>
      <c r="BF16" s="4">
        <f t="shared" si="15"/>
        <v>0</v>
      </c>
      <c r="BG16" s="4">
        <v>200000</v>
      </c>
      <c r="BH16" s="4">
        <f t="shared" si="16"/>
        <v>0</v>
      </c>
      <c r="BI16" s="4"/>
      <c r="BJ16" s="4"/>
      <c r="BK16" s="4"/>
      <c r="BL16" s="4"/>
    </row>
    <row r="17" spans="1:64" ht="30" customHeight="1">
      <c r="A17" s="3">
        <f t="shared" si="9"/>
        <v>12</v>
      </c>
      <c r="B17" s="3">
        <v>1560</v>
      </c>
      <c r="C17" s="3" t="s">
        <v>41</v>
      </c>
      <c r="D17" s="4">
        <f>9060000+3725000</f>
        <v>12785000</v>
      </c>
      <c r="E17" s="4">
        <v>9060000</v>
      </c>
      <c r="F17" s="4">
        <f t="shared" si="0"/>
        <v>3725000</v>
      </c>
      <c r="G17" s="4">
        <v>9060000</v>
      </c>
      <c r="H17" s="4">
        <v>8852994</v>
      </c>
      <c r="I17" s="4">
        <v>0</v>
      </c>
      <c r="J17" s="4"/>
      <c r="K17" s="4">
        <f t="shared" si="1"/>
        <v>0</v>
      </c>
      <c r="L17" s="4">
        <f t="shared" si="2"/>
        <v>8852994</v>
      </c>
      <c r="M17" s="4">
        <f>P17+S17-200000</f>
        <v>7006</v>
      </c>
      <c r="N17" s="4">
        <f>2595000+1005000+125000-1975000-750000+200000</f>
        <v>1200000</v>
      </c>
      <c r="O17" s="4">
        <f t="shared" si="3"/>
        <v>2725000</v>
      </c>
      <c r="P17" s="4">
        <f t="shared" si="4"/>
        <v>207006</v>
      </c>
      <c r="Q17" s="4"/>
      <c r="R17" s="4"/>
      <c r="S17" s="4">
        <f t="shared" si="17"/>
        <v>0</v>
      </c>
      <c r="T17" s="4">
        <f t="shared" si="5"/>
        <v>200000</v>
      </c>
      <c r="U17" s="4">
        <f t="shared" si="6"/>
        <v>1000000</v>
      </c>
      <c r="V17" s="4"/>
      <c r="W17" s="4">
        <f t="shared" si="10"/>
        <v>1000000</v>
      </c>
      <c r="X17" s="4"/>
      <c r="Y17" s="4"/>
      <c r="Z17" s="4"/>
      <c r="AA17" s="3"/>
      <c r="AB17" s="3" t="s">
        <v>616</v>
      </c>
      <c r="AC17" s="3">
        <v>746000</v>
      </c>
      <c r="AD17" s="4"/>
      <c r="AE17" s="4"/>
      <c r="AF17" s="4"/>
      <c r="AG17" s="4">
        <v>300000</v>
      </c>
      <c r="AH17" s="4">
        <v>700000</v>
      </c>
      <c r="AI17" s="4"/>
      <c r="AJ17" s="4">
        <f t="shared" si="7"/>
        <v>1000000</v>
      </c>
      <c r="AK17" s="4">
        <f t="shared" si="11"/>
        <v>0</v>
      </c>
      <c r="AL17" s="112"/>
      <c r="AM17" s="130"/>
      <c r="AN17" s="4">
        <f t="shared" si="8"/>
        <v>0</v>
      </c>
      <c r="AO17" s="4"/>
      <c r="AP17" s="4">
        <f t="shared" si="18"/>
        <v>0</v>
      </c>
      <c r="AQ17" s="4"/>
      <c r="AR17" s="4"/>
      <c r="AS17" s="4"/>
      <c r="AT17" s="4"/>
      <c r="AU17" s="4"/>
      <c r="AV17" s="4"/>
      <c r="AW17" s="4"/>
      <c r="AX17" s="4">
        <f t="shared" si="12"/>
        <v>0</v>
      </c>
      <c r="AY17" s="4"/>
      <c r="AZ17" s="4">
        <f t="shared" si="13"/>
        <v>0</v>
      </c>
      <c r="BA17" s="4"/>
      <c r="BB17" s="4"/>
      <c r="BC17" s="4"/>
      <c r="BD17" s="4"/>
      <c r="BE17" s="4">
        <f t="shared" si="14"/>
        <v>1000000</v>
      </c>
      <c r="BF17" s="4">
        <f t="shared" si="15"/>
        <v>0</v>
      </c>
      <c r="BG17" s="4"/>
      <c r="BH17" s="4">
        <f t="shared" si="16"/>
        <v>1000000</v>
      </c>
      <c r="BI17" s="4"/>
      <c r="BJ17" s="4"/>
      <c r="BK17" s="4"/>
      <c r="BL17" s="4"/>
    </row>
    <row r="18" spans="1:64" ht="30" customHeight="1">
      <c r="A18" s="3">
        <f t="shared" si="9"/>
        <v>13</v>
      </c>
      <c r="B18" s="3">
        <v>1621</v>
      </c>
      <c r="C18" s="127" t="s">
        <v>42</v>
      </c>
      <c r="D18" s="4">
        <f>6030000+40000</f>
        <v>6070000</v>
      </c>
      <c r="E18" s="4">
        <v>6030000</v>
      </c>
      <c r="F18" s="4">
        <f t="shared" si="0"/>
        <v>40000</v>
      </c>
      <c r="G18" s="4">
        <v>4400000</v>
      </c>
      <c r="H18" s="4">
        <v>3545139</v>
      </c>
      <c r="I18" s="4">
        <v>0</v>
      </c>
      <c r="J18" s="4">
        <f>893856-24937-89006-75000</f>
        <v>704913</v>
      </c>
      <c r="K18" s="4">
        <f t="shared" si="1"/>
        <v>704913</v>
      </c>
      <c r="L18" s="4">
        <f t="shared" si="2"/>
        <v>4250052</v>
      </c>
      <c r="M18" s="4">
        <f>P18+S18-250000-45000</f>
        <v>4948</v>
      </c>
      <c r="N18" s="4">
        <f>1670000+45000</f>
        <v>1715000</v>
      </c>
      <c r="O18" s="4">
        <f t="shared" si="3"/>
        <v>100000</v>
      </c>
      <c r="P18" s="4">
        <f t="shared" si="4"/>
        <v>149948</v>
      </c>
      <c r="Q18" s="4"/>
      <c r="R18" s="4">
        <v>150000</v>
      </c>
      <c r="S18" s="4">
        <f t="shared" si="17"/>
        <v>150000</v>
      </c>
      <c r="T18" s="4">
        <f t="shared" si="5"/>
        <v>295000</v>
      </c>
      <c r="U18" s="4">
        <f t="shared" si="6"/>
        <v>1420000</v>
      </c>
      <c r="V18" s="4"/>
      <c r="W18" s="4">
        <f t="shared" si="10"/>
        <v>1420000</v>
      </c>
      <c r="X18" s="4"/>
      <c r="Y18" s="4"/>
      <c r="Z18" s="4"/>
      <c r="AA18" s="3"/>
      <c r="AB18" s="210" t="s">
        <v>428</v>
      </c>
      <c r="AC18" s="127">
        <v>723000</v>
      </c>
      <c r="AD18" s="4"/>
      <c r="AE18" s="4"/>
      <c r="AF18" s="4">
        <v>1420000</v>
      </c>
      <c r="AG18" s="4"/>
      <c r="AH18" s="4"/>
      <c r="AI18" s="4"/>
      <c r="AJ18" s="4">
        <f t="shared" si="7"/>
        <v>1420000</v>
      </c>
      <c r="AK18" s="4">
        <f t="shared" si="11"/>
        <v>0</v>
      </c>
      <c r="AL18" s="112"/>
      <c r="AM18" s="130"/>
      <c r="AN18" s="4">
        <f t="shared" si="8"/>
        <v>0</v>
      </c>
      <c r="AO18" s="4"/>
      <c r="AP18" s="4">
        <f t="shared" si="18"/>
        <v>0</v>
      </c>
      <c r="AQ18" s="4"/>
      <c r="AR18" s="4"/>
      <c r="AS18" s="4"/>
      <c r="AT18" s="4"/>
      <c r="AU18" s="4"/>
      <c r="AV18" s="4"/>
      <c r="AW18" s="4"/>
      <c r="AX18" s="4">
        <f t="shared" si="12"/>
        <v>0</v>
      </c>
      <c r="AY18" s="4"/>
      <c r="AZ18" s="4">
        <f t="shared" si="13"/>
        <v>0</v>
      </c>
      <c r="BA18" s="4"/>
      <c r="BB18" s="4"/>
      <c r="BC18" s="4"/>
      <c r="BD18" s="4"/>
      <c r="BE18" s="4">
        <f t="shared" si="14"/>
        <v>1420000</v>
      </c>
      <c r="BF18" s="4">
        <f t="shared" si="15"/>
        <v>0</v>
      </c>
      <c r="BG18" s="4"/>
      <c r="BH18" s="4">
        <f t="shared" si="16"/>
        <v>1420000</v>
      </c>
      <c r="BI18" s="4"/>
      <c r="BJ18" s="4"/>
      <c r="BK18" s="4"/>
      <c r="BL18" s="4"/>
    </row>
    <row r="19" spans="1:64" ht="30" customHeight="1">
      <c r="A19" s="3">
        <f t="shared" si="9"/>
        <v>14</v>
      </c>
      <c r="B19" s="3">
        <v>1680</v>
      </c>
      <c r="C19" s="3" t="s">
        <v>61</v>
      </c>
      <c r="D19" s="4">
        <f>1700000+1000000</f>
        <v>2700000</v>
      </c>
      <c r="E19" s="4">
        <v>1700000</v>
      </c>
      <c r="F19" s="4">
        <f t="shared" si="0"/>
        <v>1000000</v>
      </c>
      <c r="G19" s="4">
        <v>1600000</v>
      </c>
      <c r="H19" s="4">
        <v>1547840</v>
      </c>
      <c r="I19" s="4">
        <v>0</v>
      </c>
      <c r="J19" s="4">
        <v>47258</v>
      </c>
      <c r="K19" s="4">
        <f t="shared" si="1"/>
        <v>47258</v>
      </c>
      <c r="L19" s="4">
        <f t="shared" si="2"/>
        <v>1595098</v>
      </c>
      <c r="M19" s="4">
        <f>P19+S19-150000+50000</f>
        <v>4902</v>
      </c>
      <c r="N19" s="4">
        <f>800000-250000-50000-50000</f>
        <v>450000</v>
      </c>
      <c r="O19" s="4">
        <f t="shared" si="3"/>
        <v>650000</v>
      </c>
      <c r="P19" s="4">
        <f t="shared" si="4"/>
        <v>4902</v>
      </c>
      <c r="Q19" s="4">
        <v>100000</v>
      </c>
      <c r="R19" s="4"/>
      <c r="S19" s="4">
        <f t="shared" si="17"/>
        <v>100000</v>
      </c>
      <c r="T19" s="4">
        <f t="shared" si="5"/>
        <v>100000</v>
      </c>
      <c r="U19" s="4">
        <f t="shared" si="6"/>
        <v>350000</v>
      </c>
      <c r="V19" s="4"/>
      <c r="W19" s="4">
        <f t="shared" si="10"/>
        <v>350000</v>
      </c>
      <c r="X19" s="4"/>
      <c r="Y19" s="4"/>
      <c r="Z19" s="4"/>
      <c r="AA19" s="3"/>
      <c r="AB19" s="3" t="s">
        <v>357</v>
      </c>
      <c r="AC19" s="3">
        <v>746000</v>
      </c>
      <c r="AD19" s="4"/>
      <c r="AE19" s="4">
        <v>100000</v>
      </c>
      <c r="AF19" s="4"/>
      <c r="AG19" s="4">
        <v>250000</v>
      </c>
      <c r="AH19" s="4"/>
      <c r="AI19" s="4"/>
      <c r="AJ19" s="4">
        <f t="shared" si="7"/>
        <v>350000</v>
      </c>
      <c r="AK19" s="4">
        <f t="shared" si="11"/>
        <v>0</v>
      </c>
      <c r="AL19" s="112"/>
      <c r="AM19" s="130"/>
      <c r="AN19" s="4">
        <f t="shared" si="8"/>
        <v>0</v>
      </c>
      <c r="AO19" s="4"/>
      <c r="AP19" s="4">
        <f t="shared" si="18"/>
        <v>0</v>
      </c>
      <c r="AQ19" s="4"/>
      <c r="AR19" s="4"/>
      <c r="AS19" s="4"/>
      <c r="AT19" s="4"/>
      <c r="AU19" s="4"/>
      <c r="AV19" s="4"/>
      <c r="AW19" s="4"/>
      <c r="AX19" s="4">
        <f t="shared" si="12"/>
        <v>0</v>
      </c>
      <c r="AY19" s="4"/>
      <c r="AZ19" s="4">
        <f t="shared" si="13"/>
        <v>0</v>
      </c>
      <c r="BA19" s="4"/>
      <c r="BB19" s="4"/>
      <c r="BC19" s="4"/>
      <c r="BD19" s="4"/>
      <c r="BE19" s="4">
        <f t="shared" si="14"/>
        <v>350000</v>
      </c>
      <c r="BF19" s="4">
        <f t="shared" si="15"/>
        <v>0</v>
      </c>
      <c r="BG19" s="4"/>
      <c r="BH19" s="4">
        <f t="shared" si="16"/>
        <v>350000</v>
      </c>
      <c r="BI19" s="4"/>
      <c r="BJ19" s="4"/>
      <c r="BK19" s="4"/>
      <c r="BL19" s="4"/>
    </row>
    <row r="20" spans="1:64" ht="30" customHeight="1">
      <c r="A20" s="3">
        <f t="shared" si="9"/>
        <v>15</v>
      </c>
      <c r="B20" s="3">
        <v>1848</v>
      </c>
      <c r="C20" s="3" t="s">
        <v>478</v>
      </c>
      <c r="D20" s="4">
        <f>1900000+100000</f>
        <v>2000000</v>
      </c>
      <c r="E20" s="4">
        <v>1900000</v>
      </c>
      <c r="F20" s="4">
        <f t="shared" si="0"/>
        <v>100000</v>
      </c>
      <c r="G20" s="4">
        <v>1800000</v>
      </c>
      <c r="H20" s="4">
        <v>1760675</v>
      </c>
      <c r="I20" s="4">
        <v>0</v>
      </c>
      <c r="J20" s="4">
        <v>13406</v>
      </c>
      <c r="K20" s="4">
        <f t="shared" si="1"/>
        <v>13406</v>
      </c>
      <c r="L20" s="4">
        <f t="shared" si="2"/>
        <v>1774081</v>
      </c>
      <c r="M20" s="4">
        <f>P20+S20-25000</f>
        <v>919</v>
      </c>
      <c r="N20" s="4">
        <f>200000+25000</f>
        <v>225000</v>
      </c>
      <c r="O20" s="4">
        <f t="shared" si="3"/>
        <v>0</v>
      </c>
      <c r="P20" s="4">
        <f t="shared" si="4"/>
        <v>25919</v>
      </c>
      <c r="Q20" s="4"/>
      <c r="R20" s="4"/>
      <c r="S20" s="4">
        <f t="shared" si="17"/>
        <v>0</v>
      </c>
      <c r="T20" s="4">
        <f t="shared" si="5"/>
        <v>25000</v>
      </c>
      <c r="U20" s="4">
        <f t="shared" si="6"/>
        <v>200000</v>
      </c>
      <c r="V20" s="4"/>
      <c r="W20" s="4">
        <f t="shared" si="10"/>
        <v>200000</v>
      </c>
      <c r="X20" s="4"/>
      <c r="Y20" s="4"/>
      <c r="Z20" s="4"/>
      <c r="AA20" s="3"/>
      <c r="AB20" s="3" t="s">
        <v>429</v>
      </c>
      <c r="AC20" s="3">
        <v>742000</v>
      </c>
      <c r="AD20" s="4"/>
      <c r="AE20" s="4">
        <v>200000</v>
      </c>
      <c r="AF20" s="4"/>
      <c r="AG20" s="4"/>
      <c r="AH20" s="4"/>
      <c r="AI20" s="4"/>
      <c r="AJ20" s="4">
        <f t="shared" si="7"/>
        <v>200000</v>
      </c>
      <c r="AK20" s="4">
        <f t="shared" si="11"/>
        <v>0</v>
      </c>
      <c r="AL20" s="112"/>
      <c r="AM20" s="130"/>
      <c r="AN20" s="4">
        <f t="shared" si="8"/>
        <v>0</v>
      </c>
      <c r="AO20" s="4"/>
      <c r="AP20" s="4">
        <f t="shared" si="18"/>
        <v>0</v>
      </c>
      <c r="AQ20" s="4"/>
      <c r="AR20" s="4"/>
      <c r="AS20" s="4"/>
      <c r="AT20" s="4"/>
      <c r="AU20" s="4"/>
      <c r="AV20" s="4"/>
      <c r="AW20" s="4"/>
      <c r="AX20" s="4">
        <f t="shared" si="12"/>
        <v>0</v>
      </c>
      <c r="AY20" s="4"/>
      <c r="AZ20" s="4">
        <f t="shared" si="13"/>
        <v>0</v>
      </c>
      <c r="BA20" s="4"/>
      <c r="BB20" s="4"/>
      <c r="BC20" s="4"/>
      <c r="BD20" s="4"/>
      <c r="BE20" s="4">
        <f t="shared" si="14"/>
        <v>200000</v>
      </c>
      <c r="BF20" s="4">
        <f t="shared" si="15"/>
        <v>0</v>
      </c>
      <c r="BG20" s="4"/>
      <c r="BH20" s="4">
        <f t="shared" si="16"/>
        <v>200000</v>
      </c>
      <c r="BI20" s="4"/>
      <c r="BJ20" s="4"/>
      <c r="BK20" s="4"/>
      <c r="BL20" s="4"/>
    </row>
    <row r="21" spans="1:64" ht="30" customHeight="1">
      <c r="A21" s="3">
        <f t="shared" si="9"/>
        <v>16</v>
      </c>
      <c r="B21" s="3">
        <v>1850</v>
      </c>
      <c r="C21" s="3" t="s">
        <v>324</v>
      </c>
      <c r="D21" s="4">
        <v>14600000</v>
      </c>
      <c r="E21" s="4">
        <v>14600000</v>
      </c>
      <c r="F21" s="4">
        <f t="shared" si="0"/>
        <v>0</v>
      </c>
      <c r="G21" s="4">
        <v>6700000</v>
      </c>
      <c r="H21" s="4">
        <v>6678072</v>
      </c>
      <c r="I21" s="4">
        <v>0</v>
      </c>
      <c r="J21" s="4"/>
      <c r="K21" s="4">
        <f t="shared" si="1"/>
        <v>0</v>
      </c>
      <c r="L21" s="4">
        <f t="shared" si="2"/>
        <v>6678072</v>
      </c>
      <c r="M21" s="4">
        <f>P21+S21-20000</f>
        <v>1928</v>
      </c>
      <c r="N21" s="4">
        <f>800000-300000+20000</f>
        <v>520000</v>
      </c>
      <c r="O21" s="4">
        <f t="shared" si="3"/>
        <v>7400000</v>
      </c>
      <c r="P21" s="4">
        <f t="shared" si="4"/>
        <v>21928</v>
      </c>
      <c r="Q21" s="4"/>
      <c r="R21" s="4"/>
      <c r="S21" s="4">
        <f t="shared" si="17"/>
        <v>0</v>
      </c>
      <c r="T21" s="4">
        <f t="shared" si="5"/>
        <v>20000</v>
      </c>
      <c r="U21" s="4">
        <f t="shared" si="6"/>
        <v>500000</v>
      </c>
      <c r="V21" s="4"/>
      <c r="W21" s="4">
        <f t="shared" si="10"/>
        <v>500000</v>
      </c>
      <c r="X21" s="4"/>
      <c r="Y21" s="4"/>
      <c r="Z21" s="4"/>
      <c r="AA21" s="3"/>
      <c r="AB21" s="3" t="s">
        <v>744</v>
      </c>
      <c r="AC21" s="3">
        <v>810000</v>
      </c>
      <c r="AD21" s="4"/>
      <c r="AE21" s="4">
        <v>200000</v>
      </c>
      <c r="AF21" s="4">
        <v>300000</v>
      </c>
      <c r="AG21" s="4"/>
      <c r="AH21" s="4"/>
      <c r="AI21" s="4"/>
      <c r="AJ21" s="4">
        <f t="shared" si="7"/>
        <v>500000</v>
      </c>
      <c r="AK21" s="4">
        <f t="shared" si="11"/>
        <v>0</v>
      </c>
      <c r="AL21" s="112"/>
      <c r="AM21" s="130"/>
      <c r="AN21" s="4">
        <f t="shared" si="8"/>
        <v>0</v>
      </c>
      <c r="AO21" s="4"/>
      <c r="AP21" s="4">
        <f t="shared" si="18"/>
        <v>0</v>
      </c>
      <c r="AQ21" s="4"/>
      <c r="AR21" s="4"/>
      <c r="AS21" s="4"/>
      <c r="AT21" s="4"/>
      <c r="AU21" s="4"/>
      <c r="AV21" s="4"/>
      <c r="AW21" s="4"/>
      <c r="AX21" s="4">
        <f t="shared" si="12"/>
        <v>0</v>
      </c>
      <c r="AY21" s="4"/>
      <c r="AZ21" s="4">
        <f t="shared" si="13"/>
        <v>0</v>
      </c>
      <c r="BA21" s="4"/>
      <c r="BB21" s="4"/>
      <c r="BC21" s="4"/>
      <c r="BD21" s="4"/>
      <c r="BE21" s="4">
        <f t="shared" si="14"/>
        <v>500000</v>
      </c>
      <c r="BF21" s="4">
        <f t="shared" si="15"/>
        <v>0</v>
      </c>
      <c r="BG21" s="4"/>
      <c r="BH21" s="4">
        <f t="shared" si="16"/>
        <v>500000</v>
      </c>
      <c r="BI21" s="4"/>
      <c r="BJ21" s="4"/>
      <c r="BK21" s="4"/>
      <c r="BL21" s="4"/>
    </row>
    <row r="22" spans="1:64" ht="30" customHeight="1">
      <c r="A22" s="3">
        <f t="shared" si="9"/>
        <v>17</v>
      </c>
      <c r="B22" s="3">
        <v>1883</v>
      </c>
      <c r="C22" s="3" t="s">
        <v>88</v>
      </c>
      <c r="D22" s="4">
        <f>27245000-1030000</f>
        <v>26215000</v>
      </c>
      <c r="E22" s="4">
        <v>27245000</v>
      </c>
      <c r="F22" s="4">
        <f t="shared" si="0"/>
        <v>-1030000</v>
      </c>
      <c r="G22" s="4">
        <v>26215000</v>
      </c>
      <c r="H22" s="4">
        <v>26214141</v>
      </c>
      <c r="I22" s="4">
        <v>0</v>
      </c>
      <c r="J22" s="4">
        <v>0</v>
      </c>
      <c r="K22" s="4">
        <f t="shared" si="1"/>
        <v>0</v>
      </c>
      <c r="L22" s="4">
        <f t="shared" si="2"/>
        <v>26214141</v>
      </c>
      <c r="M22" s="4">
        <f>P22+S22</f>
        <v>859</v>
      </c>
      <c r="N22" s="4"/>
      <c r="O22" s="4">
        <f t="shared" si="3"/>
        <v>0</v>
      </c>
      <c r="P22" s="4">
        <f t="shared" si="4"/>
        <v>859</v>
      </c>
      <c r="Q22" s="4"/>
      <c r="R22" s="4"/>
      <c r="S22" s="4">
        <f t="shared" si="17"/>
        <v>0</v>
      </c>
      <c r="T22" s="4">
        <f t="shared" si="5"/>
        <v>0</v>
      </c>
      <c r="U22" s="4">
        <f t="shared" si="6"/>
        <v>0</v>
      </c>
      <c r="V22" s="4"/>
      <c r="W22" s="4">
        <f t="shared" si="10"/>
        <v>0</v>
      </c>
      <c r="X22" s="4"/>
      <c r="Y22" s="4"/>
      <c r="Z22" s="4"/>
      <c r="AA22" s="3"/>
      <c r="AB22" s="3" t="s">
        <v>727</v>
      </c>
      <c r="AC22" s="3">
        <v>810000</v>
      </c>
      <c r="AD22" s="4"/>
      <c r="AE22" s="4"/>
      <c r="AF22" s="4"/>
      <c r="AG22" s="4"/>
      <c r="AH22" s="4"/>
      <c r="AI22" s="4"/>
      <c r="AJ22" s="4">
        <f t="shared" si="7"/>
        <v>0</v>
      </c>
      <c r="AK22" s="4">
        <f t="shared" si="11"/>
        <v>0</v>
      </c>
      <c r="AL22" s="112"/>
      <c r="AM22" s="130"/>
      <c r="AN22" s="4">
        <f t="shared" si="8"/>
        <v>0</v>
      </c>
      <c r="AO22" s="4"/>
      <c r="AP22" s="4">
        <f t="shared" si="18"/>
        <v>0</v>
      </c>
      <c r="AQ22" s="4"/>
      <c r="AR22" s="4"/>
      <c r="AS22" s="4"/>
      <c r="AT22" s="4"/>
      <c r="AU22" s="4"/>
      <c r="AV22" s="4"/>
      <c r="AW22" s="4"/>
      <c r="AX22" s="4">
        <f t="shared" si="12"/>
        <v>0</v>
      </c>
      <c r="AY22" s="4"/>
      <c r="AZ22" s="4">
        <f t="shared" si="13"/>
        <v>0</v>
      </c>
      <c r="BA22" s="4"/>
      <c r="BB22" s="4"/>
      <c r="BC22" s="4"/>
      <c r="BD22" s="4"/>
      <c r="BE22" s="4">
        <f t="shared" si="14"/>
        <v>0</v>
      </c>
      <c r="BF22" s="4">
        <f t="shared" si="15"/>
        <v>0</v>
      </c>
      <c r="BG22" s="4"/>
      <c r="BH22" s="4">
        <f t="shared" si="16"/>
        <v>0</v>
      </c>
      <c r="BI22" s="4"/>
      <c r="BJ22" s="4"/>
      <c r="BK22" s="4"/>
      <c r="BL22" s="4"/>
    </row>
    <row r="23" spans="1:64" ht="30" customHeight="1">
      <c r="A23" s="3">
        <f t="shared" si="9"/>
        <v>18</v>
      </c>
      <c r="B23" s="3">
        <v>1887</v>
      </c>
      <c r="C23" s="3" t="s">
        <v>89</v>
      </c>
      <c r="D23" s="4">
        <v>5200000</v>
      </c>
      <c r="E23" s="4">
        <v>5200000</v>
      </c>
      <c r="F23" s="4">
        <f t="shared" si="0"/>
        <v>0</v>
      </c>
      <c r="G23" s="4">
        <v>1760000</v>
      </c>
      <c r="H23" s="4">
        <v>1396187</v>
      </c>
      <c r="I23" s="4">
        <v>88157</v>
      </c>
      <c r="J23" s="4">
        <v>0</v>
      </c>
      <c r="K23" s="4">
        <f t="shared" si="1"/>
        <v>88157</v>
      </c>
      <c r="L23" s="4">
        <f t="shared" si="2"/>
        <v>1484344</v>
      </c>
      <c r="M23" s="4">
        <f>P23+S23-280000+5000</f>
        <v>656</v>
      </c>
      <c r="N23" s="4">
        <v>900000</v>
      </c>
      <c r="O23" s="4">
        <f t="shared" si="3"/>
        <v>2815000</v>
      </c>
      <c r="P23" s="4">
        <f t="shared" si="4"/>
        <v>275656</v>
      </c>
      <c r="Q23" s="4"/>
      <c r="R23" s="4"/>
      <c r="S23" s="4">
        <f t="shared" si="17"/>
        <v>0</v>
      </c>
      <c r="T23" s="4">
        <f t="shared" si="5"/>
        <v>275000</v>
      </c>
      <c r="U23" s="4">
        <f t="shared" si="6"/>
        <v>625000</v>
      </c>
      <c r="V23" s="4">
        <v>625000</v>
      </c>
      <c r="W23" s="4">
        <f t="shared" si="10"/>
        <v>0</v>
      </c>
      <c r="X23" s="4"/>
      <c r="Y23" s="4"/>
      <c r="Z23" s="4"/>
      <c r="AA23" s="3"/>
      <c r="AB23" s="3" t="s">
        <v>500</v>
      </c>
      <c r="AC23" s="3">
        <v>810000</v>
      </c>
      <c r="AD23" s="4"/>
      <c r="AE23" s="4">
        <v>625000</v>
      </c>
      <c r="AF23" s="4"/>
      <c r="AG23" s="4"/>
      <c r="AH23" s="4"/>
      <c r="AI23" s="4"/>
      <c r="AJ23" s="4">
        <f t="shared" si="7"/>
        <v>625000</v>
      </c>
      <c r="AK23" s="4">
        <f t="shared" si="11"/>
        <v>0</v>
      </c>
      <c r="AL23" s="112"/>
      <c r="AM23" s="130"/>
      <c r="AN23" s="4">
        <f t="shared" si="8"/>
        <v>0</v>
      </c>
      <c r="AO23" s="4"/>
      <c r="AP23" s="4">
        <f t="shared" si="18"/>
        <v>0</v>
      </c>
      <c r="AQ23" s="4"/>
      <c r="AR23" s="4"/>
      <c r="AS23" s="4"/>
      <c r="AT23" s="4"/>
      <c r="AU23" s="4"/>
      <c r="AV23" s="4"/>
      <c r="AW23" s="4"/>
      <c r="AX23" s="4">
        <f t="shared" si="12"/>
        <v>0</v>
      </c>
      <c r="AY23" s="4"/>
      <c r="AZ23" s="4">
        <f t="shared" si="13"/>
        <v>0</v>
      </c>
      <c r="BA23" s="4"/>
      <c r="BB23" s="4"/>
      <c r="BC23" s="4"/>
      <c r="BD23" s="4"/>
      <c r="BE23" s="4">
        <f t="shared" si="14"/>
        <v>625000</v>
      </c>
      <c r="BF23" s="4">
        <f t="shared" si="15"/>
        <v>0</v>
      </c>
      <c r="BG23" s="4">
        <v>625000</v>
      </c>
      <c r="BH23" s="4">
        <f t="shared" si="16"/>
        <v>0</v>
      </c>
      <c r="BI23" s="4"/>
      <c r="BJ23" s="4"/>
      <c r="BK23" s="4"/>
      <c r="BL23" s="4"/>
    </row>
    <row r="24" spans="1:64" ht="30" customHeight="1">
      <c r="A24" s="3">
        <f t="shared" si="9"/>
        <v>19</v>
      </c>
      <c r="B24" s="3">
        <v>1899</v>
      </c>
      <c r="C24" s="3" t="s">
        <v>1167</v>
      </c>
      <c r="D24" s="4">
        <f>670000-6248</f>
        <v>663752</v>
      </c>
      <c r="E24" s="4">
        <v>670000</v>
      </c>
      <c r="F24" s="4">
        <f t="shared" si="0"/>
        <v>-6248</v>
      </c>
      <c r="G24" s="4">
        <v>670000</v>
      </c>
      <c r="H24" s="4">
        <v>663752</v>
      </c>
      <c r="I24" s="4">
        <v>0</v>
      </c>
      <c r="J24" s="4">
        <v>0</v>
      </c>
      <c r="K24" s="4">
        <f t="shared" si="1"/>
        <v>0</v>
      </c>
      <c r="L24" s="4">
        <f t="shared" si="2"/>
        <v>663752</v>
      </c>
      <c r="M24" s="4">
        <f>P24+S24-6248</f>
        <v>0</v>
      </c>
      <c r="N24" s="4"/>
      <c r="O24" s="4">
        <f t="shared" si="3"/>
        <v>0</v>
      </c>
      <c r="P24" s="4">
        <f t="shared" si="4"/>
        <v>6248</v>
      </c>
      <c r="Q24" s="4"/>
      <c r="R24" s="4"/>
      <c r="S24" s="4">
        <f t="shared" si="17"/>
        <v>0</v>
      </c>
      <c r="T24" s="4">
        <f t="shared" si="5"/>
        <v>6248</v>
      </c>
      <c r="U24" s="4">
        <f t="shared" si="6"/>
        <v>-6248</v>
      </c>
      <c r="V24" s="4"/>
      <c r="W24" s="4">
        <f t="shared" si="10"/>
        <v>-6248</v>
      </c>
      <c r="X24" s="4"/>
      <c r="Y24" s="4"/>
      <c r="Z24" s="4"/>
      <c r="AA24" s="3"/>
      <c r="AB24" s="511" t="s">
        <v>992</v>
      </c>
      <c r="AC24" s="3">
        <v>870000</v>
      </c>
      <c r="AD24" s="4">
        <v>-6248</v>
      </c>
      <c r="AE24" s="4"/>
      <c r="AF24" s="4"/>
      <c r="AG24" s="4"/>
      <c r="AH24" s="4"/>
      <c r="AI24" s="4"/>
      <c r="AJ24" s="4">
        <f t="shared" si="7"/>
        <v>-6248</v>
      </c>
      <c r="AK24" s="4">
        <f t="shared" si="11"/>
        <v>0</v>
      </c>
      <c r="AL24" s="112"/>
      <c r="AM24" s="130"/>
      <c r="AN24" s="4">
        <f t="shared" si="8"/>
        <v>0</v>
      </c>
      <c r="AO24" s="4"/>
      <c r="AP24" s="4">
        <f t="shared" si="18"/>
        <v>0</v>
      </c>
      <c r="AQ24" s="4"/>
      <c r="AR24" s="4"/>
      <c r="AS24" s="4"/>
      <c r="AT24" s="4"/>
      <c r="AU24" s="4"/>
      <c r="AV24" s="4"/>
      <c r="AW24" s="4"/>
      <c r="AX24" s="4">
        <f t="shared" si="12"/>
        <v>0</v>
      </c>
      <c r="AY24" s="4"/>
      <c r="AZ24" s="4">
        <f t="shared" si="13"/>
        <v>0</v>
      </c>
      <c r="BA24" s="4"/>
      <c r="BB24" s="4"/>
      <c r="BC24" s="4"/>
      <c r="BD24" s="4"/>
      <c r="BE24" s="4">
        <f t="shared" si="14"/>
        <v>-6248</v>
      </c>
      <c r="BF24" s="4">
        <f t="shared" si="15"/>
        <v>0</v>
      </c>
      <c r="BG24" s="4"/>
      <c r="BH24" s="4">
        <f t="shared" si="16"/>
        <v>-6248</v>
      </c>
      <c r="BI24" s="4"/>
      <c r="BJ24" s="4"/>
      <c r="BK24" s="4"/>
      <c r="BL24" s="4"/>
    </row>
    <row r="25" spans="1:64" ht="30" customHeight="1">
      <c r="A25" s="3">
        <f t="shared" si="9"/>
        <v>20</v>
      </c>
      <c r="B25" s="3">
        <v>1900</v>
      </c>
      <c r="C25" s="3" t="s">
        <v>90</v>
      </c>
      <c r="D25" s="4">
        <v>600000</v>
      </c>
      <c r="E25" s="4">
        <v>600000</v>
      </c>
      <c r="F25" s="4">
        <f t="shared" si="0"/>
        <v>0</v>
      </c>
      <c r="G25" s="4">
        <v>600000</v>
      </c>
      <c r="H25" s="4">
        <v>572915</v>
      </c>
      <c r="I25" s="4">
        <v>0</v>
      </c>
      <c r="J25" s="4">
        <v>0</v>
      </c>
      <c r="K25" s="4">
        <f t="shared" si="1"/>
        <v>0</v>
      </c>
      <c r="L25" s="4">
        <f t="shared" si="2"/>
        <v>572915</v>
      </c>
      <c r="M25" s="4">
        <f>P25+S25-27000</f>
        <v>85</v>
      </c>
      <c r="N25" s="4"/>
      <c r="O25" s="4">
        <f t="shared" si="3"/>
        <v>27000</v>
      </c>
      <c r="P25" s="4">
        <f t="shared" si="4"/>
        <v>27085</v>
      </c>
      <c r="Q25" s="4"/>
      <c r="R25" s="4"/>
      <c r="S25" s="4">
        <f t="shared" si="17"/>
        <v>0</v>
      </c>
      <c r="T25" s="4">
        <f t="shared" si="5"/>
        <v>27000</v>
      </c>
      <c r="U25" s="4">
        <f t="shared" si="6"/>
        <v>-27000</v>
      </c>
      <c r="V25" s="4">
        <v>-27000</v>
      </c>
      <c r="W25" s="4">
        <f t="shared" si="10"/>
        <v>0</v>
      </c>
      <c r="X25" s="4"/>
      <c r="Y25" s="4"/>
      <c r="Z25" s="4"/>
      <c r="AA25" s="3"/>
      <c r="AB25" s="3" t="s">
        <v>728</v>
      </c>
      <c r="AC25" s="3">
        <v>810000</v>
      </c>
      <c r="AD25" s="4">
        <v>-27000</v>
      </c>
      <c r="AE25" s="4"/>
      <c r="AF25" s="4"/>
      <c r="AG25" s="4"/>
      <c r="AH25" s="4"/>
      <c r="AI25" s="4"/>
      <c r="AJ25" s="4">
        <f t="shared" si="7"/>
        <v>-27000</v>
      </c>
      <c r="AK25" s="4">
        <f t="shared" si="11"/>
        <v>0</v>
      </c>
      <c r="AL25" s="112"/>
      <c r="AM25" s="130"/>
      <c r="AN25" s="4">
        <f t="shared" si="8"/>
        <v>0</v>
      </c>
      <c r="AO25" s="4"/>
      <c r="AP25" s="4">
        <f t="shared" si="18"/>
        <v>0</v>
      </c>
      <c r="AQ25" s="4"/>
      <c r="AR25" s="4"/>
      <c r="AS25" s="4"/>
      <c r="AT25" s="4"/>
      <c r="AU25" s="4"/>
      <c r="AV25" s="4"/>
      <c r="AW25" s="4"/>
      <c r="AX25" s="4">
        <f t="shared" si="12"/>
        <v>0</v>
      </c>
      <c r="AY25" s="4"/>
      <c r="AZ25" s="4">
        <f t="shared" si="13"/>
        <v>0</v>
      </c>
      <c r="BA25" s="4"/>
      <c r="BB25" s="4"/>
      <c r="BC25" s="4"/>
      <c r="BD25" s="4"/>
      <c r="BE25" s="4">
        <f t="shared" si="14"/>
        <v>-27000</v>
      </c>
      <c r="BF25" s="4">
        <f t="shared" si="15"/>
        <v>0</v>
      </c>
      <c r="BG25" s="4">
        <v>-27000</v>
      </c>
      <c r="BH25" s="4">
        <f t="shared" si="16"/>
        <v>0</v>
      </c>
      <c r="BI25" s="4"/>
      <c r="BJ25" s="4"/>
      <c r="BK25" s="4"/>
      <c r="BL25" s="4"/>
    </row>
    <row r="26" spans="1:64" ht="30" customHeight="1">
      <c r="A26" s="3">
        <f t="shared" si="9"/>
        <v>21</v>
      </c>
      <c r="B26" s="3">
        <v>1917</v>
      </c>
      <c r="C26" s="3" t="s">
        <v>91</v>
      </c>
      <c r="D26" s="4">
        <v>33701000</v>
      </c>
      <c r="E26" s="4">
        <v>33701000</v>
      </c>
      <c r="F26" s="4">
        <f t="shared" si="0"/>
        <v>0</v>
      </c>
      <c r="G26" s="4">
        <v>33701000</v>
      </c>
      <c r="H26" s="4">
        <v>30359309</v>
      </c>
      <c r="I26" s="4">
        <v>0</v>
      </c>
      <c r="J26" s="4">
        <v>3210528</v>
      </c>
      <c r="K26" s="4">
        <f t="shared" si="1"/>
        <v>3210528</v>
      </c>
      <c r="L26" s="4">
        <f t="shared" si="2"/>
        <v>33569837</v>
      </c>
      <c r="M26" s="4">
        <f>P26+S26-130000</f>
        <v>1163</v>
      </c>
      <c r="N26" s="4">
        <v>130000</v>
      </c>
      <c r="O26" s="4">
        <f t="shared" si="3"/>
        <v>0</v>
      </c>
      <c r="P26" s="4">
        <f t="shared" si="4"/>
        <v>131163</v>
      </c>
      <c r="Q26" s="4"/>
      <c r="R26" s="4"/>
      <c r="S26" s="4">
        <f t="shared" si="17"/>
        <v>0</v>
      </c>
      <c r="T26" s="4">
        <f t="shared" si="5"/>
        <v>130000</v>
      </c>
      <c r="U26" s="4">
        <f t="shared" si="6"/>
        <v>0</v>
      </c>
      <c r="V26" s="4">
        <v>201613</v>
      </c>
      <c r="W26" s="4">
        <f t="shared" si="10"/>
        <v>0</v>
      </c>
      <c r="X26" s="4"/>
      <c r="Y26" s="4"/>
      <c r="Z26" s="4"/>
      <c r="AA26" s="4">
        <v>-201613</v>
      </c>
      <c r="AB26" s="3" t="s">
        <v>707</v>
      </c>
      <c r="AC26" s="3">
        <v>743000</v>
      </c>
      <c r="AD26" s="536"/>
      <c r="AE26" s="4"/>
      <c r="AF26" s="4"/>
      <c r="AG26" s="4"/>
      <c r="AH26" s="4"/>
      <c r="AI26" s="4"/>
      <c r="AJ26" s="4">
        <f t="shared" si="7"/>
        <v>0</v>
      </c>
      <c r="AK26" s="4">
        <f t="shared" si="11"/>
        <v>0</v>
      </c>
      <c r="AL26" s="112"/>
      <c r="AM26" s="130"/>
      <c r="AN26" s="4">
        <f t="shared" si="8"/>
        <v>0</v>
      </c>
      <c r="AO26" s="4"/>
      <c r="AP26" s="4">
        <f t="shared" si="18"/>
        <v>0</v>
      </c>
      <c r="AQ26" s="4"/>
      <c r="AR26" s="4"/>
      <c r="AS26" s="4"/>
      <c r="AT26" s="4"/>
      <c r="AU26" s="4"/>
      <c r="AV26" s="4"/>
      <c r="AW26" s="4"/>
      <c r="AX26" s="4">
        <f t="shared" si="12"/>
        <v>0</v>
      </c>
      <c r="AY26" s="4"/>
      <c r="AZ26" s="4">
        <f t="shared" si="13"/>
        <v>0</v>
      </c>
      <c r="BA26" s="4"/>
      <c r="BB26" s="4"/>
      <c r="BC26" s="4"/>
      <c r="BD26" s="4"/>
      <c r="BE26" s="4">
        <f t="shared" si="14"/>
        <v>0</v>
      </c>
      <c r="BF26" s="4">
        <f t="shared" si="15"/>
        <v>0</v>
      </c>
      <c r="BG26" s="4">
        <v>201613</v>
      </c>
      <c r="BH26" s="4">
        <f t="shared" si="16"/>
        <v>0</v>
      </c>
      <c r="BI26" s="4"/>
      <c r="BJ26" s="4"/>
      <c r="BK26" s="4"/>
      <c r="BL26" s="4">
        <v>-201613</v>
      </c>
    </row>
    <row r="27" spans="1:64" ht="60">
      <c r="A27" s="3">
        <f t="shared" si="9"/>
        <v>22</v>
      </c>
      <c r="B27" s="3">
        <v>1947</v>
      </c>
      <c r="C27" s="3" t="s">
        <v>1168</v>
      </c>
      <c r="D27" s="4">
        <v>2500000</v>
      </c>
      <c r="E27" s="4">
        <v>2500000</v>
      </c>
      <c r="F27" s="4">
        <f t="shared" si="0"/>
        <v>0</v>
      </c>
      <c r="G27" s="4">
        <v>2500000</v>
      </c>
      <c r="H27" s="4">
        <v>1369144</v>
      </c>
      <c r="I27" s="4"/>
      <c r="J27" s="4"/>
      <c r="K27" s="4">
        <f t="shared" si="1"/>
        <v>0</v>
      </c>
      <c r="L27" s="4">
        <f t="shared" si="2"/>
        <v>1369144</v>
      </c>
      <c r="M27" s="4">
        <f>P27+S27-1100000-30000</f>
        <v>856</v>
      </c>
      <c r="N27" s="4">
        <f>1100000+30000</f>
        <v>1130000</v>
      </c>
      <c r="O27" s="4">
        <f t="shared" si="3"/>
        <v>0</v>
      </c>
      <c r="P27" s="4">
        <f t="shared" si="4"/>
        <v>1130856</v>
      </c>
      <c r="Q27" s="4"/>
      <c r="R27" s="4"/>
      <c r="S27" s="4">
        <f t="shared" si="17"/>
        <v>0</v>
      </c>
      <c r="T27" s="4">
        <f t="shared" si="5"/>
        <v>1130000</v>
      </c>
      <c r="U27" s="4">
        <f t="shared" si="6"/>
        <v>0</v>
      </c>
      <c r="V27" s="4">
        <v>128955</v>
      </c>
      <c r="W27" s="4">
        <f t="shared" si="10"/>
        <v>0</v>
      </c>
      <c r="X27" s="4"/>
      <c r="Y27" s="4"/>
      <c r="Z27" s="4"/>
      <c r="AA27" s="4">
        <v>-128955</v>
      </c>
      <c r="AB27" s="3" t="s">
        <v>993</v>
      </c>
      <c r="AC27" s="3">
        <v>850000</v>
      </c>
      <c r="AD27" s="536"/>
      <c r="AE27" s="4"/>
      <c r="AF27" s="4"/>
      <c r="AG27" s="4"/>
      <c r="AH27" s="4"/>
      <c r="AI27" s="4"/>
      <c r="AJ27" s="4">
        <f t="shared" si="7"/>
        <v>0</v>
      </c>
      <c r="AK27" s="4">
        <f t="shared" si="11"/>
        <v>0</v>
      </c>
      <c r="AL27" s="112"/>
      <c r="AM27" s="130"/>
      <c r="AN27" s="4">
        <f t="shared" si="8"/>
        <v>0</v>
      </c>
      <c r="AO27" s="4"/>
      <c r="AP27" s="4">
        <f t="shared" si="18"/>
        <v>0</v>
      </c>
      <c r="AQ27" s="4"/>
      <c r="AR27" s="4"/>
      <c r="AS27" s="4"/>
      <c r="AT27" s="4"/>
      <c r="AU27" s="4">
        <v>-1100000</v>
      </c>
      <c r="AV27" s="4"/>
      <c r="AW27" s="4"/>
      <c r="AX27" s="4">
        <f t="shared" si="12"/>
        <v>0</v>
      </c>
      <c r="AY27" s="4"/>
      <c r="AZ27" s="4">
        <f t="shared" si="13"/>
        <v>0</v>
      </c>
      <c r="BA27" s="4"/>
      <c r="BB27" s="4"/>
      <c r="BC27" s="4"/>
      <c r="BD27" s="4"/>
      <c r="BE27" s="4">
        <f t="shared" si="14"/>
        <v>0</v>
      </c>
      <c r="BF27" s="4">
        <f t="shared" si="15"/>
        <v>0</v>
      </c>
      <c r="BG27" s="4">
        <v>128955</v>
      </c>
      <c r="BH27" s="4">
        <f t="shared" si="16"/>
        <v>0</v>
      </c>
      <c r="BI27" s="4"/>
      <c r="BJ27" s="4"/>
      <c r="BK27" s="4"/>
      <c r="BL27" s="4">
        <v>-128955</v>
      </c>
    </row>
    <row r="28" spans="1:64" ht="30" customHeight="1">
      <c r="A28" s="3">
        <f t="shared" si="9"/>
        <v>23</v>
      </c>
      <c r="B28" s="3">
        <v>1967</v>
      </c>
      <c r="C28" s="3" t="s">
        <v>97</v>
      </c>
      <c r="D28" s="4">
        <f>12929000+3300000+400000</f>
        <v>16629000</v>
      </c>
      <c r="E28" s="4">
        <v>12929000</v>
      </c>
      <c r="F28" s="4">
        <f t="shared" si="0"/>
        <v>3700000</v>
      </c>
      <c r="G28" s="4">
        <v>12029000</v>
      </c>
      <c r="H28" s="4">
        <v>10922228</v>
      </c>
      <c r="I28" s="4">
        <v>0</v>
      </c>
      <c r="J28" s="4">
        <f>881141-5101-7423+71136</f>
        <v>939753</v>
      </c>
      <c r="K28" s="4">
        <f t="shared" si="1"/>
        <v>939753</v>
      </c>
      <c r="L28" s="4">
        <f t="shared" si="2"/>
        <v>11861981</v>
      </c>
      <c r="M28" s="4">
        <f>P28+S28-150000</f>
        <v>17019</v>
      </c>
      <c r="N28" s="4">
        <f>1500000+1800000+900000+400000-1450000-150000</f>
        <v>3000000</v>
      </c>
      <c r="O28" s="4">
        <f t="shared" si="3"/>
        <v>1750000</v>
      </c>
      <c r="P28" s="4">
        <f t="shared" si="4"/>
        <v>167019</v>
      </c>
      <c r="Q28" s="4"/>
      <c r="R28" s="4"/>
      <c r="S28" s="4">
        <f t="shared" si="17"/>
        <v>0</v>
      </c>
      <c r="T28" s="4">
        <f t="shared" si="5"/>
        <v>150000</v>
      </c>
      <c r="U28" s="4">
        <f t="shared" si="6"/>
        <v>2850000</v>
      </c>
      <c r="V28" s="4"/>
      <c r="W28" s="4">
        <f t="shared" si="10"/>
        <v>2850000</v>
      </c>
      <c r="X28" s="4"/>
      <c r="Y28" s="4"/>
      <c r="Z28" s="4"/>
      <c r="AA28" s="3"/>
      <c r="AB28" s="3" t="s">
        <v>765</v>
      </c>
      <c r="AC28" s="3">
        <v>810000</v>
      </c>
      <c r="AD28" s="4"/>
      <c r="AE28" s="4">
        <v>2450000</v>
      </c>
      <c r="AF28" s="4"/>
      <c r="AG28" s="4"/>
      <c r="AH28" s="4"/>
      <c r="AI28" s="4"/>
      <c r="AJ28" s="4">
        <f t="shared" si="7"/>
        <v>2450000</v>
      </c>
      <c r="AK28" s="4">
        <f t="shared" si="11"/>
        <v>400000</v>
      </c>
      <c r="AL28" s="112"/>
      <c r="AM28" s="130"/>
      <c r="AN28" s="4">
        <f t="shared" si="8"/>
        <v>400000</v>
      </c>
      <c r="AO28" s="4"/>
      <c r="AP28" s="4">
        <f t="shared" si="18"/>
        <v>400000</v>
      </c>
      <c r="AQ28" s="4"/>
      <c r="AR28" s="4"/>
      <c r="AS28" s="4"/>
      <c r="AT28" s="4"/>
      <c r="AU28" s="4"/>
      <c r="AV28" s="4"/>
      <c r="AW28" s="4">
        <v>400000</v>
      </c>
      <c r="AX28" s="4">
        <f t="shared" si="12"/>
        <v>0</v>
      </c>
      <c r="AY28" s="4"/>
      <c r="AZ28" s="4">
        <f t="shared" si="13"/>
        <v>0</v>
      </c>
      <c r="BA28" s="4"/>
      <c r="BB28" s="4"/>
      <c r="BC28" s="4"/>
      <c r="BD28" s="4"/>
      <c r="BE28" s="4">
        <f t="shared" si="14"/>
        <v>2450000</v>
      </c>
      <c r="BF28" s="4">
        <f t="shared" si="15"/>
        <v>400000</v>
      </c>
      <c r="BG28" s="4"/>
      <c r="BH28" s="4">
        <f t="shared" si="16"/>
        <v>2450000</v>
      </c>
      <c r="BI28" s="4"/>
      <c r="BJ28" s="4"/>
      <c r="BK28" s="4"/>
      <c r="BL28" s="4"/>
    </row>
    <row r="29" spans="1:64" ht="30" customHeight="1">
      <c r="A29" s="3">
        <f t="shared" si="9"/>
        <v>24</v>
      </c>
      <c r="B29" s="3">
        <v>1968</v>
      </c>
      <c r="C29" s="3" t="s">
        <v>1169</v>
      </c>
      <c r="D29" s="4">
        <f>2170000-350077</f>
        <v>1819923</v>
      </c>
      <c r="E29" s="4">
        <v>2170000</v>
      </c>
      <c r="F29" s="4">
        <f t="shared" si="0"/>
        <v>-350077</v>
      </c>
      <c r="G29" s="4">
        <v>2170000</v>
      </c>
      <c r="H29" s="4">
        <v>1819923</v>
      </c>
      <c r="I29" s="4">
        <v>0</v>
      </c>
      <c r="J29" s="4"/>
      <c r="K29" s="4">
        <f t="shared" si="1"/>
        <v>0</v>
      </c>
      <c r="L29" s="4">
        <f t="shared" si="2"/>
        <v>1819923</v>
      </c>
      <c r="M29" s="4">
        <f>P29+S29-350077</f>
        <v>0</v>
      </c>
      <c r="N29" s="4"/>
      <c r="O29" s="4">
        <f t="shared" si="3"/>
        <v>0</v>
      </c>
      <c r="P29" s="4">
        <f t="shared" si="4"/>
        <v>350077</v>
      </c>
      <c r="Q29" s="4"/>
      <c r="R29" s="4"/>
      <c r="S29" s="4">
        <f t="shared" si="17"/>
        <v>0</v>
      </c>
      <c r="T29" s="4">
        <f t="shared" si="5"/>
        <v>350077</v>
      </c>
      <c r="U29" s="4">
        <f t="shared" si="6"/>
        <v>-350077</v>
      </c>
      <c r="V29" s="4"/>
      <c r="W29" s="4">
        <f t="shared" si="10"/>
        <v>-350077</v>
      </c>
      <c r="X29" s="4"/>
      <c r="Y29" s="4"/>
      <c r="Z29" s="4"/>
      <c r="AA29" s="3"/>
      <c r="AB29" s="291" t="s">
        <v>994</v>
      </c>
      <c r="AC29" s="291">
        <v>848500</v>
      </c>
      <c r="AD29" s="4">
        <v>-350077</v>
      </c>
      <c r="AE29" s="4"/>
      <c r="AF29" s="4"/>
      <c r="AG29" s="4"/>
      <c r="AH29" s="4"/>
      <c r="AI29" s="4"/>
      <c r="AJ29" s="4">
        <f t="shared" si="7"/>
        <v>-350077</v>
      </c>
      <c r="AK29" s="4">
        <f t="shared" si="11"/>
        <v>0</v>
      </c>
      <c r="AL29" s="112"/>
      <c r="AM29" s="130"/>
      <c r="AN29" s="4">
        <f t="shared" si="8"/>
        <v>0</v>
      </c>
      <c r="AO29" s="4"/>
      <c r="AP29" s="4">
        <f t="shared" si="18"/>
        <v>0</v>
      </c>
      <c r="AQ29" s="4"/>
      <c r="AR29" s="4"/>
      <c r="AS29" s="4"/>
      <c r="AT29" s="4"/>
      <c r="AU29" s="4"/>
      <c r="AV29" s="4"/>
      <c r="AW29" s="4"/>
      <c r="AX29" s="4">
        <f t="shared" si="12"/>
        <v>0</v>
      </c>
      <c r="AY29" s="4"/>
      <c r="AZ29" s="4">
        <f t="shared" si="13"/>
        <v>0</v>
      </c>
      <c r="BA29" s="4"/>
      <c r="BB29" s="4"/>
      <c r="BC29" s="4"/>
      <c r="BD29" s="4"/>
      <c r="BE29" s="4">
        <f t="shared" si="14"/>
        <v>-350077</v>
      </c>
      <c r="BF29" s="4">
        <f t="shared" si="15"/>
        <v>0</v>
      </c>
      <c r="BG29" s="4"/>
      <c r="BH29" s="4">
        <f t="shared" si="16"/>
        <v>-350077</v>
      </c>
      <c r="BI29" s="4"/>
      <c r="BJ29" s="4"/>
      <c r="BK29" s="4"/>
      <c r="BL29" s="4"/>
    </row>
    <row r="30" spans="1:64" ht="30" customHeight="1">
      <c r="A30" s="3">
        <f t="shared" si="9"/>
        <v>25</v>
      </c>
      <c r="B30" s="3">
        <v>1970</v>
      </c>
      <c r="C30" s="3" t="s">
        <v>100</v>
      </c>
      <c r="D30" s="4">
        <v>32500000</v>
      </c>
      <c r="E30" s="4">
        <v>32500000</v>
      </c>
      <c r="F30" s="4">
        <f t="shared" si="0"/>
        <v>0</v>
      </c>
      <c r="G30" s="4">
        <v>32500000</v>
      </c>
      <c r="H30" s="4">
        <v>32499902</v>
      </c>
      <c r="I30" s="4">
        <v>0</v>
      </c>
      <c r="J30" s="4">
        <v>0</v>
      </c>
      <c r="K30" s="4">
        <f t="shared" si="1"/>
        <v>0</v>
      </c>
      <c r="L30" s="4">
        <f t="shared" si="2"/>
        <v>32499902</v>
      </c>
      <c r="M30" s="4">
        <f>P30+S30</f>
        <v>98</v>
      </c>
      <c r="N30" s="4"/>
      <c r="O30" s="4">
        <f t="shared" si="3"/>
        <v>0</v>
      </c>
      <c r="P30" s="4">
        <f t="shared" si="4"/>
        <v>98</v>
      </c>
      <c r="Q30" s="4"/>
      <c r="R30" s="4"/>
      <c r="S30" s="4">
        <f t="shared" si="17"/>
        <v>0</v>
      </c>
      <c r="T30" s="4">
        <f t="shared" si="5"/>
        <v>0</v>
      </c>
      <c r="U30" s="4">
        <f t="shared" si="6"/>
        <v>0</v>
      </c>
      <c r="V30" s="4"/>
      <c r="W30" s="4">
        <f t="shared" si="10"/>
        <v>0</v>
      </c>
      <c r="X30" s="4"/>
      <c r="Y30" s="4"/>
      <c r="Z30" s="4"/>
      <c r="AA30" s="3"/>
      <c r="AB30" s="3" t="s">
        <v>683</v>
      </c>
      <c r="AC30" s="3">
        <v>810000</v>
      </c>
      <c r="AD30" s="4"/>
      <c r="AE30" s="4"/>
      <c r="AF30" s="4"/>
      <c r="AG30" s="4"/>
      <c r="AH30" s="4"/>
      <c r="AI30" s="4"/>
      <c r="AJ30" s="4">
        <f t="shared" si="7"/>
        <v>0</v>
      </c>
      <c r="AK30" s="4">
        <f t="shared" si="11"/>
        <v>0</v>
      </c>
      <c r="AL30" s="112"/>
      <c r="AM30" s="130"/>
      <c r="AN30" s="4">
        <f t="shared" si="8"/>
        <v>0</v>
      </c>
      <c r="AO30" s="4"/>
      <c r="AP30" s="4">
        <f t="shared" si="18"/>
        <v>0</v>
      </c>
      <c r="AQ30" s="4"/>
      <c r="AR30" s="4"/>
      <c r="AS30" s="4"/>
      <c r="AT30" s="4"/>
      <c r="AU30" s="4"/>
      <c r="AV30" s="4"/>
      <c r="AW30" s="4"/>
      <c r="AX30" s="4">
        <f t="shared" si="12"/>
        <v>0</v>
      </c>
      <c r="AY30" s="4"/>
      <c r="AZ30" s="4">
        <f t="shared" si="13"/>
        <v>0</v>
      </c>
      <c r="BA30" s="4"/>
      <c r="BB30" s="4"/>
      <c r="BC30" s="4"/>
      <c r="BD30" s="4"/>
      <c r="BE30" s="4">
        <f t="shared" si="14"/>
        <v>0</v>
      </c>
      <c r="BF30" s="4">
        <f t="shared" si="15"/>
        <v>0</v>
      </c>
      <c r="BG30" s="4"/>
      <c r="BH30" s="4">
        <f t="shared" si="16"/>
        <v>0</v>
      </c>
      <c r="BI30" s="4"/>
      <c r="BJ30" s="4"/>
      <c r="BK30" s="4"/>
      <c r="BL30" s="4"/>
    </row>
    <row r="31" spans="1:64" ht="30" customHeight="1">
      <c r="A31" s="3">
        <f t="shared" si="9"/>
        <v>26</v>
      </c>
      <c r="B31" s="3">
        <v>1973</v>
      </c>
      <c r="C31" s="3" t="s">
        <v>98</v>
      </c>
      <c r="D31" s="4">
        <f>2500000+750000</f>
        <v>3250000</v>
      </c>
      <c r="E31" s="4">
        <v>2500000</v>
      </c>
      <c r="F31" s="4">
        <f t="shared" si="0"/>
        <v>750000</v>
      </c>
      <c r="G31" s="4">
        <v>2250000</v>
      </c>
      <c r="H31" s="4">
        <v>2181760</v>
      </c>
      <c r="I31" s="4">
        <v>0</v>
      </c>
      <c r="J31" s="4">
        <v>51171</v>
      </c>
      <c r="K31" s="4">
        <f t="shared" si="1"/>
        <v>51171</v>
      </c>
      <c r="L31" s="4">
        <f t="shared" si="2"/>
        <v>2232931</v>
      </c>
      <c r="M31" s="4">
        <f>P31+S31-17000</f>
        <v>69</v>
      </c>
      <c r="N31" s="4">
        <f>600000-500000-50000+17000</f>
        <v>67000</v>
      </c>
      <c r="O31" s="4">
        <f t="shared" si="3"/>
        <v>950000</v>
      </c>
      <c r="P31" s="4">
        <f t="shared" si="4"/>
        <v>17069</v>
      </c>
      <c r="Q31" s="4"/>
      <c r="R31" s="4"/>
      <c r="S31" s="4">
        <f t="shared" si="17"/>
        <v>0</v>
      </c>
      <c r="T31" s="4">
        <f t="shared" si="5"/>
        <v>17000</v>
      </c>
      <c r="U31" s="4">
        <f t="shared" si="6"/>
        <v>50000</v>
      </c>
      <c r="V31" s="4"/>
      <c r="W31" s="4">
        <f t="shared" si="10"/>
        <v>50000</v>
      </c>
      <c r="X31" s="4"/>
      <c r="Y31" s="4"/>
      <c r="Z31" s="4"/>
      <c r="AA31" s="3"/>
      <c r="AB31" s="3" t="s">
        <v>766</v>
      </c>
      <c r="AC31" s="3">
        <v>742000</v>
      </c>
      <c r="AD31" s="4"/>
      <c r="AE31" s="4">
        <v>50000</v>
      </c>
      <c r="AF31" s="4"/>
      <c r="AG31" s="4"/>
      <c r="AH31" s="4"/>
      <c r="AI31" s="4"/>
      <c r="AJ31" s="4">
        <f t="shared" si="7"/>
        <v>50000</v>
      </c>
      <c r="AK31" s="4">
        <f t="shared" si="11"/>
        <v>0</v>
      </c>
      <c r="AL31" s="112"/>
      <c r="AM31" s="130"/>
      <c r="AN31" s="4">
        <f t="shared" si="8"/>
        <v>0</v>
      </c>
      <c r="AO31" s="4"/>
      <c r="AP31" s="4">
        <f t="shared" si="18"/>
        <v>0</v>
      </c>
      <c r="AQ31" s="4"/>
      <c r="AR31" s="4"/>
      <c r="AS31" s="4"/>
      <c r="AT31" s="4"/>
      <c r="AU31" s="4"/>
      <c r="AV31" s="4"/>
      <c r="AW31" s="4"/>
      <c r="AX31" s="4">
        <f t="shared" si="12"/>
        <v>0</v>
      </c>
      <c r="AY31" s="4"/>
      <c r="AZ31" s="4">
        <f t="shared" si="13"/>
        <v>0</v>
      </c>
      <c r="BA31" s="4"/>
      <c r="BB31" s="4"/>
      <c r="BC31" s="4"/>
      <c r="BD31" s="4"/>
      <c r="BE31" s="4">
        <f t="shared" si="14"/>
        <v>50000</v>
      </c>
      <c r="BF31" s="4">
        <f t="shared" si="15"/>
        <v>0</v>
      </c>
      <c r="BG31" s="4"/>
      <c r="BH31" s="4">
        <f t="shared" si="16"/>
        <v>50000</v>
      </c>
      <c r="BI31" s="4"/>
      <c r="BJ31" s="4"/>
      <c r="BK31" s="4"/>
      <c r="BL31" s="4"/>
    </row>
    <row r="32" spans="1:64" ht="30" customHeight="1">
      <c r="A32" s="3">
        <f t="shared" si="9"/>
        <v>27</v>
      </c>
      <c r="B32" s="3">
        <v>2028</v>
      </c>
      <c r="C32" s="3" t="s">
        <v>1170</v>
      </c>
      <c r="D32" s="4">
        <f>2435000-477</f>
        <v>2434523</v>
      </c>
      <c r="E32" s="4">
        <v>2435000</v>
      </c>
      <c r="F32" s="4">
        <f t="shared" si="0"/>
        <v>-477</v>
      </c>
      <c r="G32" s="4">
        <v>2435000</v>
      </c>
      <c r="H32" s="4">
        <v>2434523</v>
      </c>
      <c r="I32" s="4"/>
      <c r="J32" s="4">
        <v>0</v>
      </c>
      <c r="K32" s="4">
        <f t="shared" si="1"/>
        <v>0</v>
      </c>
      <c r="L32" s="4">
        <f t="shared" si="2"/>
        <v>2434523</v>
      </c>
      <c r="M32" s="4">
        <f>P32+S32-477</f>
        <v>0</v>
      </c>
      <c r="N32" s="4"/>
      <c r="O32" s="4">
        <f t="shared" si="3"/>
        <v>0</v>
      </c>
      <c r="P32" s="4">
        <f t="shared" si="4"/>
        <v>477</v>
      </c>
      <c r="Q32" s="4"/>
      <c r="R32" s="4"/>
      <c r="S32" s="4">
        <f t="shared" si="17"/>
        <v>0</v>
      </c>
      <c r="T32" s="4">
        <f t="shared" si="5"/>
        <v>477</v>
      </c>
      <c r="U32" s="4">
        <f t="shared" si="6"/>
        <v>-477</v>
      </c>
      <c r="V32" s="4"/>
      <c r="W32" s="4">
        <f t="shared" si="10"/>
        <v>-477</v>
      </c>
      <c r="X32" s="4"/>
      <c r="Y32" s="4"/>
      <c r="Z32" s="4"/>
      <c r="AA32" s="3"/>
      <c r="AB32" s="3" t="s">
        <v>995</v>
      </c>
      <c r="AC32" s="3">
        <v>810000</v>
      </c>
      <c r="AD32" s="4">
        <v>-477</v>
      </c>
      <c r="AE32" s="4"/>
      <c r="AF32" s="4"/>
      <c r="AG32" s="4"/>
      <c r="AH32" s="4"/>
      <c r="AI32" s="4"/>
      <c r="AJ32" s="4">
        <f t="shared" si="7"/>
        <v>-477</v>
      </c>
      <c r="AK32" s="4">
        <f t="shared" si="11"/>
        <v>0</v>
      </c>
      <c r="AL32" s="112"/>
      <c r="AM32" s="130"/>
      <c r="AN32" s="4">
        <f t="shared" si="8"/>
        <v>0</v>
      </c>
      <c r="AO32" s="4"/>
      <c r="AP32" s="4">
        <f t="shared" si="18"/>
        <v>0</v>
      </c>
      <c r="AQ32" s="4"/>
      <c r="AR32" s="4"/>
      <c r="AS32" s="4"/>
      <c r="AT32" s="4"/>
      <c r="AU32" s="4"/>
      <c r="AV32" s="4"/>
      <c r="AW32" s="4"/>
      <c r="AX32" s="4">
        <f t="shared" si="12"/>
        <v>0</v>
      </c>
      <c r="AY32" s="4"/>
      <c r="AZ32" s="4">
        <f t="shared" si="13"/>
        <v>0</v>
      </c>
      <c r="BA32" s="4"/>
      <c r="BB32" s="4"/>
      <c r="BC32" s="4"/>
      <c r="BD32" s="4"/>
      <c r="BE32" s="4">
        <f t="shared" si="14"/>
        <v>-477</v>
      </c>
      <c r="BF32" s="4">
        <f t="shared" si="15"/>
        <v>0</v>
      </c>
      <c r="BG32" s="4"/>
      <c r="BH32" s="4">
        <f t="shared" si="16"/>
        <v>-477</v>
      </c>
      <c r="BI32" s="4"/>
      <c r="BJ32" s="4"/>
      <c r="BK32" s="4"/>
      <c r="BL32" s="4"/>
    </row>
    <row r="33" spans="1:66" ht="30" customHeight="1">
      <c r="A33" s="3">
        <f t="shared" si="9"/>
        <v>28</v>
      </c>
      <c r="B33" s="3">
        <v>2030</v>
      </c>
      <c r="C33" s="3" t="s">
        <v>198</v>
      </c>
      <c r="D33" s="4">
        <f>31500000+19786977-4465000</f>
        <v>46821977</v>
      </c>
      <c r="E33" s="4">
        <v>31500000</v>
      </c>
      <c r="F33" s="4">
        <f t="shared" si="0"/>
        <v>15321977</v>
      </c>
      <c r="G33" s="4">
        <v>16421977</v>
      </c>
      <c r="H33" s="4">
        <v>10816571</v>
      </c>
      <c r="I33" s="4">
        <v>271685</v>
      </c>
      <c r="J33" s="4">
        <f>647230</f>
        <v>647230</v>
      </c>
      <c r="K33" s="4">
        <f t="shared" si="1"/>
        <v>918915</v>
      </c>
      <c r="L33" s="4">
        <f t="shared" si="2"/>
        <v>11735486</v>
      </c>
      <c r="M33" s="4">
        <f>P33+S33-4600000-85000</f>
        <v>1491</v>
      </c>
      <c r="N33" s="4">
        <v>85000</v>
      </c>
      <c r="O33" s="4">
        <f t="shared" si="3"/>
        <v>35000000</v>
      </c>
      <c r="P33" s="4">
        <f t="shared" si="4"/>
        <v>4686491</v>
      </c>
      <c r="Q33" s="4"/>
      <c r="R33" s="4"/>
      <c r="S33" s="4">
        <v>0</v>
      </c>
      <c r="T33" s="4">
        <f t="shared" si="5"/>
        <v>4685000</v>
      </c>
      <c r="U33" s="4">
        <f t="shared" si="6"/>
        <v>-4600000</v>
      </c>
      <c r="V33" s="4">
        <v>-4600000</v>
      </c>
      <c r="W33" s="4">
        <f t="shared" si="10"/>
        <v>0</v>
      </c>
      <c r="X33" s="4"/>
      <c r="Y33" s="4"/>
      <c r="Z33" s="4"/>
      <c r="AA33" s="4">
        <f>3368300-110000-3258300</f>
        <v>0</v>
      </c>
      <c r="AB33" s="3" t="s">
        <v>688</v>
      </c>
      <c r="AC33" s="3">
        <v>810000</v>
      </c>
      <c r="AD33" s="4">
        <v>-4600000</v>
      </c>
      <c r="AE33" s="4"/>
      <c r="AF33" s="4"/>
      <c r="AG33" s="4"/>
      <c r="AH33" s="4"/>
      <c r="AI33" s="4"/>
      <c r="AJ33" s="4">
        <f t="shared" si="7"/>
        <v>-4600000</v>
      </c>
      <c r="AK33" s="4">
        <f t="shared" si="11"/>
        <v>0</v>
      </c>
      <c r="AL33" s="112"/>
      <c r="AM33" s="130"/>
      <c r="AN33" s="4">
        <f t="shared" si="8"/>
        <v>0</v>
      </c>
      <c r="AO33" s="4"/>
      <c r="AP33" s="4">
        <f t="shared" si="18"/>
        <v>0</v>
      </c>
      <c r="AQ33" s="4"/>
      <c r="AR33" s="4"/>
      <c r="AS33" s="4"/>
      <c r="AT33" s="4"/>
      <c r="AU33" s="4"/>
      <c r="AV33" s="4">
        <v>500000</v>
      </c>
      <c r="AW33" s="4"/>
      <c r="AX33" s="4">
        <f t="shared" si="12"/>
        <v>0</v>
      </c>
      <c r="AY33" s="4"/>
      <c r="AZ33" s="4">
        <f t="shared" si="13"/>
        <v>0</v>
      </c>
      <c r="BA33" s="4"/>
      <c r="BB33" s="4"/>
      <c r="BC33" s="4"/>
      <c r="BD33" s="4"/>
      <c r="BE33" s="4">
        <f t="shared" si="14"/>
        <v>-4600000</v>
      </c>
      <c r="BF33" s="4">
        <f t="shared" si="15"/>
        <v>0</v>
      </c>
      <c r="BG33" s="4">
        <v>-4600000</v>
      </c>
      <c r="BH33" s="4">
        <f t="shared" si="16"/>
        <v>0</v>
      </c>
      <c r="BI33" s="4"/>
      <c r="BJ33" s="4"/>
      <c r="BK33" s="4"/>
      <c r="BL33" s="4"/>
    </row>
    <row r="34" spans="1:66" ht="30" customHeight="1">
      <c r="A34" s="3">
        <f t="shared" si="9"/>
        <v>29</v>
      </c>
      <c r="B34" s="3">
        <v>2037</v>
      </c>
      <c r="C34" s="3" t="s">
        <v>302</v>
      </c>
      <c r="D34" s="4">
        <v>5000000</v>
      </c>
      <c r="E34" s="4">
        <v>5000000</v>
      </c>
      <c r="F34" s="4">
        <f t="shared" si="0"/>
        <v>0</v>
      </c>
      <c r="G34" s="4">
        <v>2300000</v>
      </c>
      <c r="H34" s="4">
        <v>1381407</v>
      </c>
      <c r="I34" s="4">
        <v>0</v>
      </c>
      <c r="J34" s="4">
        <v>498918</v>
      </c>
      <c r="K34" s="4">
        <f t="shared" si="1"/>
        <v>498918</v>
      </c>
      <c r="L34" s="4">
        <f t="shared" si="2"/>
        <v>1880325</v>
      </c>
      <c r="M34" s="4">
        <f>P34+S34-400000+200000-15000</f>
        <v>4675</v>
      </c>
      <c r="N34" s="4">
        <f>500000-100000+15000</f>
        <v>415000</v>
      </c>
      <c r="O34" s="4">
        <f t="shared" si="3"/>
        <v>2700000</v>
      </c>
      <c r="P34" s="4">
        <f t="shared" si="4"/>
        <v>419675</v>
      </c>
      <c r="Q34" s="4"/>
      <c r="R34" s="4">
        <v>-200000</v>
      </c>
      <c r="S34" s="4">
        <f t="shared" si="17"/>
        <v>-200000</v>
      </c>
      <c r="T34" s="4">
        <f t="shared" si="5"/>
        <v>215000</v>
      </c>
      <c r="U34" s="4">
        <f t="shared" si="6"/>
        <v>200000</v>
      </c>
      <c r="V34" s="4"/>
      <c r="W34" s="4">
        <f t="shared" si="10"/>
        <v>200000</v>
      </c>
      <c r="X34" s="4"/>
      <c r="Y34" s="4"/>
      <c r="Z34" s="4"/>
      <c r="AA34" s="3"/>
      <c r="AB34" s="3" t="s">
        <v>534</v>
      </c>
      <c r="AC34" s="3">
        <v>870000</v>
      </c>
      <c r="AD34" s="4"/>
      <c r="AE34" s="4"/>
      <c r="AF34" s="4"/>
      <c r="AG34" s="4"/>
      <c r="AH34" s="4"/>
      <c r="AI34" s="4"/>
      <c r="AJ34" s="4">
        <f t="shared" si="7"/>
        <v>0</v>
      </c>
      <c r="AK34" s="4">
        <f t="shared" si="11"/>
        <v>200000</v>
      </c>
      <c r="AL34" s="112"/>
      <c r="AM34" s="130"/>
      <c r="AN34" s="4">
        <f t="shared" si="8"/>
        <v>200000</v>
      </c>
      <c r="AO34" s="4"/>
      <c r="AP34" s="4">
        <f t="shared" si="18"/>
        <v>200000</v>
      </c>
      <c r="AQ34" s="4"/>
      <c r="AR34" s="4"/>
      <c r="AS34" s="4"/>
      <c r="AT34" s="4"/>
      <c r="AU34" s="4"/>
      <c r="AV34" s="4"/>
      <c r="AW34" s="4">
        <v>200000</v>
      </c>
      <c r="AX34" s="4">
        <f t="shared" si="12"/>
        <v>0</v>
      </c>
      <c r="AY34" s="4"/>
      <c r="AZ34" s="4">
        <f t="shared" si="13"/>
        <v>0</v>
      </c>
      <c r="BA34" s="4"/>
      <c r="BB34" s="4"/>
      <c r="BC34" s="4"/>
      <c r="BD34" s="4"/>
      <c r="BE34" s="4">
        <f t="shared" si="14"/>
        <v>0</v>
      </c>
      <c r="BF34" s="4">
        <f t="shared" si="15"/>
        <v>200000</v>
      </c>
      <c r="BG34" s="4"/>
      <c r="BH34" s="4">
        <f t="shared" si="16"/>
        <v>0</v>
      </c>
      <c r="BI34" s="4"/>
      <c r="BJ34" s="4"/>
      <c r="BK34" s="4"/>
      <c r="BL34" s="4"/>
    </row>
    <row r="35" spans="1:66" ht="30" customHeight="1">
      <c r="A35" s="3">
        <f t="shared" si="9"/>
        <v>30</v>
      </c>
      <c r="B35" s="3">
        <v>2038</v>
      </c>
      <c r="C35" s="3" t="s">
        <v>316</v>
      </c>
      <c r="D35" s="4">
        <f>6000000+1500000</f>
        <v>7500000</v>
      </c>
      <c r="E35" s="4">
        <v>6000000</v>
      </c>
      <c r="F35" s="4">
        <f t="shared" si="0"/>
        <v>1500000</v>
      </c>
      <c r="G35" s="4">
        <v>5250000</v>
      </c>
      <c r="H35" s="4">
        <v>5247440</v>
      </c>
      <c r="I35" s="4">
        <v>0</v>
      </c>
      <c r="J35" s="4"/>
      <c r="K35" s="4">
        <f t="shared" si="1"/>
        <v>0</v>
      </c>
      <c r="L35" s="4">
        <f t="shared" si="2"/>
        <v>5247440</v>
      </c>
      <c r="M35" s="4">
        <f>P35+S35</f>
        <v>2560</v>
      </c>
      <c r="N35" s="4">
        <f>1500000-700000-100000</f>
        <v>700000</v>
      </c>
      <c r="O35" s="4">
        <f t="shared" si="3"/>
        <v>1550000</v>
      </c>
      <c r="P35" s="4">
        <f t="shared" si="4"/>
        <v>2560</v>
      </c>
      <c r="Q35" s="4"/>
      <c r="R35" s="4"/>
      <c r="S35" s="4">
        <f t="shared" si="17"/>
        <v>0</v>
      </c>
      <c r="T35" s="4">
        <f t="shared" si="5"/>
        <v>0</v>
      </c>
      <c r="U35" s="4">
        <f t="shared" si="6"/>
        <v>700000</v>
      </c>
      <c r="V35" s="4"/>
      <c r="W35" s="4">
        <f t="shared" si="10"/>
        <v>700000</v>
      </c>
      <c r="X35" s="4"/>
      <c r="Y35" s="4"/>
      <c r="Z35" s="4"/>
      <c r="AA35" s="3"/>
      <c r="AB35" s="3" t="s">
        <v>330</v>
      </c>
      <c r="AC35" s="3">
        <v>810000</v>
      </c>
      <c r="AD35" s="4"/>
      <c r="AE35" s="4"/>
      <c r="AF35" s="4">
        <v>200000</v>
      </c>
      <c r="AG35" s="4">
        <v>200000</v>
      </c>
      <c r="AH35" s="4">
        <v>300000</v>
      </c>
      <c r="AI35" s="4"/>
      <c r="AJ35" s="4">
        <f t="shared" si="7"/>
        <v>700000</v>
      </c>
      <c r="AK35" s="4">
        <f t="shared" si="11"/>
        <v>0</v>
      </c>
      <c r="AL35" s="112"/>
      <c r="AM35" s="130"/>
      <c r="AN35" s="4">
        <f t="shared" si="8"/>
        <v>0</v>
      </c>
      <c r="AO35" s="4"/>
      <c r="AP35" s="4">
        <f t="shared" si="18"/>
        <v>0</v>
      </c>
      <c r="AQ35" s="4"/>
      <c r="AR35" s="4"/>
      <c r="AS35" s="4"/>
      <c r="AT35" s="4"/>
      <c r="AU35" s="4"/>
      <c r="AV35" s="4"/>
      <c r="AW35" s="4"/>
      <c r="AX35" s="4">
        <f t="shared" si="12"/>
        <v>0</v>
      </c>
      <c r="AY35" s="4"/>
      <c r="AZ35" s="4">
        <f t="shared" si="13"/>
        <v>0</v>
      </c>
      <c r="BA35" s="4"/>
      <c r="BB35" s="4"/>
      <c r="BC35" s="4"/>
      <c r="BD35" s="4"/>
      <c r="BE35" s="4">
        <f t="shared" si="14"/>
        <v>700000</v>
      </c>
      <c r="BF35" s="4">
        <f t="shared" si="15"/>
        <v>0</v>
      </c>
      <c r="BG35" s="4"/>
      <c r="BH35" s="4">
        <f t="shared" si="16"/>
        <v>700000</v>
      </c>
      <c r="BI35" s="4"/>
      <c r="BJ35" s="4"/>
      <c r="BK35" s="4"/>
      <c r="BL35" s="4"/>
    </row>
    <row r="36" spans="1:66" ht="30" customHeight="1">
      <c r="A36" s="3">
        <f t="shared" si="9"/>
        <v>31</v>
      </c>
      <c r="B36" s="3">
        <v>2039</v>
      </c>
      <c r="C36" s="3" t="s">
        <v>1171</v>
      </c>
      <c r="D36" s="4">
        <v>535000</v>
      </c>
      <c r="E36" s="4">
        <v>535000</v>
      </c>
      <c r="F36" s="4">
        <f t="shared" si="0"/>
        <v>0</v>
      </c>
      <c r="G36" s="4">
        <v>535000</v>
      </c>
      <c r="H36" s="4">
        <v>264008</v>
      </c>
      <c r="I36" s="4">
        <v>0</v>
      </c>
      <c r="J36" s="4">
        <v>80853</v>
      </c>
      <c r="K36" s="4">
        <f t="shared" si="1"/>
        <v>80853</v>
      </c>
      <c r="L36" s="4">
        <f t="shared" si="2"/>
        <v>344861</v>
      </c>
      <c r="M36" s="4">
        <f>P36+S36-190000</f>
        <v>139</v>
      </c>
      <c r="N36" s="4">
        <f>190000-190000</f>
        <v>0</v>
      </c>
      <c r="O36" s="4">
        <f t="shared" si="3"/>
        <v>190000</v>
      </c>
      <c r="P36" s="4">
        <f t="shared" si="4"/>
        <v>190139</v>
      </c>
      <c r="Q36" s="4"/>
      <c r="R36" s="4"/>
      <c r="S36" s="4">
        <f t="shared" si="17"/>
        <v>0</v>
      </c>
      <c r="T36" s="4">
        <f t="shared" si="5"/>
        <v>190000</v>
      </c>
      <c r="U36" s="4">
        <f t="shared" si="6"/>
        <v>-190000</v>
      </c>
      <c r="V36" s="4"/>
      <c r="W36" s="4">
        <f t="shared" si="10"/>
        <v>-190000</v>
      </c>
      <c r="X36" s="4"/>
      <c r="Y36" s="4"/>
      <c r="Z36" s="4"/>
      <c r="AA36" s="3"/>
      <c r="AB36" s="511" t="s">
        <v>996</v>
      </c>
      <c r="AC36" s="3">
        <v>760000</v>
      </c>
      <c r="AD36" s="4">
        <v>-190000</v>
      </c>
      <c r="AE36" s="4"/>
      <c r="AF36" s="4"/>
      <c r="AG36" s="4"/>
      <c r="AH36" s="4"/>
      <c r="AI36" s="4"/>
      <c r="AJ36" s="4">
        <f t="shared" si="7"/>
        <v>-190000</v>
      </c>
      <c r="AK36" s="4">
        <f t="shared" si="11"/>
        <v>0</v>
      </c>
      <c r="AL36" s="112"/>
      <c r="AM36" s="130"/>
      <c r="AN36" s="4">
        <f t="shared" si="8"/>
        <v>0</v>
      </c>
      <c r="AO36" s="4"/>
      <c r="AP36" s="4">
        <f t="shared" si="18"/>
        <v>0</v>
      </c>
      <c r="AQ36" s="4"/>
      <c r="AR36" s="4"/>
      <c r="AS36" s="4"/>
      <c r="AT36" s="4"/>
      <c r="AU36" s="4"/>
      <c r="AV36" s="4"/>
      <c r="AW36" s="4"/>
      <c r="AX36" s="4">
        <f t="shared" si="12"/>
        <v>0</v>
      </c>
      <c r="AY36" s="4"/>
      <c r="AZ36" s="4">
        <f t="shared" si="13"/>
        <v>0</v>
      </c>
      <c r="BA36" s="4"/>
      <c r="BB36" s="4"/>
      <c r="BC36" s="4"/>
      <c r="BD36" s="4"/>
      <c r="BE36" s="4">
        <f t="shared" si="14"/>
        <v>-190000</v>
      </c>
      <c r="BF36" s="4">
        <f t="shared" si="15"/>
        <v>0</v>
      </c>
      <c r="BG36" s="4"/>
      <c r="BH36" s="4">
        <f t="shared" si="16"/>
        <v>-190000</v>
      </c>
      <c r="BI36" s="4"/>
      <c r="BJ36" s="4"/>
      <c r="BK36" s="4"/>
      <c r="BL36" s="4"/>
    </row>
    <row r="37" spans="1:66" ht="30" customHeight="1">
      <c r="A37" s="3">
        <f t="shared" si="9"/>
        <v>32</v>
      </c>
      <c r="B37" s="3">
        <v>2040</v>
      </c>
      <c r="C37" s="3" t="s">
        <v>234</v>
      </c>
      <c r="D37" s="4">
        <v>2710000</v>
      </c>
      <c r="E37" s="4">
        <v>2710000</v>
      </c>
      <c r="F37" s="4">
        <f t="shared" si="0"/>
        <v>0</v>
      </c>
      <c r="G37" s="4">
        <v>1410000</v>
      </c>
      <c r="H37" s="4">
        <v>1156514</v>
      </c>
      <c r="I37" s="4">
        <v>0</v>
      </c>
      <c r="J37" s="4"/>
      <c r="K37" s="4">
        <f t="shared" si="1"/>
        <v>0</v>
      </c>
      <c r="L37" s="4">
        <f t="shared" si="2"/>
        <v>1156514</v>
      </c>
      <c r="M37" s="4">
        <f>P37+S37-250000</f>
        <v>3486</v>
      </c>
      <c r="N37" s="4">
        <f>1200000-500000</f>
        <v>700000</v>
      </c>
      <c r="O37" s="4">
        <f t="shared" si="3"/>
        <v>850000</v>
      </c>
      <c r="P37" s="4">
        <f t="shared" si="4"/>
        <v>253486</v>
      </c>
      <c r="Q37" s="4"/>
      <c r="R37" s="4"/>
      <c r="S37" s="4">
        <f t="shared" si="17"/>
        <v>0</v>
      </c>
      <c r="T37" s="4">
        <f t="shared" si="5"/>
        <v>250000</v>
      </c>
      <c r="U37" s="4">
        <f t="shared" si="6"/>
        <v>450000</v>
      </c>
      <c r="V37" s="4"/>
      <c r="W37" s="4">
        <f t="shared" si="10"/>
        <v>450000</v>
      </c>
      <c r="X37" s="4"/>
      <c r="Y37" s="4"/>
      <c r="Z37" s="4"/>
      <c r="AA37" s="3"/>
      <c r="AB37" s="3" t="s">
        <v>729</v>
      </c>
      <c r="AC37" s="3">
        <v>829000</v>
      </c>
      <c r="AD37" s="4"/>
      <c r="AE37" s="4"/>
      <c r="AF37" s="4"/>
      <c r="AG37" s="4"/>
      <c r="AH37" s="4"/>
      <c r="AI37" s="4"/>
      <c r="AJ37" s="4">
        <f t="shared" si="7"/>
        <v>0</v>
      </c>
      <c r="AK37" s="4">
        <f t="shared" si="11"/>
        <v>450000</v>
      </c>
      <c r="AL37" s="112"/>
      <c r="AM37" s="130"/>
      <c r="AN37" s="4">
        <f t="shared" si="8"/>
        <v>450000</v>
      </c>
      <c r="AO37" s="4"/>
      <c r="AP37" s="4">
        <f t="shared" si="18"/>
        <v>450000</v>
      </c>
      <c r="AQ37" s="4"/>
      <c r="AR37" s="4"/>
      <c r="AS37" s="4"/>
      <c r="AT37" s="4"/>
      <c r="AU37" s="4"/>
      <c r="AV37" s="4"/>
      <c r="AW37" s="4">
        <v>250000</v>
      </c>
      <c r="AX37" s="4">
        <f t="shared" si="12"/>
        <v>200000</v>
      </c>
      <c r="AY37" s="4"/>
      <c r="AZ37" s="4">
        <f t="shared" si="13"/>
        <v>200000</v>
      </c>
      <c r="BA37" s="4"/>
      <c r="BB37" s="4"/>
      <c r="BC37" s="4"/>
      <c r="BD37" s="4"/>
      <c r="BE37" s="4">
        <f t="shared" si="14"/>
        <v>200000</v>
      </c>
      <c r="BF37" s="4">
        <f t="shared" si="15"/>
        <v>250000</v>
      </c>
      <c r="BG37" s="4"/>
      <c r="BH37" s="4">
        <f t="shared" si="16"/>
        <v>200000</v>
      </c>
      <c r="BI37" s="4"/>
      <c r="BJ37" s="4"/>
      <c r="BK37" s="4"/>
      <c r="BL37" s="4"/>
    </row>
    <row r="38" spans="1:66" ht="30" customHeight="1">
      <c r="A38" s="3">
        <f t="shared" si="9"/>
        <v>33</v>
      </c>
      <c r="B38" s="3">
        <v>2043</v>
      </c>
      <c r="C38" s="3" t="s">
        <v>320</v>
      </c>
      <c r="D38" s="4">
        <f>15350000+6000000-850000</f>
        <v>20500000</v>
      </c>
      <c r="E38" s="4">
        <f>15350000+3000000</f>
        <v>18350000</v>
      </c>
      <c r="F38" s="4">
        <f t="shared" si="0"/>
        <v>2150000</v>
      </c>
      <c r="G38" s="4">
        <v>14850000</v>
      </c>
      <c r="H38" s="4">
        <v>15411264</v>
      </c>
      <c r="I38" s="4">
        <v>56624</v>
      </c>
      <c r="J38" s="4">
        <f>2218+200000+999980</f>
        <v>1202198</v>
      </c>
      <c r="K38" s="4">
        <f t="shared" si="1"/>
        <v>1258822</v>
      </c>
      <c r="L38" s="4">
        <f t="shared" si="2"/>
        <v>16670086</v>
      </c>
      <c r="M38" s="4">
        <f>P38+S38-2500000+500000+825000</f>
        <v>4914</v>
      </c>
      <c r="N38" s="4">
        <f>5650000-3000000+2000000-1050000-825000+1050000-150000</f>
        <v>3675000</v>
      </c>
      <c r="O38" s="4">
        <f t="shared" si="3"/>
        <v>150000</v>
      </c>
      <c r="P38" s="4">
        <f t="shared" si="4"/>
        <v>-1820086</v>
      </c>
      <c r="Q38" s="4"/>
      <c r="R38" s="4">
        <v>3000000</v>
      </c>
      <c r="S38" s="4">
        <f t="shared" si="17"/>
        <v>3000000</v>
      </c>
      <c r="T38" s="4">
        <f t="shared" si="5"/>
        <v>1175000</v>
      </c>
      <c r="U38" s="4">
        <f t="shared" si="6"/>
        <v>2500000</v>
      </c>
      <c r="V38" s="4"/>
      <c r="W38" s="4">
        <f t="shared" si="10"/>
        <v>2500000</v>
      </c>
      <c r="X38" s="4"/>
      <c r="Y38" s="4"/>
      <c r="Z38" s="4"/>
      <c r="AA38" s="3"/>
      <c r="AB38" s="3" t="s">
        <v>473</v>
      </c>
      <c r="AC38" s="3">
        <v>747000</v>
      </c>
      <c r="AD38" s="4"/>
      <c r="AE38" s="4">
        <v>1000000</v>
      </c>
      <c r="AF38" s="4">
        <v>1000000</v>
      </c>
      <c r="AG38" s="4"/>
      <c r="AH38" s="4">
        <v>500000</v>
      </c>
      <c r="AI38" s="4"/>
      <c r="AJ38" s="4">
        <f t="shared" ref="AJ38:AJ69" si="19">SUM(AD38:AI38)+AL38</f>
        <v>2500000</v>
      </c>
      <c r="AK38" s="4">
        <f t="shared" si="11"/>
        <v>0</v>
      </c>
      <c r="AL38" s="112"/>
      <c r="AM38" s="130"/>
      <c r="AN38" s="4">
        <f t="shared" ref="AN38:AN69" si="20">AK38+AM38</f>
        <v>0</v>
      </c>
      <c r="AO38" s="4"/>
      <c r="AP38" s="4">
        <f t="shared" si="18"/>
        <v>0</v>
      </c>
      <c r="AQ38" s="4"/>
      <c r="AR38" s="4"/>
      <c r="AS38" s="4"/>
      <c r="AT38" s="4"/>
      <c r="AU38" s="4"/>
      <c r="AV38" s="4"/>
      <c r="AW38" s="4"/>
      <c r="AX38" s="4">
        <f t="shared" si="12"/>
        <v>0</v>
      </c>
      <c r="AY38" s="4"/>
      <c r="AZ38" s="4">
        <f t="shared" si="13"/>
        <v>0</v>
      </c>
      <c r="BA38" s="4"/>
      <c r="BB38" s="4"/>
      <c r="BC38" s="4"/>
      <c r="BD38" s="4"/>
      <c r="BE38" s="4">
        <f t="shared" si="14"/>
        <v>2500000</v>
      </c>
      <c r="BF38" s="4">
        <f t="shared" si="15"/>
        <v>0</v>
      </c>
      <c r="BG38" s="4"/>
      <c r="BH38" s="4">
        <f t="shared" si="16"/>
        <v>2500000</v>
      </c>
      <c r="BI38" s="4"/>
      <c r="BJ38" s="4"/>
      <c r="BK38" s="4"/>
      <c r="BL38" s="4"/>
    </row>
    <row r="39" spans="1:66" ht="30" customHeight="1">
      <c r="A39" s="3">
        <f t="shared" si="9"/>
        <v>34</v>
      </c>
      <c r="B39" s="3">
        <v>2044</v>
      </c>
      <c r="C39" s="3" t="s">
        <v>1172</v>
      </c>
      <c r="D39" s="4">
        <v>105000</v>
      </c>
      <c r="E39" s="4">
        <v>105000</v>
      </c>
      <c r="F39" s="4">
        <f t="shared" si="0"/>
        <v>0</v>
      </c>
      <c r="G39" s="4">
        <v>105000</v>
      </c>
      <c r="H39" s="4">
        <v>56160</v>
      </c>
      <c r="I39" s="4">
        <v>0</v>
      </c>
      <c r="J39" s="4">
        <v>0</v>
      </c>
      <c r="K39" s="4">
        <f t="shared" si="1"/>
        <v>0</v>
      </c>
      <c r="L39" s="4">
        <f t="shared" si="2"/>
        <v>56160</v>
      </c>
      <c r="M39" s="4">
        <f>P39+S39-48800</f>
        <v>40</v>
      </c>
      <c r="N39" s="4">
        <v>48800</v>
      </c>
      <c r="O39" s="4">
        <f t="shared" si="3"/>
        <v>0</v>
      </c>
      <c r="P39" s="4">
        <f t="shared" si="4"/>
        <v>48840</v>
      </c>
      <c r="Q39" s="4"/>
      <c r="R39" s="4"/>
      <c r="S39" s="4">
        <f t="shared" si="17"/>
        <v>0</v>
      </c>
      <c r="T39" s="4">
        <f t="shared" si="5"/>
        <v>48800</v>
      </c>
      <c r="U39" s="4">
        <f t="shared" si="6"/>
        <v>0</v>
      </c>
      <c r="V39" s="4"/>
      <c r="W39" s="4">
        <f t="shared" si="10"/>
        <v>0</v>
      </c>
      <c r="X39" s="4"/>
      <c r="Y39" s="4"/>
      <c r="Z39" s="4"/>
      <c r="AA39" s="3"/>
      <c r="AB39" s="3" t="s">
        <v>998</v>
      </c>
      <c r="AC39" s="3">
        <v>747000</v>
      </c>
      <c r="AD39" s="4"/>
      <c r="AE39" s="4"/>
      <c r="AF39" s="4"/>
      <c r="AG39" s="4"/>
      <c r="AH39" s="4"/>
      <c r="AI39" s="4"/>
      <c r="AJ39" s="4">
        <f t="shared" si="19"/>
        <v>0</v>
      </c>
      <c r="AK39" s="4">
        <f t="shared" si="11"/>
        <v>0</v>
      </c>
      <c r="AL39" s="112"/>
      <c r="AM39" s="130"/>
      <c r="AN39" s="4">
        <f t="shared" si="20"/>
        <v>0</v>
      </c>
      <c r="AO39" s="4"/>
      <c r="AP39" s="4">
        <f t="shared" si="18"/>
        <v>0</v>
      </c>
      <c r="AQ39" s="4"/>
      <c r="AR39" s="4"/>
      <c r="AS39" s="4"/>
      <c r="AT39" s="4"/>
      <c r="AU39" s="4"/>
      <c r="AV39" s="4"/>
      <c r="AW39" s="4"/>
      <c r="AX39" s="4">
        <f t="shared" si="12"/>
        <v>0</v>
      </c>
      <c r="AY39" s="4"/>
      <c r="AZ39" s="4">
        <f t="shared" si="13"/>
        <v>0</v>
      </c>
      <c r="BA39" s="4"/>
      <c r="BB39" s="4"/>
      <c r="BC39" s="4"/>
      <c r="BD39" s="4"/>
      <c r="BE39" s="4">
        <f t="shared" si="14"/>
        <v>0</v>
      </c>
      <c r="BF39" s="4">
        <f t="shared" si="15"/>
        <v>0</v>
      </c>
      <c r="BG39" s="4"/>
      <c r="BH39" s="4">
        <f t="shared" si="16"/>
        <v>0</v>
      </c>
      <c r="BI39" s="4"/>
      <c r="BJ39" s="4"/>
      <c r="BK39" s="4"/>
      <c r="BL39" s="4"/>
    </row>
    <row r="40" spans="1:66" ht="30" customHeight="1">
      <c r="A40" s="3">
        <f t="shared" si="9"/>
        <v>35</v>
      </c>
      <c r="B40" s="3">
        <v>2047</v>
      </c>
      <c r="C40" s="3" t="s">
        <v>235</v>
      </c>
      <c r="D40" s="4">
        <v>170000</v>
      </c>
      <c r="E40" s="4">
        <v>170000</v>
      </c>
      <c r="F40" s="4">
        <f t="shared" si="0"/>
        <v>0</v>
      </c>
      <c r="G40" s="4">
        <v>170000</v>
      </c>
      <c r="H40" s="4">
        <v>170000</v>
      </c>
      <c r="I40" s="4">
        <v>0</v>
      </c>
      <c r="J40" s="4">
        <v>0</v>
      </c>
      <c r="K40" s="4">
        <f t="shared" si="1"/>
        <v>0</v>
      </c>
      <c r="L40" s="4">
        <f t="shared" si="2"/>
        <v>170000</v>
      </c>
      <c r="M40" s="4">
        <f>P40+S40</f>
        <v>0</v>
      </c>
      <c r="N40" s="4"/>
      <c r="O40" s="4">
        <f t="shared" si="3"/>
        <v>0</v>
      </c>
      <c r="P40" s="4">
        <f t="shared" si="4"/>
        <v>0</v>
      </c>
      <c r="Q40" s="4"/>
      <c r="R40" s="4"/>
      <c r="S40" s="4">
        <f t="shared" si="17"/>
        <v>0</v>
      </c>
      <c r="T40" s="4">
        <f t="shared" si="5"/>
        <v>0</v>
      </c>
      <c r="U40" s="4">
        <f t="shared" si="6"/>
        <v>0</v>
      </c>
      <c r="V40" s="4"/>
      <c r="W40" s="4">
        <f t="shared" si="10"/>
        <v>0</v>
      </c>
      <c r="X40" s="4"/>
      <c r="Y40" s="4"/>
      <c r="Z40" s="4"/>
      <c r="AA40" s="3"/>
      <c r="AB40" s="3" t="s">
        <v>730</v>
      </c>
      <c r="AC40" s="3">
        <v>747000</v>
      </c>
      <c r="AD40" s="4"/>
      <c r="AE40" s="4"/>
      <c r="AF40" s="4"/>
      <c r="AG40" s="4"/>
      <c r="AH40" s="4"/>
      <c r="AI40" s="4"/>
      <c r="AJ40" s="4">
        <f t="shared" si="19"/>
        <v>0</v>
      </c>
      <c r="AK40" s="4">
        <f t="shared" si="11"/>
        <v>0</v>
      </c>
      <c r="AL40" s="112"/>
      <c r="AM40" s="130"/>
      <c r="AN40" s="4">
        <f t="shared" si="20"/>
        <v>0</v>
      </c>
      <c r="AO40" s="4"/>
      <c r="AP40" s="4">
        <f t="shared" si="18"/>
        <v>0</v>
      </c>
      <c r="AQ40" s="4"/>
      <c r="AR40" s="4"/>
      <c r="AS40" s="4"/>
      <c r="AT40" s="4"/>
      <c r="AU40" s="4"/>
      <c r="AV40" s="4"/>
      <c r="AW40" s="4"/>
      <c r="AX40" s="4">
        <f t="shared" si="12"/>
        <v>0</v>
      </c>
      <c r="AY40" s="4"/>
      <c r="AZ40" s="4">
        <f t="shared" si="13"/>
        <v>0</v>
      </c>
      <c r="BA40" s="4"/>
      <c r="BB40" s="4"/>
      <c r="BC40" s="4"/>
      <c r="BD40" s="4"/>
      <c r="BE40" s="4">
        <f t="shared" si="14"/>
        <v>0</v>
      </c>
      <c r="BF40" s="4">
        <f t="shared" si="15"/>
        <v>0</v>
      </c>
      <c r="BG40" s="4"/>
      <c r="BH40" s="4">
        <f t="shared" si="16"/>
        <v>0</v>
      </c>
      <c r="BI40" s="4"/>
      <c r="BJ40" s="4"/>
      <c r="BK40" s="4"/>
      <c r="BL40" s="4"/>
    </row>
    <row r="41" spans="1:66" ht="30" customHeight="1">
      <c r="A41" s="3">
        <f t="shared" si="9"/>
        <v>36</v>
      </c>
      <c r="B41" s="3">
        <v>2063</v>
      </c>
      <c r="C41" s="3" t="s">
        <v>229</v>
      </c>
      <c r="D41" s="4">
        <f>2500000+600000</f>
        <v>3100000</v>
      </c>
      <c r="E41" s="4">
        <v>2500000</v>
      </c>
      <c r="F41" s="4">
        <f t="shared" si="0"/>
        <v>600000</v>
      </c>
      <c r="G41" s="4">
        <v>2300000</v>
      </c>
      <c r="H41" s="4">
        <v>664045</v>
      </c>
      <c r="I41" s="4">
        <v>0</v>
      </c>
      <c r="J41" s="4">
        <v>1554999</v>
      </c>
      <c r="K41" s="4">
        <f t="shared" si="1"/>
        <v>1554999</v>
      </c>
      <c r="L41" s="4">
        <f t="shared" si="2"/>
        <v>2219044</v>
      </c>
      <c r="M41" s="4">
        <f>P41+S41-80000</f>
        <v>956</v>
      </c>
      <c r="N41" s="4">
        <f>800000-100000+80000</f>
        <v>780000</v>
      </c>
      <c r="O41" s="4">
        <f t="shared" si="3"/>
        <v>100000</v>
      </c>
      <c r="P41" s="4">
        <f t="shared" si="4"/>
        <v>80956</v>
      </c>
      <c r="Q41" s="4"/>
      <c r="R41" s="4"/>
      <c r="S41" s="4">
        <f t="shared" si="17"/>
        <v>0</v>
      </c>
      <c r="T41" s="4">
        <f t="shared" si="5"/>
        <v>80000</v>
      </c>
      <c r="U41" s="4">
        <f t="shared" si="6"/>
        <v>700000</v>
      </c>
      <c r="V41" s="4">
        <v>700000</v>
      </c>
      <c r="W41" s="4">
        <f t="shared" si="10"/>
        <v>0</v>
      </c>
      <c r="X41" s="4"/>
      <c r="Y41" s="4"/>
      <c r="Z41" s="4"/>
      <c r="AA41" s="3"/>
      <c r="AB41" s="3" t="s">
        <v>390</v>
      </c>
      <c r="AC41" s="3">
        <v>810000</v>
      </c>
      <c r="AD41" s="4"/>
      <c r="AE41" s="4">
        <v>700000</v>
      </c>
      <c r="AF41" s="4"/>
      <c r="AG41" s="4"/>
      <c r="AH41" s="4"/>
      <c r="AI41" s="4"/>
      <c r="AJ41" s="4">
        <f t="shared" si="19"/>
        <v>700000</v>
      </c>
      <c r="AK41" s="4">
        <f t="shared" si="11"/>
        <v>0</v>
      </c>
      <c r="AL41" s="112"/>
      <c r="AM41" s="130"/>
      <c r="AN41" s="4">
        <f t="shared" si="20"/>
        <v>0</v>
      </c>
      <c r="AO41" s="4"/>
      <c r="AP41" s="4">
        <f t="shared" si="18"/>
        <v>0</v>
      </c>
      <c r="AQ41" s="4"/>
      <c r="AR41" s="4"/>
      <c r="AS41" s="4"/>
      <c r="AT41" s="4"/>
      <c r="AU41" s="4"/>
      <c r="AV41" s="4"/>
      <c r="AW41" s="4"/>
      <c r="AX41" s="4">
        <f t="shared" si="12"/>
        <v>0</v>
      </c>
      <c r="AY41" s="4"/>
      <c r="AZ41" s="4">
        <f t="shared" si="13"/>
        <v>0</v>
      </c>
      <c r="BA41" s="4"/>
      <c r="BB41" s="4"/>
      <c r="BC41" s="4"/>
      <c r="BD41" s="4"/>
      <c r="BE41" s="4">
        <f t="shared" si="14"/>
        <v>700000</v>
      </c>
      <c r="BF41" s="4">
        <f t="shared" si="15"/>
        <v>0</v>
      </c>
      <c r="BG41" s="4">
        <v>700000</v>
      </c>
      <c r="BH41" s="4">
        <f t="shared" si="16"/>
        <v>0</v>
      </c>
      <c r="BI41" s="4"/>
      <c r="BJ41" s="4"/>
      <c r="BK41" s="4"/>
      <c r="BL41" s="4"/>
    </row>
    <row r="42" spans="1:66" ht="30" customHeight="1">
      <c r="A42" s="3">
        <f t="shared" si="9"/>
        <v>37</v>
      </c>
      <c r="B42" s="3">
        <v>2071</v>
      </c>
      <c r="C42" s="3" t="s">
        <v>231</v>
      </c>
      <c r="D42" s="4">
        <f>300000-21920</f>
        <v>278080</v>
      </c>
      <c r="E42" s="4">
        <v>300000</v>
      </c>
      <c r="F42" s="4">
        <f t="shared" si="0"/>
        <v>-21920</v>
      </c>
      <c r="G42" s="4">
        <v>300000</v>
      </c>
      <c r="H42" s="4">
        <v>278080</v>
      </c>
      <c r="I42" s="4">
        <v>0</v>
      </c>
      <c r="J42" s="4">
        <v>0</v>
      </c>
      <c r="K42" s="4">
        <f t="shared" si="1"/>
        <v>0</v>
      </c>
      <c r="L42" s="4">
        <f t="shared" si="2"/>
        <v>278080</v>
      </c>
      <c r="M42" s="4">
        <f>P42+S42-21920</f>
        <v>0</v>
      </c>
      <c r="N42" s="4"/>
      <c r="O42" s="4">
        <f t="shared" si="3"/>
        <v>0</v>
      </c>
      <c r="P42" s="4">
        <f t="shared" si="4"/>
        <v>21920</v>
      </c>
      <c r="Q42" s="4"/>
      <c r="R42" s="4"/>
      <c r="S42" s="4">
        <f t="shared" si="17"/>
        <v>0</v>
      </c>
      <c r="T42" s="4">
        <f t="shared" si="5"/>
        <v>21920</v>
      </c>
      <c r="U42" s="4">
        <f t="shared" si="6"/>
        <v>-21920</v>
      </c>
      <c r="V42" s="4"/>
      <c r="W42" s="4">
        <f t="shared" si="10"/>
        <v>20986</v>
      </c>
      <c r="X42" s="4"/>
      <c r="Y42" s="4"/>
      <c r="Z42" s="4"/>
      <c r="AA42" s="4">
        <v>-42906</v>
      </c>
      <c r="AB42" s="3" t="s">
        <v>313</v>
      </c>
      <c r="AC42" s="3">
        <v>810000</v>
      </c>
      <c r="AD42" s="4">
        <v>-21920</v>
      </c>
      <c r="AE42" s="4"/>
      <c r="AF42" s="4"/>
      <c r="AG42" s="4"/>
      <c r="AH42" s="4"/>
      <c r="AI42" s="4"/>
      <c r="AJ42" s="4">
        <f t="shared" si="19"/>
        <v>-21920</v>
      </c>
      <c r="AK42" s="4">
        <f t="shared" si="11"/>
        <v>0</v>
      </c>
      <c r="AL42" s="112"/>
      <c r="AM42" s="130"/>
      <c r="AN42" s="4">
        <f t="shared" si="20"/>
        <v>0</v>
      </c>
      <c r="AO42" s="4"/>
      <c r="AP42" s="4">
        <f t="shared" si="18"/>
        <v>0</v>
      </c>
      <c r="AQ42" s="4"/>
      <c r="AR42" s="4"/>
      <c r="AS42" s="4"/>
      <c r="AT42" s="4"/>
      <c r="AU42" s="4"/>
      <c r="AV42" s="4"/>
      <c r="AW42" s="4"/>
      <c r="AX42" s="4">
        <f t="shared" si="12"/>
        <v>0</v>
      </c>
      <c r="AY42" s="4"/>
      <c r="AZ42" s="4">
        <f t="shared" si="13"/>
        <v>0</v>
      </c>
      <c r="BA42" s="4"/>
      <c r="BB42" s="4"/>
      <c r="BC42" s="4"/>
      <c r="BD42" s="4"/>
      <c r="BE42" s="4">
        <f t="shared" si="14"/>
        <v>-21920</v>
      </c>
      <c r="BF42" s="4">
        <f t="shared" si="15"/>
        <v>0</v>
      </c>
      <c r="BG42" s="4"/>
      <c r="BH42" s="4">
        <f t="shared" si="16"/>
        <v>20986</v>
      </c>
      <c r="BI42" s="4"/>
      <c r="BJ42" s="4"/>
      <c r="BK42" s="4"/>
      <c r="BL42" s="4">
        <v>-42906</v>
      </c>
    </row>
    <row r="43" spans="1:66" s="5" customFormat="1" ht="30" customHeight="1">
      <c r="A43" s="3">
        <f t="shared" si="9"/>
        <v>38</v>
      </c>
      <c r="B43" s="3">
        <v>2091</v>
      </c>
      <c r="C43" s="3" t="s">
        <v>232</v>
      </c>
      <c r="D43" s="4">
        <v>1360000</v>
      </c>
      <c r="E43" s="4">
        <v>1360000</v>
      </c>
      <c r="F43" s="4">
        <f t="shared" si="0"/>
        <v>0</v>
      </c>
      <c r="G43" s="4">
        <v>400000</v>
      </c>
      <c r="H43" s="4">
        <f>160057-57</f>
        <v>160000</v>
      </c>
      <c r="I43" s="4"/>
      <c r="J43" s="4"/>
      <c r="K43" s="4">
        <f t="shared" si="1"/>
        <v>0</v>
      </c>
      <c r="L43" s="4">
        <f t="shared" si="2"/>
        <v>160000</v>
      </c>
      <c r="M43" s="4">
        <f>P43+S43-80000*3</f>
        <v>0</v>
      </c>
      <c r="N43" s="4"/>
      <c r="O43" s="4">
        <f>D43-M43-N43-L43</f>
        <v>1200000</v>
      </c>
      <c r="P43" s="4">
        <f t="shared" si="4"/>
        <v>240000</v>
      </c>
      <c r="Q43" s="4"/>
      <c r="R43" s="4"/>
      <c r="S43" s="4">
        <f>SUM(Q43:R43)</f>
        <v>0</v>
      </c>
      <c r="T43" s="4">
        <f t="shared" si="5"/>
        <v>240000</v>
      </c>
      <c r="U43" s="4">
        <f t="shared" si="6"/>
        <v>-240000</v>
      </c>
      <c r="V43" s="4"/>
      <c r="W43" s="4">
        <f t="shared" si="10"/>
        <v>0</v>
      </c>
      <c r="X43" s="4"/>
      <c r="Y43" s="4"/>
      <c r="Z43" s="4"/>
      <c r="AA43" s="258">
        <v>-240000</v>
      </c>
      <c r="AB43" s="3" t="s">
        <v>731</v>
      </c>
      <c r="AC43" s="3">
        <v>810000</v>
      </c>
      <c r="AD43" s="4">
        <v>-240000</v>
      </c>
      <c r="AE43" s="4">
        <v>80000</v>
      </c>
      <c r="AF43" s="4"/>
      <c r="AG43" s="4">
        <v>80000</v>
      </c>
      <c r="AH43" s="4"/>
      <c r="AI43" s="4"/>
      <c r="AJ43" s="4">
        <f t="shared" si="19"/>
        <v>-80000</v>
      </c>
      <c r="AK43" s="4">
        <f t="shared" si="11"/>
        <v>-160000</v>
      </c>
      <c r="AL43" s="112"/>
      <c r="AM43" s="130"/>
      <c r="AN43" s="4">
        <f t="shared" si="20"/>
        <v>-160000</v>
      </c>
      <c r="AO43" s="4"/>
      <c r="AP43" s="4">
        <f t="shared" si="18"/>
        <v>0</v>
      </c>
      <c r="AQ43" s="4"/>
      <c r="AR43" s="4"/>
      <c r="AS43" s="4"/>
      <c r="AT43" s="4">
        <v>-160000</v>
      </c>
      <c r="AU43" s="4"/>
      <c r="AV43" s="4"/>
      <c r="AW43" s="4">
        <v>-160000</v>
      </c>
      <c r="AX43" s="4">
        <f t="shared" si="12"/>
        <v>0</v>
      </c>
      <c r="AY43" s="4"/>
      <c r="AZ43" s="4">
        <f t="shared" si="13"/>
        <v>0</v>
      </c>
      <c r="BA43" s="4"/>
      <c r="BB43" s="4"/>
      <c r="BC43" s="4"/>
      <c r="BD43" s="4"/>
      <c r="BE43" s="4">
        <f t="shared" si="14"/>
        <v>-80000</v>
      </c>
      <c r="BF43" s="4">
        <f t="shared" si="15"/>
        <v>-160000</v>
      </c>
      <c r="BG43" s="4"/>
      <c r="BH43" s="4">
        <f t="shared" si="16"/>
        <v>0</v>
      </c>
      <c r="BI43" s="4"/>
      <c r="BJ43" s="4"/>
      <c r="BK43" s="4"/>
      <c r="BL43" s="4">
        <v>-80000</v>
      </c>
      <c r="BM43" s="523"/>
      <c r="BN43" s="523"/>
    </row>
    <row r="44" spans="1:66" ht="30" customHeight="1">
      <c r="A44" s="3">
        <f t="shared" si="9"/>
        <v>39</v>
      </c>
      <c r="B44" s="3">
        <v>2095</v>
      </c>
      <c r="C44" s="3" t="s">
        <v>230</v>
      </c>
      <c r="D44" s="4">
        <v>210000</v>
      </c>
      <c r="E44" s="4">
        <v>210000</v>
      </c>
      <c r="F44" s="4">
        <f t="shared" si="0"/>
        <v>0</v>
      </c>
      <c r="G44" s="4">
        <v>160000</v>
      </c>
      <c r="H44" s="4">
        <v>114953</v>
      </c>
      <c r="I44" s="4">
        <v>0</v>
      </c>
      <c r="J44" s="4">
        <v>29835</v>
      </c>
      <c r="K44" s="4">
        <f t="shared" si="1"/>
        <v>29835</v>
      </c>
      <c r="L44" s="4">
        <f t="shared" si="2"/>
        <v>144788</v>
      </c>
      <c r="M44" s="4">
        <f>P44+S44-60000</f>
        <v>5212</v>
      </c>
      <c r="N44" s="4">
        <v>60000</v>
      </c>
      <c r="O44" s="4">
        <f t="shared" si="3"/>
        <v>0</v>
      </c>
      <c r="P44" s="4">
        <f t="shared" si="4"/>
        <v>15212</v>
      </c>
      <c r="Q44" s="4">
        <v>50000</v>
      </c>
      <c r="R44" s="4"/>
      <c r="S44" s="4">
        <f t="shared" si="17"/>
        <v>50000</v>
      </c>
      <c r="T44" s="4">
        <f t="shared" si="5"/>
        <v>60000</v>
      </c>
      <c r="U44" s="4">
        <f t="shared" si="6"/>
        <v>0</v>
      </c>
      <c r="V44" s="4"/>
      <c r="W44" s="4">
        <f t="shared" si="10"/>
        <v>0</v>
      </c>
      <c r="X44" s="4"/>
      <c r="Y44" s="4"/>
      <c r="Z44" s="4"/>
      <c r="AA44" s="3"/>
      <c r="AB44" s="3" t="s">
        <v>391</v>
      </c>
      <c r="AC44" s="3">
        <v>610000</v>
      </c>
      <c r="AD44" s="4"/>
      <c r="AE44" s="4"/>
      <c r="AF44" s="4"/>
      <c r="AG44" s="4"/>
      <c r="AH44" s="4"/>
      <c r="AI44" s="4"/>
      <c r="AJ44" s="4">
        <f t="shared" si="19"/>
        <v>0</v>
      </c>
      <c r="AK44" s="4">
        <f t="shared" si="11"/>
        <v>0</v>
      </c>
      <c r="AL44" s="112"/>
      <c r="AM44" s="130"/>
      <c r="AN44" s="4">
        <f t="shared" si="20"/>
        <v>0</v>
      </c>
      <c r="AO44" s="4"/>
      <c r="AP44" s="4">
        <f t="shared" si="18"/>
        <v>0</v>
      </c>
      <c r="AQ44" s="4"/>
      <c r="AR44" s="4"/>
      <c r="AS44" s="4"/>
      <c r="AT44" s="4"/>
      <c r="AU44" s="4"/>
      <c r="AV44" s="4"/>
      <c r="AW44" s="4"/>
      <c r="AX44" s="4">
        <f t="shared" si="12"/>
        <v>0</v>
      </c>
      <c r="AY44" s="4"/>
      <c r="AZ44" s="4">
        <f t="shared" si="13"/>
        <v>0</v>
      </c>
      <c r="BA44" s="4"/>
      <c r="BB44" s="4"/>
      <c r="BC44" s="4"/>
      <c r="BD44" s="4"/>
      <c r="BE44" s="4">
        <f t="shared" si="14"/>
        <v>0</v>
      </c>
      <c r="BF44" s="4">
        <f t="shared" si="15"/>
        <v>0</v>
      </c>
      <c r="BG44" s="4"/>
      <c r="BH44" s="4">
        <f t="shared" si="16"/>
        <v>0</v>
      </c>
      <c r="BI44" s="4"/>
      <c r="BJ44" s="4"/>
      <c r="BK44" s="4"/>
      <c r="BL44" s="4"/>
    </row>
    <row r="45" spans="1:66" ht="30" customHeight="1">
      <c r="A45" s="3">
        <f t="shared" si="9"/>
        <v>40</v>
      </c>
      <c r="B45" s="3">
        <v>2131</v>
      </c>
      <c r="C45" s="3" t="s">
        <v>1173</v>
      </c>
      <c r="D45" s="4">
        <v>7500000</v>
      </c>
      <c r="E45" s="4">
        <v>7500000</v>
      </c>
      <c r="F45" s="4">
        <f t="shared" si="0"/>
        <v>0</v>
      </c>
      <c r="G45" s="4">
        <v>4020000</v>
      </c>
      <c r="H45" s="4">
        <v>3818396</v>
      </c>
      <c r="I45" s="4">
        <v>0</v>
      </c>
      <c r="J45" s="4">
        <v>178564</v>
      </c>
      <c r="K45" s="4">
        <f t="shared" si="1"/>
        <v>178564</v>
      </c>
      <c r="L45" s="4">
        <f t="shared" si="2"/>
        <v>3996960</v>
      </c>
      <c r="M45" s="4">
        <f>P45+S45-20000</f>
        <v>3040</v>
      </c>
      <c r="N45" s="4">
        <v>20000</v>
      </c>
      <c r="O45" s="4">
        <f t="shared" si="3"/>
        <v>3480000</v>
      </c>
      <c r="P45" s="4">
        <f t="shared" si="4"/>
        <v>23040</v>
      </c>
      <c r="Q45" s="4"/>
      <c r="R45" s="4"/>
      <c r="S45" s="4">
        <f t="shared" si="17"/>
        <v>0</v>
      </c>
      <c r="T45" s="4">
        <f t="shared" si="5"/>
        <v>20000</v>
      </c>
      <c r="U45" s="4">
        <f t="shared" si="6"/>
        <v>0</v>
      </c>
      <c r="V45" s="4"/>
      <c r="W45" s="4">
        <f t="shared" si="10"/>
        <v>1520000</v>
      </c>
      <c r="X45" s="4"/>
      <c r="Y45" s="4"/>
      <c r="Z45" s="4"/>
      <c r="AA45" s="4">
        <v>-1520000</v>
      </c>
      <c r="AB45" s="3" t="s">
        <v>999</v>
      </c>
      <c r="AC45" s="3">
        <v>870000</v>
      </c>
      <c r="AD45" s="536"/>
      <c r="AE45" s="4"/>
      <c r="AF45" s="4"/>
      <c r="AG45" s="4"/>
      <c r="AH45" s="4"/>
      <c r="AI45" s="4"/>
      <c r="AJ45" s="4">
        <f t="shared" si="19"/>
        <v>0</v>
      </c>
      <c r="AK45" s="4">
        <f t="shared" si="11"/>
        <v>0</v>
      </c>
      <c r="AL45" s="112"/>
      <c r="AM45" s="130"/>
      <c r="AN45" s="4">
        <f t="shared" si="20"/>
        <v>0</v>
      </c>
      <c r="AO45" s="4"/>
      <c r="AP45" s="4">
        <f t="shared" si="18"/>
        <v>0</v>
      </c>
      <c r="AQ45" s="4"/>
      <c r="AR45" s="4"/>
      <c r="AS45" s="4"/>
      <c r="AT45" s="4"/>
      <c r="AU45" s="4"/>
      <c r="AV45" s="4"/>
      <c r="AW45" s="4"/>
      <c r="AX45" s="4">
        <f t="shared" si="12"/>
        <v>0</v>
      </c>
      <c r="AY45" s="4"/>
      <c r="AZ45" s="4">
        <f t="shared" si="13"/>
        <v>0</v>
      </c>
      <c r="BA45" s="4"/>
      <c r="BB45" s="4"/>
      <c r="BC45" s="4"/>
      <c r="BD45" s="4"/>
      <c r="BE45" s="4">
        <f t="shared" si="14"/>
        <v>0</v>
      </c>
      <c r="BF45" s="4">
        <f t="shared" si="15"/>
        <v>0</v>
      </c>
      <c r="BG45" s="4"/>
      <c r="BH45" s="4">
        <f t="shared" si="16"/>
        <v>1520000</v>
      </c>
      <c r="BI45" s="4"/>
      <c r="BJ45" s="4"/>
      <c r="BK45" s="4"/>
      <c r="BL45" s="4">
        <v>-1520000</v>
      </c>
    </row>
    <row r="46" spans="1:66" ht="30" customHeight="1">
      <c r="A46" s="3">
        <f t="shared" si="9"/>
        <v>41</v>
      </c>
      <c r="B46" s="3">
        <v>2133</v>
      </c>
      <c r="C46" s="3" t="s">
        <v>305</v>
      </c>
      <c r="D46" s="4">
        <v>5150000</v>
      </c>
      <c r="E46" s="4">
        <v>5150000</v>
      </c>
      <c r="F46" s="4">
        <f t="shared" si="0"/>
        <v>0</v>
      </c>
      <c r="G46" s="4">
        <v>2950000</v>
      </c>
      <c r="H46" s="4">
        <v>2669254</v>
      </c>
      <c r="I46" s="4">
        <v>0</v>
      </c>
      <c r="J46" s="4"/>
      <c r="K46" s="4">
        <f t="shared" si="1"/>
        <v>0</v>
      </c>
      <c r="L46" s="4">
        <f t="shared" si="2"/>
        <v>2669254</v>
      </c>
      <c r="M46" s="4">
        <f>P46+S46-270000-10000</f>
        <v>746</v>
      </c>
      <c r="N46" s="4">
        <f>500000+270000-100000+10000</f>
        <v>680000</v>
      </c>
      <c r="O46" s="4">
        <f t="shared" si="3"/>
        <v>1800000</v>
      </c>
      <c r="P46" s="4">
        <f t="shared" si="4"/>
        <v>280746</v>
      </c>
      <c r="Q46" s="4"/>
      <c r="R46" s="4"/>
      <c r="S46" s="4">
        <f t="shared" si="17"/>
        <v>0</v>
      </c>
      <c r="T46" s="4">
        <f t="shared" si="5"/>
        <v>280000</v>
      </c>
      <c r="U46" s="4">
        <f t="shared" si="6"/>
        <v>400000</v>
      </c>
      <c r="V46" s="4"/>
      <c r="W46" s="4">
        <f t="shared" si="10"/>
        <v>400000</v>
      </c>
      <c r="X46" s="4"/>
      <c r="Y46" s="4"/>
      <c r="Z46" s="4"/>
      <c r="AA46" s="3"/>
      <c r="AB46" s="3" t="s">
        <v>556</v>
      </c>
      <c r="AC46" s="3">
        <v>930000</v>
      </c>
      <c r="AD46" s="4"/>
      <c r="AE46" s="4"/>
      <c r="AF46" s="4"/>
      <c r="AG46" s="4"/>
      <c r="AH46" s="4"/>
      <c r="AI46" s="4"/>
      <c r="AJ46" s="4">
        <f t="shared" si="19"/>
        <v>0</v>
      </c>
      <c r="AK46" s="4">
        <f t="shared" si="11"/>
        <v>400000</v>
      </c>
      <c r="AL46" s="112"/>
      <c r="AM46" s="130"/>
      <c r="AN46" s="536">
        <f t="shared" si="20"/>
        <v>400000</v>
      </c>
      <c r="AO46" s="4"/>
      <c r="AP46" s="4">
        <f t="shared" si="18"/>
        <v>400000</v>
      </c>
      <c r="AQ46" s="4"/>
      <c r="AR46" s="4"/>
      <c r="AS46" s="4"/>
      <c r="AT46" s="4"/>
      <c r="AU46" s="4"/>
      <c r="AV46" s="4"/>
      <c r="AW46" s="4"/>
      <c r="AX46" s="4">
        <f t="shared" si="12"/>
        <v>400000</v>
      </c>
      <c r="AY46" s="4"/>
      <c r="AZ46" s="4">
        <f t="shared" si="13"/>
        <v>400000</v>
      </c>
      <c r="BA46" s="4"/>
      <c r="BB46" s="4"/>
      <c r="BC46" s="4"/>
      <c r="BD46" s="4"/>
      <c r="BE46" s="4">
        <f t="shared" si="14"/>
        <v>400000</v>
      </c>
      <c r="BF46" s="4">
        <f t="shared" si="15"/>
        <v>0</v>
      </c>
      <c r="BG46" s="4"/>
      <c r="BH46" s="4">
        <f t="shared" si="16"/>
        <v>400000</v>
      </c>
      <c r="BI46" s="4"/>
      <c r="BJ46" s="4"/>
      <c r="BK46" s="4"/>
      <c r="BL46" s="4"/>
    </row>
    <row r="47" spans="1:66" ht="30" customHeight="1">
      <c r="A47" s="3">
        <f t="shared" si="9"/>
        <v>42</v>
      </c>
      <c r="B47" s="3">
        <v>2137</v>
      </c>
      <c r="C47" s="3" t="s">
        <v>1174</v>
      </c>
      <c r="D47" s="4">
        <v>50000</v>
      </c>
      <c r="E47" s="4">
        <v>50000</v>
      </c>
      <c r="F47" s="4">
        <f t="shared" si="0"/>
        <v>0</v>
      </c>
      <c r="G47" s="4">
        <v>50000</v>
      </c>
      <c r="H47" s="4">
        <v>49966</v>
      </c>
      <c r="I47" s="4">
        <v>0</v>
      </c>
      <c r="J47" s="4">
        <v>0</v>
      </c>
      <c r="K47" s="4">
        <f t="shared" si="1"/>
        <v>0</v>
      </c>
      <c r="L47" s="4">
        <f t="shared" si="2"/>
        <v>49966</v>
      </c>
      <c r="M47" s="4">
        <f>P47+S47</f>
        <v>34</v>
      </c>
      <c r="N47" s="4"/>
      <c r="O47" s="4">
        <f t="shared" si="3"/>
        <v>0</v>
      </c>
      <c r="P47" s="4">
        <f t="shared" si="4"/>
        <v>34</v>
      </c>
      <c r="Q47" s="4"/>
      <c r="R47" s="4"/>
      <c r="S47" s="4">
        <f t="shared" si="17"/>
        <v>0</v>
      </c>
      <c r="T47" s="4">
        <f t="shared" si="5"/>
        <v>0</v>
      </c>
      <c r="U47" s="4">
        <f t="shared" si="6"/>
        <v>0</v>
      </c>
      <c r="V47" s="4"/>
      <c r="W47" s="4">
        <f t="shared" si="10"/>
        <v>0</v>
      </c>
      <c r="X47" s="4"/>
      <c r="Y47" s="4"/>
      <c r="Z47" s="4"/>
      <c r="AA47" s="3"/>
      <c r="AB47" s="3" t="s">
        <v>1001</v>
      </c>
      <c r="AC47" s="3">
        <v>747000</v>
      </c>
      <c r="AD47" s="4"/>
      <c r="AE47" s="4"/>
      <c r="AF47" s="4"/>
      <c r="AG47" s="4"/>
      <c r="AH47" s="4"/>
      <c r="AI47" s="4"/>
      <c r="AJ47" s="4">
        <f t="shared" si="19"/>
        <v>0</v>
      </c>
      <c r="AK47" s="4">
        <f t="shared" si="11"/>
        <v>0</v>
      </c>
      <c r="AL47" s="112"/>
      <c r="AM47" s="130"/>
      <c r="AN47" s="4">
        <f t="shared" si="20"/>
        <v>0</v>
      </c>
      <c r="AO47" s="4"/>
      <c r="AP47" s="4">
        <f t="shared" si="18"/>
        <v>0</v>
      </c>
      <c r="AQ47" s="4"/>
      <c r="AR47" s="4"/>
      <c r="AS47" s="4"/>
      <c r="AT47" s="4"/>
      <c r="AU47" s="4"/>
      <c r="AV47" s="4"/>
      <c r="AW47" s="4"/>
      <c r="AX47" s="4">
        <f t="shared" si="12"/>
        <v>0</v>
      </c>
      <c r="AY47" s="4"/>
      <c r="AZ47" s="4">
        <f t="shared" si="13"/>
        <v>0</v>
      </c>
      <c r="BA47" s="4"/>
      <c r="BB47" s="4"/>
      <c r="BC47" s="4"/>
      <c r="BD47" s="4"/>
      <c r="BE47" s="4">
        <f t="shared" si="14"/>
        <v>0</v>
      </c>
      <c r="BF47" s="4">
        <f t="shared" si="15"/>
        <v>0</v>
      </c>
      <c r="BG47" s="4"/>
      <c r="BH47" s="4">
        <f t="shared" si="16"/>
        <v>0</v>
      </c>
      <c r="BI47" s="4"/>
      <c r="BJ47" s="4"/>
      <c r="BK47" s="4"/>
      <c r="BL47" s="4"/>
    </row>
    <row r="48" spans="1:66" ht="30" customHeight="1">
      <c r="A48" s="3">
        <f t="shared" si="9"/>
        <v>43</v>
      </c>
      <c r="B48" s="3">
        <v>2140</v>
      </c>
      <c r="C48" s="3" t="s">
        <v>341</v>
      </c>
      <c r="D48" s="4">
        <v>360000</v>
      </c>
      <c r="E48" s="4">
        <v>360000</v>
      </c>
      <c r="F48" s="4">
        <f t="shared" si="0"/>
        <v>0</v>
      </c>
      <c r="G48" s="4">
        <v>360000</v>
      </c>
      <c r="H48" s="4">
        <v>283122</v>
      </c>
      <c r="I48" s="4">
        <v>0</v>
      </c>
      <c r="J48" s="4">
        <v>0</v>
      </c>
      <c r="K48" s="4">
        <f t="shared" si="1"/>
        <v>0</v>
      </c>
      <c r="L48" s="4">
        <f t="shared" si="2"/>
        <v>283122</v>
      </c>
      <c r="M48" s="4">
        <f>P48+S48-76878</f>
        <v>0</v>
      </c>
      <c r="N48" s="4"/>
      <c r="O48" s="4">
        <f t="shared" si="3"/>
        <v>76878</v>
      </c>
      <c r="P48" s="4">
        <f t="shared" si="4"/>
        <v>76878</v>
      </c>
      <c r="Q48" s="4"/>
      <c r="R48" s="4"/>
      <c r="S48" s="4">
        <f t="shared" si="17"/>
        <v>0</v>
      </c>
      <c r="T48" s="4">
        <f t="shared" si="5"/>
        <v>76878</v>
      </c>
      <c r="U48" s="4">
        <f t="shared" si="6"/>
        <v>-76878</v>
      </c>
      <c r="V48" s="4"/>
      <c r="W48" s="4">
        <f t="shared" si="10"/>
        <v>0</v>
      </c>
      <c r="X48" s="4"/>
      <c r="Y48" s="4"/>
      <c r="Z48" s="4"/>
      <c r="AA48" s="4">
        <v>-76878</v>
      </c>
      <c r="AB48" s="3" t="s">
        <v>734</v>
      </c>
      <c r="AC48" s="3">
        <v>810000</v>
      </c>
      <c r="AD48" s="4">
        <v>-76878</v>
      </c>
      <c r="AE48" s="4"/>
      <c r="AF48" s="4"/>
      <c r="AG48" s="4"/>
      <c r="AH48" s="4"/>
      <c r="AI48" s="4"/>
      <c r="AJ48" s="4">
        <f t="shared" si="19"/>
        <v>-76878</v>
      </c>
      <c r="AK48" s="4">
        <f t="shared" si="11"/>
        <v>0</v>
      </c>
      <c r="AL48" s="112"/>
      <c r="AM48" s="130"/>
      <c r="AN48" s="4">
        <f t="shared" si="20"/>
        <v>0</v>
      </c>
      <c r="AO48" s="4"/>
      <c r="AP48" s="4">
        <f t="shared" si="18"/>
        <v>0</v>
      </c>
      <c r="AQ48" s="4"/>
      <c r="AR48" s="4"/>
      <c r="AS48" s="4"/>
      <c r="AT48" s="4"/>
      <c r="AU48" s="4"/>
      <c r="AV48" s="4"/>
      <c r="AW48" s="4"/>
      <c r="AX48" s="4">
        <f t="shared" si="12"/>
        <v>0</v>
      </c>
      <c r="AY48" s="4"/>
      <c r="AZ48" s="4">
        <f t="shared" si="13"/>
        <v>0</v>
      </c>
      <c r="BA48" s="4"/>
      <c r="BB48" s="4"/>
      <c r="BC48" s="4"/>
      <c r="BD48" s="4"/>
      <c r="BE48" s="4">
        <f t="shared" si="14"/>
        <v>-76878</v>
      </c>
      <c r="BF48" s="4">
        <f t="shared" si="15"/>
        <v>0</v>
      </c>
      <c r="BG48" s="4"/>
      <c r="BH48" s="4">
        <f t="shared" si="16"/>
        <v>0</v>
      </c>
      <c r="BI48" s="4"/>
      <c r="BJ48" s="4"/>
      <c r="BK48" s="4"/>
      <c r="BL48" s="4">
        <v>-76878</v>
      </c>
    </row>
    <row r="49" spans="1:66" ht="30" customHeight="1">
      <c r="A49" s="3">
        <f t="shared" si="9"/>
        <v>44</v>
      </c>
      <c r="B49" s="3">
        <v>2154</v>
      </c>
      <c r="C49" s="3" t="s">
        <v>1175</v>
      </c>
      <c r="D49" s="4">
        <v>10500000</v>
      </c>
      <c r="E49" s="4">
        <v>10500000</v>
      </c>
      <c r="F49" s="4">
        <f t="shared" si="0"/>
        <v>0</v>
      </c>
      <c r="G49" s="4">
        <v>750000</v>
      </c>
      <c r="H49" s="4">
        <v>636412</v>
      </c>
      <c r="I49" s="4">
        <v>0</v>
      </c>
      <c r="J49" s="4">
        <v>33221</v>
      </c>
      <c r="K49" s="4">
        <f t="shared" si="1"/>
        <v>33221</v>
      </c>
      <c r="L49" s="4">
        <f t="shared" si="2"/>
        <v>669633</v>
      </c>
      <c r="M49" s="4">
        <f>P49+S49-80000</f>
        <v>367</v>
      </c>
      <c r="N49" s="4"/>
      <c r="O49" s="4">
        <f t="shared" si="3"/>
        <v>9830000</v>
      </c>
      <c r="P49" s="4">
        <f t="shared" si="4"/>
        <v>80367</v>
      </c>
      <c r="Q49" s="4"/>
      <c r="R49" s="4"/>
      <c r="S49" s="4">
        <f t="shared" si="17"/>
        <v>0</v>
      </c>
      <c r="T49" s="4">
        <f t="shared" si="5"/>
        <v>80000</v>
      </c>
      <c r="U49" s="4">
        <f t="shared" si="6"/>
        <v>-80000</v>
      </c>
      <c r="V49" s="4"/>
      <c r="W49" s="4">
        <f t="shared" si="10"/>
        <v>-80000</v>
      </c>
      <c r="X49" s="4"/>
      <c r="Y49" s="4"/>
      <c r="Z49" s="4"/>
      <c r="AA49" s="3"/>
      <c r="AB49" s="3" t="s">
        <v>1002</v>
      </c>
      <c r="AC49" s="3">
        <v>870000</v>
      </c>
      <c r="AD49" s="4">
        <v>-80000</v>
      </c>
      <c r="AE49" s="4"/>
      <c r="AF49" s="4"/>
      <c r="AG49" s="4"/>
      <c r="AH49" s="4"/>
      <c r="AI49" s="4"/>
      <c r="AJ49" s="4">
        <f t="shared" si="19"/>
        <v>-80000</v>
      </c>
      <c r="AK49" s="4">
        <f t="shared" si="11"/>
        <v>0</v>
      </c>
      <c r="AL49" s="112"/>
      <c r="AM49" s="130"/>
      <c r="AN49" s="4">
        <f t="shared" si="20"/>
        <v>0</v>
      </c>
      <c r="AO49" s="4"/>
      <c r="AP49" s="4">
        <f t="shared" si="18"/>
        <v>0</v>
      </c>
      <c r="AQ49" s="4"/>
      <c r="AR49" s="4"/>
      <c r="AS49" s="4"/>
      <c r="AT49" s="4"/>
      <c r="AU49" s="4"/>
      <c r="AV49" s="4"/>
      <c r="AW49" s="4"/>
      <c r="AX49" s="4">
        <f t="shared" si="12"/>
        <v>0</v>
      </c>
      <c r="AY49" s="4"/>
      <c r="AZ49" s="4">
        <f t="shared" si="13"/>
        <v>0</v>
      </c>
      <c r="BA49" s="4"/>
      <c r="BB49" s="4"/>
      <c r="BC49" s="4"/>
      <c r="BD49" s="4"/>
      <c r="BE49" s="4">
        <f t="shared" si="14"/>
        <v>-80000</v>
      </c>
      <c r="BF49" s="4">
        <f t="shared" si="15"/>
        <v>0</v>
      </c>
      <c r="BG49" s="4"/>
      <c r="BH49" s="4">
        <f t="shared" si="16"/>
        <v>-80000</v>
      </c>
      <c r="BI49" s="4"/>
      <c r="BJ49" s="4"/>
      <c r="BK49" s="4"/>
      <c r="BL49" s="4"/>
    </row>
    <row r="50" spans="1:66" ht="30" customHeight="1">
      <c r="A50" s="3">
        <f t="shared" si="9"/>
        <v>45</v>
      </c>
      <c r="B50" s="3">
        <v>2156</v>
      </c>
      <c r="C50" s="3" t="s">
        <v>617</v>
      </c>
      <c r="D50" s="4">
        <v>2700000</v>
      </c>
      <c r="E50" s="4">
        <v>2700000</v>
      </c>
      <c r="F50" s="4">
        <f t="shared" si="0"/>
        <v>0</v>
      </c>
      <c r="G50" s="4">
        <v>800000</v>
      </c>
      <c r="H50" s="4">
        <v>656759</v>
      </c>
      <c r="I50" s="4">
        <v>0</v>
      </c>
      <c r="J50" s="4">
        <v>89163</v>
      </c>
      <c r="K50" s="4">
        <f t="shared" si="1"/>
        <v>89163</v>
      </c>
      <c r="L50" s="4">
        <f t="shared" si="2"/>
        <v>745922</v>
      </c>
      <c r="M50" s="4">
        <f>P50+S50-54000</f>
        <v>78</v>
      </c>
      <c r="N50" s="4">
        <f>750000-50000-400000+54000</f>
        <v>354000</v>
      </c>
      <c r="O50" s="4">
        <f t="shared" si="3"/>
        <v>1600000</v>
      </c>
      <c r="P50" s="4">
        <f t="shared" si="4"/>
        <v>54078</v>
      </c>
      <c r="Q50" s="4"/>
      <c r="R50" s="4"/>
      <c r="S50" s="4">
        <f t="shared" si="17"/>
        <v>0</v>
      </c>
      <c r="T50" s="4">
        <f t="shared" si="5"/>
        <v>54000</v>
      </c>
      <c r="U50" s="4">
        <f t="shared" si="6"/>
        <v>300000</v>
      </c>
      <c r="V50" s="4"/>
      <c r="W50" s="4">
        <f t="shared" si="10"/>
        <v>300000</v>
      </c>
      <c r="X50" s="4"/>
      <c r="Y50" s="4"/>
      <c r="Z50" s="4"/>
      <c r="AA50" s="3"/>
      <c r="AB50" s="3" t="s">
        <v>693</v>
      </c>
      <c r="AC50" s="3">
        <v>720000</v>
      </c>
      <c r="AD50" s="4"/>
      <c r="AE50" s="4">
        <v>300000</v>
      </c>
      <c r="AF50" s="4"/>
      <c r="AG50" s="4"/>
      <c r="AH50" s="4"/>
      <c r="AI50" s="4"/>
      <c r="AJ50" s="4">
        <f t="shared" si="19"/>
        <v>300000</v>
      </c>
      <c r="AK50" s="4">
        <f t="shared" si="11"/>
        <v>0</v>
      </c>
      <c r="AL50" s="112"/>
      <c r="AM50" s="130"/>
      <c r="AN50" s="4">
        <f t="shared" si="20"/>
        <v>0</v>
      </c>
      <c r="AO50" s="4"/>
      <c r="AP50" s="4">
        <f t="shared" si="18"/>
        <v>0</v>
      </c>
      <c r="AQ50" s="4"/>
      <c r="AR50" s="4"/>
      <c r="AS50" s="4"/>
      <c r="AT50" s="4"/>
      <c r="AU50" s="4"/>
      <c r="AV50" s="4"/>
      <c r="AW50" s="4"/>
      <c r="AX50" s="4">
        <f t="shared" si="12"/>
        <v>0</v>
      </c>
      <c r="AY50" s="4"/>
      <c r="AZ50" s="4">
        <f t="shared" si="13"/>
        <v>0</v>
      </c>
      <c r="BA50" s="4"/>
      <c r="BB50" s="4"/>
      <c r="BC50" s="4"/>
      <c r="BD50" s="4"/>
      <c r="BE50" s="4">
        <f t="shared" si="14"/>
        <v>300000</v>
      </c>
      <c r="BF50" s="4">
        <f t="shared" si="15"/>
        <v>0</v>
      </c>
      <c r="BG50" s="4"/>
      <c r="BH50" s="4">
        <f t="shared" si="16"/>
        <v>300000</v>
      </c>
      <c r="BI50" s="4"/>
      <c r="BJ50" s="4"/>
      <c r="BK50" s="4"/>
      <c r="BL50" s="4"/>
    </row>
    <row r="51" spans="1:66" ht="53.25" customHeight="1">
      <c r="A51" s="3">
        <f t="shared" si="9"/>
        <v>46</v>
      </c>
      <c r="B51" s="3">
        <v>2157</v>
      </c>
      <c r="C51" s="3" t="s">
        <v>1176</v>
      </c>
      <c r="D51" s="4">
        <v>5200000</v>
      </c>
      <c r="E51" s="4">
        <v>5200000</v>
      </c>
      <c r="F51" s="4">
        <f t="shared" si="0"/>
        <v>0</v>
      </c>
      <c r="G51" s="4">
        <v>470000</v>
      </c>
      <c r="H51" s="4">
        <v>98625</v>
      </c>
      <c r="I51" s="4">
        <v>0</v>
      </c>
      <c r="J51" s="4">
        <v>210104</v>
      </c>
      <c r="K51" s="4">
        <f t="shared" si="1"/>
        <v>210104</v>
      </c>
      <c r="L51" s="4">
        <f t="shared" si="2"/>
        <v>308729</v>
      </c>
      <c r="M51" s="4">
        <f>P51+S51-200000+40000</f>
        <v>1271</v>
      </c>
      <c r="N51" s="4"/>
      <c r="O51" s="4">
        <f t="shared" si="3"/>
        <v>4890000</v>
      </c>
      <c r="P51" s="4">
        <f t="shared" si="4"/>
        <v>161271</v>
      </c>
      <c r="Q51" s="4"/>
      <c r="R51" s="4"/>
      <c r="S51" s="4">
        <f t="shared" si="17"/>
        <v>0</v>
      </c>
      <c r="T51" s="4">
        <f t="shared" si="5"/>
        <v>160000</v>
      </c>
      <c r="U51" s="4">
        <f t="shared" si="6"/>
        <v>-160000</v>
      </c>
      <c r="V51" s="4"/>
      <c r="W51" s="4">
        <f t="shared" si="10"/>
        <v>-160000</v>
      </c>
      <c r="X51" s="4"/>
      <c r="Y51" s="4"/>
      <c r="Z51" s="4"/>
      <c r="AA51" s="3"/>
      <c r="AB51" s="3" t="s">
        <v>1003</v>
      </c>
      <c r="AC51" s="3">
        <v>810000</v>
      </c>
      <c r="AD51" s="4">
        <v>-160000</v>
      </c>
      <c r="AE51" s="4"/>
      <c r="AF51" s="4"/>
      <c r="AG51" s="4"/>
      <c r="AH51" s="4"/>
      <c r="AI51" s="4"/>
      <c r="AJ51" s="4">
        <f t="shared" si="19"/>
        <v>-160000</v>
      </c>
      <c r="AK51" s="4">
        <f t="shared" si="11"/>
        <v>0</v>
      </c>
      <c r="AL51" s="112"/>
      <c r="AM51" s="130"/>
      <c r="AN51" s="4">
        <f t="shared" si="20"/>
        <v>0</v>
      </c>
      <c r="AO51" s="4"/>
      <c r="AP51" s="4">
        <f t="shared" si="18"/>
        <v>0</v>
      </c>
      <c r="AQ51" s="4"/>
      <c r="AR51" s="4"/>
      <c r="AS51" s="4"/>
      <c r="AT51" s="4"/>
      <c r="AU51" s="4"/>
      <c r="AV51" s="4"/>
      <c r="AW51" s="4"/>
      <c r="AX51" s="4">
        <f t="shared" si="12"/>
        <v>0</v>
      </c>
      <c r="AY51" s="4"/>
      <c r="AZ51" s="4">
        <f t="shared" si="13"/>
        <v>0</v>
      </c>
      <c r="BA51" s="4"/>
      <c r="BB51" s="4"/>
      <c r="BC51" s="4"/>
      <c r="BD51" s="4"/>
      <c r="BE51" s="4">
        <f t="shared" si="14"/>
        <v>-160000</v>
      </c>
      <c r="BF51" s="4">
        <f t="shared" si="15"/>
        <v>0</v>
      </c>
      <c r="BG51" s="4"/>
      <c r="BH51" s="4">
        <f t="shared" si="16"/>
        <v>-160000</v>
      </c>
      <c r="BI51" s="4"/>
      <c r="BJ51" s="4"/>
      <c r="BK51" s="4"/>
      <c r="BL51" s="4"/>
    </row>
    <row r="52" spans="1:66" s="5" customFormat="1" ht="30" customHeight="1">
      <c r="A52" s="3">
        <f t="shared" si="9"/>
        <v>47</v>
      </c>
      <c r="B52" s="3">
        <v>2160</v>
      </c>
      <c r="C52" s="3" t="s">
        <v>314</v>
      </c>
      <c r="D52" s="4">
        <v>210000</v>
      </c>
      <c r="E52" s="4">
        <v>210000</v>
      </c>
      <c r="F52" s="4">
        <f t="shared" si="0"/>
        <v>0</v>
      </c>
      <c r="G52" s="4">
        <v>210000</v>
      </c>
      <c r="H52" s="4">
        <v>0</v>
      </c>
      <c r="I52" s="4"/>
      <c r="J52" s="4"/>
      <c r="K52" s="4">
        <f t="shared" si="1"/>
        <v>0</v>
      </c>
      <c r="L52" s="4">
        <f t="shared" si="2"/>
        <v>0</v>
      </c>
      <c r="M52" s="4">
        <f>P52+S52-210000</f>
        <v>0</v>
      </c>
      <c r="N52" s="4"/>
      <c r="O52" s="4">
        <f>D52-M52-N52-L52</f>
        <v>210000</v>
      </c>
      <c r="P52" s="4">
        <f t="shared" si="4"/>
        <v>210000</v>
      </c>
      <c r="Q52" s="4"/>
      <c r="R52" s="4"/>
      <c r="S52" s="4">
        <f>SUM(Q52:R52)</f>
        <v>0</v>
      </c>
      <c r="T52" s="4">
        <f t="shared" si="5"/>
        <v>210000</v>
      </c>
      <c r="U52" s="4">
        <f t="shared" si="6"/>
        <v>-210000</v>
      </c>
      <c r="V52" s="4"/>
      <c r="W52" s="4">
        <f t="shared" si="10"/>
        <v>-210000</v>
      </c>
      <c r="X52" s="4"/>
      <c r="Y52" s="4"/>
      <c r="Z52" s="4"/>
      <c r="AA52" s="258"/>
      <c r="AB52" s="3" t="s">
        <v>735</v>
      </c>
      <c r="AC52" s="3">
        <v>810000</v>
      </c>
      <c r="AD52" s="4">
        <v>-210000</v>
      </c>
      <c r="AE52" s="4">
        <v>210000</v>
      </c>
      <c r="AF52" s="4"/>
      <c r="AG52" s="4"/>
      <c r="AH52" s="4"/>
      <c r="AI52" s="4"/>
      <c r="AJ52" s="4">
        <f t="shared" si="19"/>
        <v>0</v>
      </c>
      <c r="AK52" s="4">
        <f t="shared" si="11"/>
        <v>-210000</v>
      </c>
      <c r="AL52" s="112"/>
      <c r="AM52" s="130"/>
      <c r="AN52" s="4">
        <f t="shared" si="20"/>
        <v>-210000</v>
      </c>
      <c r="AO52" s="4"/>
      <c r="AP52" s="4">
        <f t="shared" si="18"/>
        <v>-210000</v>
      </c>
      <c r="AQ52" s="4"/>
      <c r="AR52" s="4"/>
      <c r="AS52" s="4"/>
      <c r="AT52" s="4"/>
      <c r="AU52" s="4"/>
      <c r="AV52" s="4"/>
      <c r="AW52" s="4">
        <v>-210000</v>
      </c>
      <c r="AX52" s="4">
        <f t="shared" si="12"/>
        <v>0</v>
      </c>
      <c r="AY52" s="4"/>
      <c r="AZ52" s="4">
        <f t="shared" si="13"/>
        <v>0</v>
      </c>
      <c r="BA52" s="4"/>
      <c r="BB52" s="4"/>
      <c r="BC52" s="4"/>
      <c r="BD52" s="4"/>
      <c r="BE52" s="4">
        <f t="shared" si="14"/>
        <v>0</v>
      </c>
      <c r="BF52" s="4">
        <f t="shared" si="15"/>
        <v>-210000</v>
      </c>
      <c r="BG52" s="4"/>
      <c r="BH52" s="4">
        <f t="shared" si="16"/>
        <v>0</v>
      </c>
      <c r="BI52" s="4"/>
      <c r="BJ52" s="4"/>
      <c r="BK52" s="4"/>
      <c r="BL52" s="4"/>
      <c r="BM52" s="523"/>
      <c r="BN52" s="523"/>
    </row>
    <row r="53" spans="1:66" ht="30" customHeight="1">
      <c r="A53" s="3">
        <f t="shared" si="9"/>
        <v>48</v>
      </c>
      <c r="B53" s="3">
        <v>2165</v>
      </c>
      <c r="C53" s="3" t="s">
        <v>430</v>
      </c>
      <c r="D53" s="4">
        <v>1600000</v>
      </c>
      <c r="E53" s="4">
        <v>1600000</v>
      </c>
      <c r="F53" s="4">
        <f t="shared" si="0"/>
        <v>0</v>
      </c>
      <c r="G53" s="4">
        <v>0</v>
      </c>
      <c r="H53" s="4">
        <v>0</v>
      </c>
      <c r="I53" s="4">
        <v>0</v>
      </c>
      <c r="J53" s="4">
        <v>0</v>
      </c>
      <c r="K53" s="4">
        <f t="shared" si="1"/>
        <v>0</v>
      </c>
      <c r="L53" s="4">
        <f t="shared" si="2"/>
        <v>0</v>
      </c>
      <c r="M53" s="4">
        <f>P53+S53</f>
        <v>0</v>
      </c>
      <c r="N53" s="4"/>
      <c r="O53" s="4">
        <f t="shared" si="3"/>
        <v>1600000</v>
      </c>
      <c r="P53" s="4">
        <f t="shared" si="4"/>
        <v>0</v>
      </c>
      <c r="Q53" s="4"/>
      <c r="R53" s="4"/>
      <c r="S53" s="4">
        <f t="shared" si="17"/>
        <v>0</v>
      </c>
      <c r="T53" s="4">
        <f t="shared" si="5"/>
        <v>0</v>
      </c>
      <c r="U53" s="4">
        <f t="shared" si="6"/>
        <v>0</v>
      </c>
      <c r="V53" s="4"/>
      <c r="W53" s="4">
        <f t="shared" si="10"/>
        <v>0</v>
      </c>
      <c r="X53" s="4"/>
      <c r="Y53" s="4"/>
      <c r="Z53" s="4"/>
      <c r="AA53" s="3"/>
      <c r="AB53" s="3" t="s">
        <v>484</v>
      </c>
      <c r="AC53" s="3">
        <v>746000</v>
      </c>
      <c r="AD53" s="4"/>
      <c r="AE53" s="4"/>
      <c r="AF53" s="4"/>
      <c r="AG53" s="4"/>
      <c r="AH53" s="4"/>
      <c r="AI53" s="4"/>
      <c r="AJ53" s="4">
        <f t="shared" si="19"/>
        <v>0</v>
      </c>
      <c r="AK53" s="4">
        <f t="shared" si="11"/>
        <v>0</v>
      </c>
      <c r="AL53" s="112"/>
      <c r="AM53" s="130"/>
      <c r="AN53" s="4">
        <f t="shared" si="20"/>
        <v>0</v>
      </c>
      <c r="AO53" s="4"/>
      <c r="AP53" s="4">
        <f t="shared" si="18"/>
        <v>0</v>
      </c>
      <c r="AQ53" s="4"/>
      <c r="AR53" s="4"/>
      <c r="AS53" s="4"/>
      <c r="AT53" s="4"/>
      <c r="AU53" s="4"/>
      <c r="AV53" s="4"/>
      <c r="AW53" s="4"/>
      <c r="AX53" s="4">
        <f t="shared" si="12"/>
        <v>0</v>
      </c>
      <c r="AY53" s="4"/>
      <c r="AZ53" s="4">
        <f t="shared" si="13"/>
        <v>0</v>
      </c>
      <c r="BA53" s="4"/>
      <c r="BB53" s="4"/>
      <c r="BC53" s="4"/>
      <c r="BD53" s="4"/>
      <c r="BE53" s="4">
        <f t="shared" si="14"/>
        <v>0</v>
      </c>
      <c r="BF53" s="4">
        <f t="shared" si="15"/>
        <v>0</v>
      </c>
      <c r="BG53" s="4"/>
      <c r="BH53" s="4">
        <f t="shared" si="16"/>
        <v>0</v>
      </c>
      <c r="BI53" s="4"/>
      <c r="BJ53" s="4"/>
      <c r="BK53" s="4"/>
      <c r="BL53" s="4"/>
    </row>
    <row r="54" spans="1:66" ht="30" customHeight="1">
      <c r="A54" s="3">
        <f t="shared" si="9"/>
        <v>49</v>
      </c>
      <c r="B54" s="3">
        <v>2166</v>
      </c>
      <c r="C54" s="3" t="s">
        <v>317</v>
      </c>
      <c r="D54" s="4">
        <f>500000+2205000+3495000</f>
        <v>6200000</v>
      </c>
      <c r="E54" s="4">
        <v>500000</v>
      </c>
      <c r="F54" s="4">
        <f t="shared" si="0"/>
        <v>5700000</v>
      </c>
      <c r="G54" s="4">
        <v>0</v>
      </c>
      <c r="H54" s="4">
        <v>0</v>
      </c>
      <c r="I54" s="4">
        <v>0</v>
      </c>
      <c r="J54" s="4">
        <v>0</v>
      </c>
      <c r="K54" s="4">
        <f t="shared" si="1"/>
        <v>0</v>
      </c>
      <c r="L54" s="4">
        <f t="shared" si="2"/>
        <v>0</v>
      </c>
      <c r="M54" s="4">
        <f>P54+S54</f>
        <v>0</v>
      </c>
      <c r="N54" s="4">
        <f>2705000+3495000-4200000-2000000</f>
        <v>0</v>
      </c>
      <c r="O54" s="4">
        <f t="shared" si="3"/>
        <v>6200000</v>
      </c>
      <c r="P54" s="4">
        <f t="shared" si="4"/>
        <v>0</v>
      </c>
      <c r="Q54" s="4"/>
      <c r="R54" s="4"/>
      <c r="S54" s="4">
        <f t="shared" si="17"/>
        <v>0</v>
      </c>
      <c r="T54" s="4">
        <f t="shared" si="5"/>
        <v>0</v>
      </c>
      <c r="U54" s="4">
        <f t="shared" si="6"/>
        <v>0</v>
      </c>
      <c r="V54" s="4"/>
      <c r="W54" s="4">
        <f t="shared" si="10"/>
        <v>0</v>
      </c>
      <c r="X54" s="4"/>
      <c r="Y54" s="4"/>
      <c r="Z54" s="4"/>
      <c r="AA54" s="3"/>
      <c r="AB54" s="3" t="s">
        <v>618</v>
      </c>
      <c r="AC54" s="3">
        <v>746000</v>
      </c>
      <c r="AD54" s="4"/>
      <c r="AE54" s="4"/>
      <c r="AF54" s="4"/>
      <c r="AG54" s="4"/>
      <c r="AH54" s="4"/>
      <c r="AI54" s="4"/>
      <c r="AJ54" s="4">
        <f t="shared" si="19"/>
        <v>0</v>
      </c>
      <c r="AK54" s="4">
        <f t="shared" si="11"/>
        <v>0</v>
      </c>
      <c r="AL54" s="112"/>
      <c r="AM54" s="130"/>
      <c r="AN54" s="4">
        <f t="shared" si="20"/>
        <v>0</v>
      </c>
      <c r="AO54" s="4"/>
      <c r="AP54" s="4">
        <f t="shared" si="18"/>
        <v>0</v>
      </c>
      <c r="AQ54" s="4"/>
      <c r="AR54" s="4"/>
      <c r="AS54" s="4"/>
      <c r="AT54" s="4"/>
      <c r="AU54" s="4"/>
      <c r="AV54" s="4"/>
      <c r="AW54" s="4"/>
      <c r="AX54" s="4">
        <f t="shared" si="12"/>
        <v>0</v>
      </c>
      <c r="AY54" s="4"/>
      <c r="AZ54" s="4">
        <f t="shared" si="13"/>
        <v>0</v>
      </c>
      <c r="BA54" s="4"/>
      <c r="BB54" s="4"/>
      <c r="BC54" s="4"/>
      <c r="BD54" s="4"/>
      <c r="BE54" s="4">
        <f t="shared" si="14"/>
        <v>0</v>
      </c>
      <c r="BF54" s="4">
        <f t="shared" si="15"/>
        <v>0</v>
      </c>
      <c r="BG54" s="4"/>
      <c r="BH54" s="4">
        <f t="shared" si="16"/>
        <v>0</v>
      </c>
      <c r="BI54" s="4"/>
      <c r="BJ54" s="4"/>
      <c r="BK54" s="4"/>
      <c r="BL54" s="4"/>
    </row>
    <row r="55" spans="1:66" ht="30" customHeight="1">
      <c r="A55" s="3">
        <f t="shared" si="9"/>
        <v>50</v>
      </c>
      <c r="B55" s="3">
        <v>2167</v>
      </c>
      <c r="C55" s="3" t="s">
        <v>318</v>
      </c>
      <c r="D55" s="4">
        <v>1400000</v>
      </c>
      <c r="E55" s="4">
        <v>1400000</v>
      </c>
      <c r="F55" s="4">
        <f t="shared" si="0"/>
        <v>0</v>
      </c>
      <c r="G55" s="4">
        <v>100000</v>
      </c>
      <c r="H55" s="4">
        <v>94686</v>
      </c>
      <c r="I55" s="4">
        <v>0</v>
      </c>
      <c r="J55" s="4"/>
      <c r="K55" s="4">
        <f t="shared" si="1"/>
        <v>0</v>
      </c>
      <c r="L55" s="4">
        <f t="shared" si="2"/>
        <v>94686</v>
      </c>
      <c r="M55" s="4">
        <f>P55+S55-5000</f>
        <v>314</v>
      </c>
      <c r="N55" s="4">
        <f>100000-50000+5000</f>
        <v>55000</v>
      </c>
      <c r="O55" s="4">
        <f t="shared" si="3"/>
        <v>1250000</v>
      </c>
      <c r="P55" s="4">
        <f t="shared" si="4"/>
        <v>5314</v>
      </c>
      <c r="Q55" s="4"/>
      <c r="R55" s="4"/>
      <c r="S55" s="4">
        <f t="shared" si="17"/>
        <v>0</v>
      </c>
      <c r="T55" s="4">
        <f t="shared" si="5"/>
        <v>5000</v>
      </c>
      <c r="U55" s="4">
        <f t="shared" si="6"/>
        <v>50000</v>
      </c>
      <c r="V55" s="4"/>
      <c r="W55" s="4">
        <f t="shared" si="10"/>
        <v>50000</v>
      </c>
      <c r="X55" s="4"/>
      <c r="Y55" s="4"/>
      <c r="Z55" s="4"/>
      <c r="AA55" s="3"/>
      <c r="AB55" s="3" t="s">
        <v>535</v>
      </c>
      <c r="AC55" s="3">
        <v>742000</v>
      </c>
      <c r="AD55" s="4"/>
      <c r="AE55" s="4"/>
      <c r="AF55" s="4"/>
      <c r="AG55" s="4"/>
      <c r="AH55" s="4"/>
      <c r="AI55" s="4"/>
      <c r="AJ55" s="4">
        <f t="shared" si="19"/>
        <v>0</v>
      </c>
      <c r="AK55" s="4">
        <f t="shared" si="11"/>
        <v>50000</v>
      </c>
      <c r="AL55" s="112"/>
      <c r="AM55" s="130"/>
      <c r="AN55" s="4">
        <f t="shared" si="20"/>
        <v>50000</v>
      </c>
      <c r="AO55" s="4"/>
      <c r="AP55" s="4">
        <f t="shared" si="18"/>
        <v>50000</v>
      </c>
      <c r="AQ55" s="4"/>
      <c r="AR55" s="4"/>
      <c r="AS55" s="4"/>
      <c r="AT55" s="4"/>
      <c r="AU55" s="4"/>
      <c r="AV55" s="4"/>
      <c r="AW55" s="4"/>
      <c r="AX55" s="4">
        <f t="shared" si="12"/>
        <v>50000</v>
      </c>
      <c r="AY55" s="4"/>
      <c r="AZ55" s="4">
        <f t="shared" si="13"/>
        <v>50000</v>
      </c>
      <c r="BA55" s="4"/>
      <c r="BB55" s="4"/>
      <c r="BC55" s="4"/>
      <c r="BD55" s="4"/>
      <c r="BE55" s="4">
        <f t="shared" si="14"/>
        <v>50000</v>
      </c>
      <c r="BF55" s="4">
        <f t="shared" si="15"/>
        <v>0</v>
      </c>
      <c r="BG55" s="4"/>
      <c r="BH55" s="4">
        <f t="shared" si="16"/>
        <v>50000</v>
      </c>
      <c r="BI55" s="4"/>
      <c r="BJ55" s="4"/>
      <c r="BK55" s="4"/>
      <c r="BL55" s="4"/>
    </row>
    <row r="56" spans="1:66" ht="30" customHeight="1">
      <c r="A56" s="3">
        <f t="shared" si="9"/>
        <v>51</v>
      </c>
      <c r="B56" s="3">
        <v>2177</v>
      </c>
      <c r="C56" s="3" t="s">
        <v>411</v>
      </c>
      <c r="D56" s="4">
        <v>12500000</v>
      </c>
      <c r="E56" s="4">
        <v>12500000</v>
      </c>
      <c r="F56" s="4">
        <f t="shared" si="0"/>
        <v>0</v>
      </c>
      <c r="G56" s="4">
        <v>12500000</v>
      </c>
      <c r="H56" s="4">
        <v>12273451</v>
      </c>
      <c r="I56" s="4">
        <v>0</v>
      </c>
      <c r="J56" s="4"/>
      <c r="K56" s="4">
        <f t="shared" si="1"/>
        <v>0</v>
      </c>
      <c r="L56" s="4">
        <f t="shared" si="2"/>
        <v>12273451</v>
      </c>
      <c r="M56" s="4">
        <f>P56+S56-226549</f>
        <v>0</v>
      </c>
      <c r="N56" s="4">
        <v>226549</v>
      </c>
      <c r="O56" s="4">
        <f t="shared" si="3"/>
        <v>0</v>
      </c>
      <c r="P56" s="4">
        <f t="shared" si="4"/>
        <v>226549</v>
      </c>
      <c r="Q56" s="4"/>
      <c r="R56" s="4"/>
      <c r="S56" s="4">
        <f t="shared" si="17"/>
        <v>0</v>
      </c>
      <c r="T56" s="4">
        <f t="shared" si="5"/>
        <v>226549</v>
      </c>
      <c r="U56" s="4">
        <f t="shared" si="6"/>
        <v>0</v>
      </c>
      <c r="V56" s="4"/>
      <c r="W56" s="4">
        <f t="shared" si="10"/>
        <v>0</v>
      </c>
      <c r="X56" s="4"/>
      <c r="Y56" s="4"/>
      <c r="Z56" s="4"/>
      <c r="AA56" s="3"/>
      <c r="AB56" s="3" t="s">
        <v>745</v>
      </c>
      <c r="AC56" s="3">
        <v>810000</v>
      </c>
      <c r="AD56" s="4"/>
      <c r="AE56" s="4"/>
      <c r="AF56" s="4"/>
      <c r="AG56" s="4"/>
      <c r="AH56" s="4"/>
      <c r="AI56" s="4"/>
      <c r="AJ56" s="4">
        <f t="shared" si="19"/>
        <v>0</v>
      </c>
      <c r="AK56" s="4">
        <f t="shared" si="11"/>
        <v>0</v>
      </c>
      <c r="AL56" s="112"/>
      <c r="AM56" s="130"/>
      <c r="AN56" s="4">
        <f t="shared" si="20"/>
        <v>0</v>
      </c>
      <c r="AO56" s="4"/>
      <c r="AP56" s="4">
        <f t="shared" si="18"/>
        <v>0</v>
      </c>
      <c r="AQ56" s="4"/>
      <c r="AR56" s="4"/>
      <c r="AS56" s="4"/>
      <c r="AT56" s="4"/>
      <c r="AU56" s="4"/>
      <c r="AV56" s="4"/>
      <c r="AW56" s="4"/>
      <c r="AX56" s="4">
        <f t="shared" si="12"/>
        <v>0</v>
      </c>
      <c r="AY56" s="4"/>
      <c r="AZ56" s="4">
        <f t="shared" si="13"/>
        <v>0</v>
      </c>
      <c r="BA56" s="4"/>
      <c r="BB56" s="4"/>
      <c r="BC56" s="4"/>
      <c r="BD56" s="4"/>
      <c r="BE56" s="4">
        <f t="shared" si="14"/>
        <v>0</v>
      </c>
      <c r="BF56" s="4">
        <f t="shared" si="15"/>
        <v>0</v>
      </c>
      <c r="BG56" s="4"/>
      <c r="BH56" s="4">
        <f t="shared" si="16"/>
        <v>0</v>
      </c>
      <c r="BI56" s="4"/>
      <c r="BJ56" s="4"/>
      <c r="BK56" s="4"/>
      <c r="BL56" s="4"/>
    </row>
    <row r="57" spans="1:66" ht="30" customHeight="1">
      <c r="A57" s="3">
        <f t="shared" si="9"/>
        <v>52</v>
      </c>
      <c r="B57" s="3">
        <v>2178</v>
      </c>
      <c r="C57" s="3" t="s">
        <v>1177</v>
      </c>
      <c r="D57" s="4">
        <v>15700000</v>
      </c>
      <c r="E57" s="4">
        <v>15700000</v>
      </c>
      <c r="F57" s="4">
        <f t="shared" si="0"/>
        <v>0</v>
      </c>
      <c r="G57" s="4">
        <v>1700000</v>
      </c>
      <c r="H57" s="4">
        <v>1659121</v>
      </c>
      <c r="I57" s="4">
        <v>0</v>
      </c>
      <c r="J57" s="4">
        <v>0</v>
      </c>
      <c r="K57" s="4">
        <f t="shared" si="1"/>
        <v>0</v>
      </c>
      <c r="L57" s="4">
        <f t="shared" si="2"/>
        <v>1659121</v>
      </c>
      <c r="M57" s="4">
        <f>P57+S57-40000</f>
        <v>879</v>
      </c>
      <c r="N57" s="4">
        <v>40000</v>
      </c>
      <c r="O57" s="4">
        <f t="shared" si="3"/>
        <v>14000000</v>
      </c>
      <c r="P57" s="4">
        <f t="shared" si="4"/>
        <v>40879</v>
      </c>
      <c r="Q57" s="4"/>
      <c r="R57" s="4"/>
      <c r="S57" s="4">
        <f t="shared" si="17"/>
        <v>0</v>
      </c>
      <c r="T57" s="4">
        <f t="shared" si="5"/>
        <v>40000</v>
      </c>
      <c r="U57" s="4">
        <f t="shared" si="6"/>
        <v>0</v>
      </c>
      <c r="V57" s="4"/>
      <c r="W57" s="4">
        <f t="shared" si="10"/>
        <v>0</v>
      </c>
      <c r="X57" s="4"/>
      <c r="Y57" s="4"/>
      <c r="Z57" s="4"/>
      <c r="AA57" s="3"/>
      <c r="AB57" s="3" t="s">
        <v>1004</v>
      </c>
      <c r="AC57" s="3">
        <v>810000</v>
      </c>
      <c r="AD57" s="4"/>
      <c r="AE57" s="4"/>
      <c r="AF57" s="4"/>
      <c r="AG57" s="4"/>
      <c r="AH57" s="4"/>
      <c r="AI57" s="4"/>
      <c r="AJ57" s="4">
        <f t="shared" si="19"/>
        <v>0</v>
      </c>
      <c r="AK57" s="4">
        <f t="shared" si="11"/>
        <v>0</v>
      </c>
      <c r="AL57" s="112"/>
      <c r="AM57" s="130"/>
      <c r="AN57" s="4">
        <f t="shared" si="20"/>
        <v>0</v>
      </c>
      <c r="AO57" s="4"/>
      <c r="AP57" s="4">
        <f t="shared" si="18"/>
        <v>0</v>
      </c>
      <c r="AQ57" s="4"/>
      <c r="AR57" s="4"/>
      <c r="AS57" s="4"/>
      <c r="AT57" s="4"/>
      <c r="AU57" s="4"/>
      <c r="AV57" s="4"/>
      <c r="AW57" s="4"/>
      <c r="AX57" s="4">
        <f t="shared" si="12"/>
        <v>0</v>
      </c>
      <c r="AY57" s="4"/>
      <c r="AZ57" s="4">
        <f t="shared" si="13"/>
        <v>0</v>
      </c>
      <c r="BA57" s="4"/>
      <c r="BB57" s="4"/>
      <c r="BC57" s="4"/>
      <c r="BD57" s="4"/>
      <c r="BE57" s="4">
        <f t="shared" si="14"/>
        <v>0</v>
      </c>
      <c r="BF57" s="4">
        <f t="shared" si="15"/>
        <v>0</v>
      </c>
      <c r="BG57" s="4"/>
      <c r="BH57" s="4">
        <f t="shared" si="16"/>
        <v>0</v>
      </c>
      <c r="BI57" s="4"/>
      <c r="BJ57" s="4"/>
      <c r="BK57" s="4"/>
      <c r="BL57" s="4"/>
    </row>
    <row r="58" spans="1:66" ht="30" customHeight="1">
      <c r="A58" s="3">
        <f>A57+1</f>
        <v>53</v>
      </c>
      <c r="B58" s="3">
        <v>2181</v>
      </c>
      <c r="C58" s="3" t="s">
        <v>343</v>
      </c>
      <c r="D58" s="4">
        <v>1259000</v>
      </c>
      <c r="E58" s="4">
        <v>1259000</v>
      </c>
      <c r="F58" s="4">
        <f t="shared" si="0"/>
        <v>0</v>
      </c>
      <c r="G58" s="4">
        <v>1259000</v>
      </c>
      <c r="H58" s="4">
        <v>1259000</v>
      </c>
      <c r="I58" s="4">
        <v>0</v>
      </c>
      <c r="J58" s="4">
        <v>0</v>
      </c>
      <c r="K58" s="4">
        <f t="shared" si="1"/>
        <v>0</v>
      </c>
      <c r="L58" s="4">
        <f t="shared" si="2"/>
        <v>1259000</v>
      </c>
      <c r="M58" s="4">
        <f>P58+S58</f>
        <v>0</v>
      </c>
      <c r="N58" s="4"/>
      <c r="O58" s="4">
        <f t="shared" si="3"/>
        <v>0</v>
      </c>
      <c r="P58" s="4">
        <f t="shared" si="4"/>
        <v>0</v>
      </c>
      <c r="Q58" s="4"/>
      <c r="R58" s="4"/>
      <c r="S58" s="4">
        <f t="shared" si="17"/>
        <v>0</v>
      </c>
      <c r="T58" s="4">
        <f t="shared" si="5"/>
        <v>0</v>
      </c>
      <c r="U58" s="4">
        <f t="shared" si="6"/>
        <v>0</v>
      </c>
      <c r="V58" s="4"/>
      <c r="W58" s="4">
        <f t="shared" si="10"/>
        <v>0</v>
      </c>
      <c r="X58" s="4"/>
      <c r="Y58" s="4"/>
      <c r="Z58" s="4"/>
      <c r="AA58" s="3"/>
      <c r="AB58" s="3" t="s">
        <v>736</v>
      </c>
      <c r="AC58" s="3">
        <v>747000</v>
      </c>
      <c r="AD58" s="4"/>
      <c r="AE58" s="4"/>
      <c r="AF58" s="4"/>
      <c r="AG58" s="4"/>
      <c r="AH58" s="4"/>
      <c r="AI58" s="4"/>
      <c r="AJ58" s="4">
        <f t="shared" si="19"/>
        <v>0</v>
      </c>
      <c r="AK58" s="4">
        <f t="shared" si="11"/>
        <v>0</v>
      </c>
      <c r="AL58" s="112"/>
      <c r="AM58" s="130"/>
      <c r="AN58" s="4">
        <f t="shared" si="20"/>
        <v>0</v>
      </c>
      <c r="AO58" s="4"/>
      <c r="AP58" s="4">
        <f t="shared" si="18"/>
        <v>0</v>
      </c>
      <c r="AQ58" s="4"/>
      <c r="AR58" s="4"/>
      <c r="AS58" s="4"/>
      <c r="AT58" s="4"/>
      <c r="AU58" s="4"/>
      <c r="AV58" s="4"/>
      <c r="AW58" s="4"/>
      <c r="AX58" s="4">
        <f t="shared" si="12"/>
        <v>0</v>
      </c>
      <c r="AY58" s="4"/>
      <c r="AZ58" s="4">
        <f t="shared" si="13"/>
        <v>0</v>
      </c>
      <c r="BA58" s="4"/>
      <c r="BB58" s="4"/>
      <c r="BC58" s="4"/>
      <c r="BD58" s="4"/>
      <c r="BE58" s="4">
        <f t="shared" si="14"/>
        <v>0</v>
      </c>
      <c r="BF58" s="4">
        <f t="shared" si="15"/>
        <v>0</v>
      </c>
      <c r="BG58" s="4"/>
      <c r="BH58" s="4">
        <f t="shared" si="16"/>
        <v>0</v>
      </c>
      <c r="BI58" s="4"/>
      <c r="BJ58" s="4"/>
      <c r="BK58" s="4"/>
      <c r="BL58" s="4"/>
    </row>
    <row r="59" spans="1:66" ht="30" customHeight="1">
      <c r="A59" s="3">
        <f t="shared" si="9"/>
        <v>54</v>
      </c>
      <c r="B59" s="3">
        <v>2184</v>
      </c>
      <c r="C59" s="3" t="s">
        <v>585</v>
      </c>
      <c r="D59" s="112">
        <f>2180000+315000</f>
        <v>2495000</v>
      </c>
      <c r="E59" s="112">
        <v>2180000</v>
      </c>
      <c r="F59" s="4">
        <f t="shared" si="0"/>
        <v>315000</v>
      </c>
      <c r="G59" s="112">
        <v>560000</v>
      </c>
      <c r="H59" s="112">
        <v>43432</v>
      </c>
      <c r="I59" s="112">
        <v>0</v>
      </c>
      <c r="J59" s="112">
        <v>499979</v>
      </c>
      <c r="K59" s="4">
        <f t="shared" si="1"/>
        <v>499979</v>
      </c>
      <c r="L59" s="4">
        <f t="shared" si="2"/>
        <v>543411</v>
      </c>
      <c r="M59" s="4">
        <f>P59+S59</f>
        <v>16589</v>
      </c>
      <c r="N59" s="4">
        <f>1935000-435000</f>
        <v>1500000</v>
      </c>
      <c r="O59" s="4">
        <f t="shared" si="3"/>
        <v>435000</v>
      </c>
      <c r="P59" s="4">
        <f t="shared" si="4"/>
        <v>16589</v>
      </c>
      <c r="Q59" s="4"/>
      <c r="R59" s="4"/>
      <c r="S59" s="4">
        <f t="shared" si="17"/>
        <v>0</v>
      </c>
      <c r="T59" s="4">
        <f t="shared" si="5"/>
        <v>0</v>
      </c>
      <c r="U59" s="4">
        <f t="shared" si="6"/>
        <v>1500000</v>
      </c>
      <c r="V59" s="4">
        <v>1500000</v>
      </c>
      <c r="W59" s="4">
        <f t="shared" si="10"/>
        <v>0</v>
      </c>
      <c r="X59" s="112"/>
      <c r="Y59" s="112"/>
      <c r="Z59" s="112"/>
      <c r="AA59" s="127"/>
      <c r="AB59" s="3" t="s">
        <v>392</v>
      </c>
      <c r="AC59" s="3">
        <v>930000</v>
      </c>
      <c r="AD59" s="4"/>
      <c r="AE59" s="4"/>
      <c r="AF59" s="4">
        <v>1500000</v>
      </c>
      <c r="AG59" s="4"/>
      <c r="AH59" s="4"/>
      <c r="AI59" s="4"/>
      <c r="AJ59" s="4">
        <f t="shared" si="19"/>
        <v>1500000</v>
      </c>
      <c r="AK59" s="4">
        <f t="shared" si="11"/>
        <v>0</v>
      </c>
      <c r="AL59" s="112"/>
      <c r="AM59" s="130"/>
      <c r="AN59" s="4">
        <f t="shared" si="20"/>
        <v>0</v>
      </c>
      <c r="AO59" s="4"/>
      <c r="AP59" s="4">
        <f t="shared" si="18"/>
        <v>0</v>
      </c>
      <c r="AQ59" s="4"/>
      <c r="AR59" s="4"/>
      <c r="AS59" s="4"/>
      <c r="AT59" s="4"/>
      <c r="AU59" s="4"/>
      <c r="AV59" s="4"/>
      <c r="AW59" s="4"/>
      <c r="AX59" s="4">
        <f t="shared" si="12"/>
        <v>0</v>
      </c>
      <c r="AY59" s="4"/>
      <c r="AZ59" s="4">
        <f t="shared" si="13"/>
        <v>0</v>
      </c>
      <c r="BA59" s="4"/>
      <c r="BB59" s="4"/>
      <c r="BC59" s="4"/>
      <c r="BD59" s="4"/>
      <c r="BE59" s="4">
        <f t="shared" si="14"/>
        <v>1500000</v>
      </c>
      <c r="BF59" s="4">
        <f t="shared" si="15"/>
        <v>0</v>
      </c>
      <c r="BG59" s="4">
        <v>1500000</v>
      </c>
      <c r="BH59" s="4">
        <f t="shared" si="16"/>
        <v>0</v>
      </c>
      <c r="BI59" s="4"/>
      <c r="BJ59" s="4"/>
      <c r="BK59" s="4"/>
      <c r="BL59" s="4"/>
    </row>
    <row r="60" spans="1:66" ht="30" customHeight="1">
      <c r="A60" s="3">
        <f t="shared" si="9"/>
        <v>55</v>
      </c>
      <c r="B60" s="3">
        <v>2187</v>
      </c>
      <c r="C60" s="3" t="s">
        <v>351</v>
      </c>
      <c r="D60" s="4">
        <f>10600000-450000-250000</f>
        <v>9900000</v>
      </c>
      <c r="E60" s="4">
        <v>10600000</v>
      </c>
      <c r="F60" s="4">
        <f t="shared" si="0"/>
        <v>-700000</v>
      </c>
      <c r="G60" s="4">
        <v>10600000</v>
      </c>
      <c r="H60" s="4">
        <v>9895014</v>
      </c>
      <c r="I60" s="4"/>
      <c r="J60" s="4"/>
      <c r="K60" s="4">
        <f t="shared" si="1"/>
        <v>0</v>
      </c>
      <c r="L60" s="4">
        <f t="shared" si="2"/>
        <v>9895014</v>
      </c>
      <c r="M60" s="4">
        <f>P60+S60-200000-50000</f>
        <v>4986</v>
      </c>
      <c r="N60" s="4"/>
      <c r="O60" s="4">
        <f t="shared" si="3"/>
        <v>0</v>
      </c>
      <c r="P60" s="4">
        <f t="shared" si="4"/>
        <v>704986</v>
      </c>
      <c r="Q60" s="4"/>
      <c r="R60" s="4">
        <v>-450000</v>
      </c>
      <c r="S60" s="4">
        <f t="shared" si="17"/>
        <v>-450000</v>
      </c>
      <c r="T60" s="4">
        <f t="shared" si="5"/>
        <v>250000</v>
      </c>
      <c r="U60" s="4">
        <f t="shared" si="6"/>
        <v>-250000</v>
      </c>
      <c r="V60" s="4"/>
      <c r="W60" s="4">
        <f t="shared" si="10"/>
        <v>-250000</v>
      </c>
      <c r="X60" s="4"/>
      <c r="Y60" s="4"/>
      <c r="Z60" s="4"/>
      <c r="AA60" s="3"/>
      <c r="AB60" s="3" t="s">
        <v>737</v>
      </c>
      <c r="AC60" s="3">
        <v>810000</v>
      </c>
      <c r="AD60" s="4">
        <v>-250000</v>
      </c>
      <c r="AE60" s="4"/>
      <c r="AF60" s="4"/>
      <c r="AG60" s="4"/>
      <c r="AH60" s="4"/>
      <c r="AI60" s="4"/>
      <c r="AJ60" s="4">
        <f t="shared" si="19"/>
        <v>-250000</v>
      </c>
      <c r="AK60" s="4">
        <f t="shared" si="11"/>
        <v>0</v>
      </c>
      <c r="AL60" s="112"/>
      <c r="AM60" s="130"/>
      <c r="AN60" s="4">
        <f t="shared" si="20"/>
        <v>0</v>
      </c>
      <c r="AO60" s="4"/>
      <c r="AP60" s="4">
        <f t="shared" si="18"/>
        <v>0</v>
      </c>
      <c r="AQ60" s="4"/>
      <c r="AR60" s="4"/>
      <c r="AS60" s="4"/>
      <c r="AT60" s="4"/>
      <c r="AU60" s="4"/>
      <c r="AV60" s="4"/>
      <c r="AW60" s="4"/>
      <c r="AX60" s="4">
        <f t="shared" si="12"/>
        <v>0</v>
      </c>
      <c r="AY60" s="4"/>
      <c r="AZ60" s="4">
        <f t="shared" si="13"/>
        <v>0</v>
      </c>
      <c r="BA60" s="4"/>
      <c r="BB60" s="4"/>
      <c r="BC60" s="4"/>
      <c r="BD60" s="4"/>
      <c r="BE60" s="4">
        <f t="shared" si="14"/>
        <v>-250000</v>
      </c>
      <c r="BF60" s="4">
        <f t="shared" si="15"/>
        <v>0</v>
      </c>
      <c r="BG60" s="4"/>
      <c r="BH60" s="4">
        <f t="shared" si="16"/>
        <v>-250000</v>
      </c>
      <c r="BI60" s="4"/>
      <c r="BJ60" s="4"/>
      <c r="BK60" s="4"/>
      <c r="BL60" s="4"/>
    </row>
    <row r="61" spans="1:66" ht="30" customHeight="1">
      <c r="A61" s="3">
        <f t="shared" si="9"/>
        <v>56</v>
      </c>
      <c r="B61" s="3">
        <v>2211</v>
      </c>
      <c r="C61" s="3" t="s">
        <v>1178</v>
      </c>
      <c r="D61" s="4">
        <f>800000-22991</f>
        <v>777009</v>
      </c>
      <c r="E61" s="4">
        <v>800000</v>
      </c>
      <c r="F61" s="4">
        <f t="shared" si="0"/>
        <v>-22991</v>
      </c>
      <c r="G61" s="4">
        <v>800000</v>
      </c>
      <c r="H61" s="4">
        <v>777009</v>
      </c>
      <c r="I61" s="4"/>
      <c r="J61" s="4">
        <v>0</v>
      </c>
      <c r="K61" s="4">
        <f t="shared" si="1"/>
        <v>0</v>
      </c>
      <c r="L61" s="4">
        <f t="shared" si="2"/>
        <v>777009</v>
      </c>
      <c r="M61" s="4">
        <f>P61+S61-22991</f>
        <v>0</v>
      </c>
      <c r="N61" s="4"/>
      <c r="O61" s="4">
        <f t="shared" si="3"/>
        <v>0</v>
      </c>
      <c r="P61" s="4">
        <f t="shared" si="4"/>
        <v>22991</v>
      </c>
      <c r="Q61" s="4"/>
      <c r="R61" s="4"/>
      <c r="S61" s="4">
        <f t="shared" si="17"/>
        <v>0</v>
      </c>
      <c r="T61" s="4">
        <f t="shared" si="5"/>
        <v>22991</v>
      </c>
      <c r="U61" s="4">
        <f t="shared" si="6"/>
        <v>-22991</v>
      </c>
      <c r="V61" s="4"/>
      <c r="W61" s="4">
        <f t="shared" si="10"/>
        <v>-22991</v>
      </c>
      <c r="X61" s="4"/>
      <c r="Y61" s="4"/>
      <c r="Z61" s="4"/>
      <c r="AA61" s="3"/>
      <c r="AB61" s="3" t="s">
        <v>1005</v>
      </c>
      <c r="AC61" s="3">
        <v>810000</v>
      </c>
      <c r="AD61" s="4">
        <v>-22991</v>
      </c>
      <c r="AE61" s="4"/>
      <c r="AF61" s="4"/>
      <c r="AG61" s="4"/>
      <c r="AH61" s="4"/>
      <c r="AI61" s="4"/>
      <c r="AJ61" s="4">
        <f t="shared" si="19"/>
        <v>-22991</v>
      </c>
      <c r="AK61" s="4">
        <f t="shared" si="11"/>
        <v>0</v>
      </c>
      <c r="AL61" s="112"/>
      <c r="AM61" s="130"/>
      <c r="AN61" s="4">
        <f t="shared" si="20"/>
        <v>0</v>
      </c>
      <c r="AO61" s="4"/>
      <c r="AP61" s="4">
        <f t="shared" si="18"/>
        <v>0</v>
      </c>
      <c r="AQ61" s="4"/>
      <c r="AR61" s="4"/>
      <c r="AS61" s="4"/>
      <c r="AT61" s="4"/>
      <c r="AU61" s="4"/>
      <c r="AV61" s="4"/>
      <c r="AW61" s="4"/>
      <c r="AX61" s="4">
        <f t="shared" si="12"/>
        <v>0</v>
      </c>
      <c r="AY61" s="4"/>
      <c r="AZ61" s="4">
        <f t="shared" si="13"/>
        <v>0</v>
      </c>
      <c r="BA61" s="4"/>
      <c r="BB61" s="4"/>
      <c r="BC61" s="4"/>
      <c r="BD61" s="4"/>
      <c r="BE61" s="4">
        <f t="shared" si="14"/>
        <v>-22991</v>
      </c>
      <c r="BF61" s="4">
        <f t="shared" si="15"/>
        <v>0</v>
      </c>
      <c r="BG61" s="4"/>
      <c r="BH61" s="4">
        <f t="shared" si="16"/>
        <v>-22991</v>
      </c>
      <c r="BI61" s="4"/>
      <c r="BJ61" s="4"/>
      <c r="BK61" s="4"/>
      <c r="BL61" s="4"/>
    </row>
    <row r="62" spans="1:66" ht="30" customHeight="1">
      <c r="A62" s="3">
        <f t="shared" si="9"/>
        <v>57</v>
      </c>
      <c r="B62" s="3">
        <v>2215</v>
      </c>
      <c r="C62" s="3" t="s">
        <v>353</v>
      </c>
      <c r="D62" s="4">
        <v>420000</v>
      </c>
      <c r="E62" s="4">
        <v>420000</v>
      </c>
      <c r="F62" s="4">
        <f t="shared" si="0"/>
        <v>0</v>
      </c>
      <c r="G62" s="4">
        <v>420000</v>
      </c>
      <c r="H62" s="4">
        <v>396410</v>
      </c>
      <c r="I62" s="4">
        <v>0</v>
      </c>
      <c r="J62" s="4">
        <v>0</v>
      </c>
      <c r="K62" s="4">
        <f t="shared" si="1"/>
        <v>0</v>
      </c>
      <c r="L62" s="4">
        <f t="shared" si="2"/>
        <v>396410</v>
      </c>
      <c r="M62" s="4">
        <f>P62+S62-23590</f>
        <v>0</v>
      </c>
      <c r="N62" s="4"/>
      <c r="O62" s="4">
        <f t="shared" si="3"/>
        <v>23590</v>
      </c>
      <c r="P62" s="4">
        <f t="shared" si="4"/>
        <v>23590</v>
      </c>
      <c r="Q62" s="4"/>
      <c r="R62" s="4"/>
      <c r="S62" s="4">
        <f t="shared" si="17"/>
        <v>0</v>
      </c>
      <c r="T62" s="4">
        <f t="shared" si="5"/>
        <v>23590</v>
      </c>
      <c r="U62" s="4">
        <f t="shared" si="6"/>
        <v>-23590</v>
      </c>
      <c r="V62" s="4"/>
      <c r="W62" s="4">
        <f t="shared" si="10"/>
        <v>0</v>
      </c>
      <c r="X62" s="4"/>
      <c r="Y62" s="4"/>
      <c r="Z62" s="4"/>
      <c r="AA62" s="4">
        <v>-23590</v>
      </c>
      <c r="AB62" s="3" t="s">
        <v>723</v>
      </c>
      <c r="AC62" s="3">
        <v>810000</v>
      </c>
      <c r="AD62" s="4">
        <v>-23590</v>
      </c>
      <c r="AE62" s="4"/>
      <c r="AF62" s="4"/>
      <c r="AG62" s="4"/>
      <c r="AH62" s="4"/>
      <c r="AI62" s="4"/>
      <c r="AJ62" s="4">
        <f t="shared" si="19"/>
        <v>-23590</v>
      </c>
      <c r="AK62" s="4">
        <f t="shared" si="11"/>
        <v>0</v>
      </c>
      <c r="AL62" s="112"/>
      <c r="AM62" s="130"/>
      <c r="AN62" s="4">
        <f t="shared" si="20"/>
        <v>0</v>
      </c>
      <c r="AO62" s="4"/>
      <c r="AP62" s="4">
        <f t="shared" si="18"/>
        <v>0</v>
      </c>
      <c r="AQ62" s="4"/>
      <c r="AR62" s="4"/>
      <c r="AS62" s="4"/>
      <c r="AT62" s="4"/>
      <c r="AU62" s="4"/>
      <c r="AV62" s="4"/>
      <c r="AW62" s="4"/>
      <c r="AX62" s="4">
        <f t="shared" si="12"/>
        <v>0</v>
      </c>
      <c r="AY62" s="4"/>
      <c r="AZ62" s="4">
        <f t="shared" si="13"/>
        <v>0</v>
      </c>
      <c r="BA62" s="4"/>
      <c r="BB62" s="4"/>
      <c r="BC62" s="4"/>
      <c r="BD62" s="4"/>
      <c r="BE62" s="4">
        <f t="shared" si="14"/>
        <v>-23590</v>
      </c>
      <c r="BF62" s="4">
        <f t="shared" si="15"/>
        <v>0</v>
      </c>
      <c r="BG62" s="4"/>
      <c r="BH62" s="4">
        <f t="shared" si="16"/>
        <v>0</v>
      </c>
      <c r="BI62" s="4"/>
      <c r="BJ62" s="4"/>
      <c r="BK62" s="4"/>
      <c r="BL62" s="4">
        <v>-23590</v>
      </c>
    </row>
    <row r="63" spans="1:66" ht="30" customHeight="1">
      <c r="A63" s="3">
        <f t="shared" si="9"/>
        <v>58</v>
      </c>
      <c r="B63" s="3">
        <v>2216</v>
      </c>
      <c r="C63" s="3" t="s">
        <v>354</v>
      </c>
      <c r="D63" s="4">
        <v>7500000</v>
      </c>
      <c r="E63" s="4">
        <v>7500000</v>
      </c>
      <c r="F63" s="4">
        <f t="shared" si="0"/>
        <v>0</v>
      </c>
      <c r="G63" s="4">
        <v>7500000</v>
      </c>
      <c r="H63" s="4">
        <v>3371250</v>
      </c>
      <c r="I63" s="4">
        <f>1319550</f>
        <v>1319550</v>
      </c>
      <c r="J63" s="4">
        <f>2537270+108977</f>
        <v>2646247</v>
      </c>
      <c r="K63" s="4">
        <f t="shared" si="1"/>
        <v>3965797</v>
      </c>
      <c r="L63" s="4">
        <f t="shared" si="2"/>
        <v>7337047</v>
      </c>
      <c r="M63" s="4">
        <f>P63+S63-160000</f>
        <v>2953</v>
      </c>
      <c r="N63" s="4">
        <f>270000-110000</f>
        <v>160000</v>
      </c>
      <c r="O63" s="4">
        <f t="shared" si="3"/>
        <v>0</v>
      </c>
      <c r="P63" s="4">
        <f t="shared" si="4"/>
        <v>162953</v>
      </c>
      <c r="Q63" s="4"/>
      <c r="R63" s="4"/>
      <c r="S63" s="4">
        <f t="shared" si="17"/>
        <v>0</v>
      </c>
      <c r="T63" s="4">
        <f t="shared" si="5"/>
        <v>160000</v>
      </c>
      <c r="U63" s="4">
        <f t="shared" si="6"/>
        <v>0</v>
      </c>
      <c r="V63" s="4"/>
      <c r="W63" s="4">
        <f t="shared" si="10"/>
        <v>0</v>
      </c>
      <c r="X63" s="4"/>
      <c r="Y63" s="4"/>
      <c r="Z63" s="4"/>
      <c r="AA63" s="3"/>
      <c r="AB63" s="3" t="s">
        <v>355</v>
      </c>
      <c r="AC63" s="3">
        <v>810000</v>
      </c>
      <c r="AD63" s="4"/>
      <c r="AE63" s="4"/>
      <c r="AF63" s="4"/>
      <c r="AG63" s="4"/>
      <c r="AH63" s="4"/>
      <c r="AI63" s="4"/>
      <c r="AJ63" s="4">
        <f t="shared" si="19"/>
        <v>0</v>
      </c>
      <c r="AK63" s="4">
        <f t="shared" si="11"/>
        <v>0</v>
      </c>
      <c r="AL63" s="112"/>
      <c r="AM63" s="130"/>
      <c r="AN63" s="4">
        <f t="shared" si="20"/>
        <v>0</v>
      </c>
      <c r="AO63" s="4"/>
      <c r="AP63" s="4">
        <f t="shared" si="18"/>
        <v>0</v>
      </c>
      <c r="AQ63" s="4"/>
      <c r="AR63" s="4"/>
      <c r="AS63" s="4"/>
      <c r="AT63" s="4"/>
      <c r="AU63" s="4"/>
      <c r="AV63" s="4"/>
      <c r="AW63" s="4"/>
      <c r="AX63" s="4">
        <f t="shared" si="12"/>
        <v>0</v>
      </c>
      <c r="AY63" s="4"/>
      <c r="AZ63" s="4">
        <f t="shared" si="13"/>
        <v>0</v>
      </c>
      <c r="BA63" s="4"/>
      <c r="BB63" s="4"/>
      <c r="BC63" s="4"/>
      <c r="BD63" s="4"/>
      <c r="BE63" s="4">
        <f t="shared" si="14"/>
        <v>0</v>
      </c>
      <c r="BF63" s="4">
        <f t="shared" si="15"/>
        <v>0</v>
      </c>
      <c r="BG63" s="4"/>
      <c r="BH63" s="4">
        <f t="shared" si="16"/>
        <v>0</v>
      </c>
      <c r="BI63" s="4"/>
      <c r="BJ63" s="4"/>
      <c r="BK63" s="4"/>
      <c r="BL63" s="4"/>
    </row>
    <row r="64" spans="1:66" ht="30" customHeight="1">
      <c r="A64" s="3">
        <f t="shared" si="9"/>
        <v>59</v>
      </c>
      <c r="B64" s="3">
        <v>2221</v>
      </c>
      <c r="C64" s="3" t="s">
        <v>359</v>
      </c>
      <c r="D64" s="4">
        <v>91304</v>
      </c>
      <c r="E64" s="4">
        <v>91304</v>
      </c>
      <c r="F64" s="4">
        <f t="shared" si="0"/>
        <v>0</v>
      </c>
      <c r="G64" s="4">
        <v>91304</v>
      </c>
      <c r="H64" s="4">
        <v>91202</v>
      </c>
      <c r="I64" s="4">
        <v>0</v>
      </c>
      <c r="J64" s="4">
        <v>0</v>
      </c>
      <c r="K64" s="4">
        <f t="shared" si="1"/>
        <v>0</v>
      </c>
      <c r="L64" s="4">
        <f t="shared" si="2"/>
        <v>91202</v>
      </c>
      <c r="M64" s="4">
        <f>P64+S64</f>
        <v>102</v>
      </c>
      <c r="N64" s="4"/>
      <c r="O64" s="4">
        <f t="shared" si="3"/>
        <v>0</v>
      </c>
      <c r="P64" s="4">
        <f t="shared" si="4"/>
        <v>102</v>
      </c>
      <c r="Q64" s="4"/>
      <c r="R64" s="4"/>
      <c r="S64" s="4">
        <f t="shared" si="17"/>
        <v>0</v>
      </c>
      <c r="T64" s="4">
        <f t="shared" si="5"/>
        <v>0</v>
      </c>
      <c r="U64" s="4">
        <f t="shared" si="6"/>
        <v>0</v>
      </c>
      <c r="V64" s="4"/>
      <c r="W64" s="4">
        <f t="shared" si="10"/>
        <v>0</v>
      </c>
      <c r="X64" s="4"/>
      <c r="Y64" s="4"/>
      <c r="Z64" s="4"/>
      <c r="AA64" s="3"/>
      <c r="AB64" s="3" t="s">
        <v>730</v>
      </c>
      <c r="AC64" s="3">
        <v>747000</v>
      </c>
      <c r="AD64" s="4"/>
      <c r="AE64" s="4"/>
      <c r="AF64" s="4"/>
      <c r="AG64" s="4"/>
      <c r="AH64" s="4"/>
      <c r="AI64" s="4"/>
      <c r="AJ64" s="4">
        <f t="shared" si="19"/>
        <v>0</v>
      </c>
      <c r="AK64" s="4">
        <f t="shared" si="11"/>
        <v>0</v>
      </c>
      <c r="AL64" s="112"/>
      <c r="AM64" s="130"/>
      <c r="AN64" s="4">
        <f t="shared" si="20"/>
        <v>0</v>
      </c>
      <c r="AO64" s="4"/>
      <c r="AP64" s="4">
        <f t="shared" si="18"/>
        <v>0</v>
      </c>
      <c r="AQ64" s="4"/>
      <c r="AR64" s="4"/>
      <c r="AS64" s="4"/>
      <c r="AT64" s="4"/>
      <c r="AU64" s="4"/>
      <c r="AV64" s="4"/>
      <c r="AW64" s="4"/>
      <c r="AX64" s="4">
        <f t="shared" si="12"/>
        <v>0</v>
      </c>
      <c r="AY64" s="4"/>
      <c r="AZ64" s="4">
        <f t="shared" si="13"/>
        <v>0</v>
      </c>
      <c r="BA64" s="4"/>
      <c r="BB64" s="4"/>
      <c r="BC64" s="4"/>
      <c r="BD64" s="4"/>
      <c r="BE64" s="4">
        <f t="shared" si="14"/>
        <v>0</v>
      </c>
      <c r="BF64" s="4">
        <f t="shared" si="15"/>
        <v>0</v>
      </c>
      <c r="BG64" s="4"/>
      <c r="BH64" s="4">
        <f t="shared" si="16"/>
        <v>0</v>
      </c>
      <c r="BI64" s="4"/>
      <c r="BJ64" s="4"/>
      <c r="BK64" s="4"/>
      <c r="BL64" s="4"/>
    </row>
    <row r="65" spans="1:64" ht="30" customHeight="1">
      <c r="A65" s="3">
        <f t="shared" si="9"/>
        <v>60</v>
      </c>
      <c r="B65" s="3">
        <v>2225</v>
      </c>
      <c r="C65" s="3" t="s">
        <v>353</v>
      </c>
      <c r="D65" s="4">
        <v>150000</v>
      </c>
      <c r="E65" s="4">
        <v>150000</v>
      </c>
      <c r="F65" s="4">
        <f t="shared" si="0"/>
        <v>0</v>
      </c>
      <c r="G65" s="4">
        <v>150000</v>
      </c>
      <c r="H65" s="4">
        <v>73365</v>
      </c>
      <c r="I65" s="4">
        <v>0</v>
      </c>
      <c r="J65" s="4">
        <v>0</v>
      </c>
      <c r="K65" s="4">
        <f t="shared" si="1"/>
        <v>0</v>
      </c>
      <c r="L65" s="4">
        <f t="shared" si="2"/>
        <v>73365</v>
      </c>
      <c r="M65" s="4">
        <f>P65+S65-60000</f>
        <v>16635</v>
      </c>
      <c r="N65" s="4"/>
      <c r="O65" s="4">
        <f t="shared" si="3"/>
        <v>60000</v>
      </c>
      <c r="P65" s="4">
        <f t="shared" si="4"/>
        <v>76635</v>
      </c>
      <c r="Q65" s="4"/>
      <c r="R65" s="4"/>
      <c r="S65" s="4">
        <f t="shared" si="17"/>
        <v>0</v>
      </c>
      <c r="T65" s="4">
        <f t="shared" si="5"/>
        <v>60000</v>
      </c>
      <c r="U65" s="4">
        <f t="shared" si="6"/>
        <v>-60000</v>
      </c>
      <c r="V65" s="4"/>
      <c r="W65" s="4">
        <f t="shared" si="10"/>
        <v>0</v>
      </c>
      <c r="X65" s="4"/>
      <c r="Y65" s="4"/>
      <c r="Z65" s="4"/>
      <c r="AA65" s="4">
        <v>-60000</v>
      </c>
      <c r="AB65" s="3" t="s">
        <v>722</v>
      </c>
      <c r="AC65" s="3">
        <v>810000</v>
      </c>
      <c r="AD65" s="4">
        <v>-60000</v>
      </c>
      <c r="AE65" s="4"/>
      <c r="AF65" s="4"/>
      <c r="AG65" s="4"/>
      <c r="AH65" s="4"/>
      <c r="AI65" s="4"/>
      <c r="AJ65" s="4">
        <f t="shared" si="19"/>
        <v>-60000</v>
      </c>
      <c r="AK65" s="4">
        <f t="shared" si="11"/>
        <v>0</v>
      </c>
      <c r="AL65" s="112"/>
      <c r="AM65" s="130"/>
      <c r="AN65" s="4">
        <f t="shared" si="20"/>
        <v>0</v>
      </c>
      <c r="AO65" s="4"/>
      <c r="AP65" s="4">
        <f t="shared" si="18"/>
        <v>0</v>
      </c>
      <c r="AQ65" s="4"/>
      <c r="AR65" s="4"/>
      <c r="AS65" s="4"/>
      <c r="AT65" s="4"/>
      <c r="AU65" s="4"/>
      <c r="AV65" s="4"/>
      <c r="AW65" s="4"/>
      <c r="AX65" s="4">
        <f t="shared" si="12"/>
        <v>0</v>
      </c>
      <c r="AY65" s="4"/>
      <c r="AZ65" s="4">
        <f t="shared" si="13"/>
        <v>0</v>
      </c>
      <c r="BA65" s="4"/>
      <c r="BB65" s="4"/>
      <c r="BC65" s="4"/>
      <c r="BD65" s="4"/>
      <c r="BE65" s="4">
        <f t="shared" si="14"/>
        <v>-60000</v>
      </c>
      <c r="BF65" s="4">
        <f t="shared" si="15"/>
        <v>0</v>
      </c>
      <c r="BG65" s="4"/>
      <c r="BH65" s="4">
        <f t="shared" si="16"/>
        <v>0</v>
      </c>
      <c r="BI65" s="4"/>
      <c r="BJ65" s="4"/>
      <c r="BK65" s="4"/>
      <c r="BL65" s="4">
        <v>-60000</v>
      </c>
    </row>
    <row r="66" spans="1:64" ht="30" customHeight="1">
      <c r="A66" s="3">
        <f t="shared" si="9"/>
        <v>61</v>
      </c>
      <c r="B66" s="3">
        <v>2226</v>
      </c>
      <c r="C66" s="3" t="s">
        <v>1179</v>
      </c>
      <c r="D66" s="4">
        <v>91304</v>
      </c>
      <c r="E66" s="4">
        <v>91304</v>
      </c>
      <c r="F66" s="4">
        <f t="shared" si="0"/>
        <v>0</v>
      </c>
      <c r="G66" s="4">
        <v>91304</v>
      </c>
      <c r="H66" s="4">
        <v>76577</v>
      </c>
      <c r="I66" s="4">
        <v>0</v>
      </c>
      <c r="J66" s="4">
        <v>0</v>
      </c>
      <c r="K66" s="4">
        <f t="shared" si="1"/>
        <v>0</v>
      </c>
      <c r="L66" s="4">
        <f t="shared" si="2"/>
        <v>76577</v>
      </c>
      <c r="M66" s="4">
        <f>P66+S66</f>
        <v>14727</v>
      </c>
      <c r="N66" s="4"/>
      <c r="O66" s="4">
        <f t="shared" si="3"/>
        <v>0</v>
      </c>
      <c r="P66" s="4">
        <f t="shared" si="4"/>
        <v>14727</v>
      </c>
      <c r="Q66" s="4"/>
      <c r="R66" s="4"/>
      <c r="S66" s="4">
        <f t="shared" si="17"/>
        <v>0</v>
      </c>
      <c r="T66" s="4">
        <f t="shared" si="5"/>
        <v>0</v>
      </c>
      <c r="U66" s="4">
        <f t="shared" si="6"/>
        <v>0</v>
      </c>
      <c r="V66" s="4"/>
      <c r="W66" s="4">
        <f t="shared" si="10"/>
        <v>0</v>
      </c>
      <c r="X66" s="4"/>
      <c r="Y66" s="4"/>
      <c r="Z66" s="4"/>
      <c r="AA66" s="3"/>
      <c r="AB66" s="3" t="s">
        <v>360</v>
      </c>
      <c r="AC66" s="3">
        <v>747000</v>
      </c>
      <c r="AD66" s="4"/>
      <c r="AE66" s="4"/>
      <c r="AF66" s="4"/>
      <c r="AG66" s="4"/>
      <c r="AH66" s="4"/>
      <c r="AI66" s="4"/>
      <c r="AJ66" s="4">
        <f t="shared" si="19"/>
        <v>0</v>
      </c>
      <c r="AK66" s="4">
        <f t="shared" si="11"/>
        <v>0</v>
      </c>
      <c r="AL66" s="112"/>
      <c r="AM66" s="130"/>
      <c r="AN66" s="4">
        <f t="shared" si="20"/>
        <v>0</v>
      </c>
      <c r="AO66" s="4"/>
      <c r="AP66" s="4">
        <f t="shared" si="18"/>
        <v>0</v>
      </c>
      <c r="AQ66" s="4"/>
      <c r="AR66" s="4"/>
      <c r="AS66" s="4"/>
      <c r="AT66" s="4"/>
      <c r="AU66" s="4"/>
      <c r="AV66" s="4"/>
      <c r="AW66" s="4"/>
      <c r="AX66" s="4">
        <f t="shared" si="12"/>
        <v>0</v>
      </c>
      <c r="AY66" s="4"/>
      <c r="AZ66" s="4">
        <f t="shared" si="13"/>
        <v>0</v>
      </c>
      <c r="BA66" s="4"/>
      <c r="BB66" s="4"/>
      <c r="BC66" s="4"/>
      <c r="BD66" s="4"/>
      <c r="BE66" s="4">
        <f t="shared" si="14"/>
        <v>0</v>
      </c>
      <c r="BF66" s="4">
        <f t="shared" si="15"/>
        <v>0</v>
      </c>
      <c r="BG66" s="4"/>
      <c r="BH66" s="4">
        <f t="shared" si="16"/>
        <v>0</v>
      </c>
      <c r="BI66" s="4"/>
      <c r="BJ66" s="4"/>
      <c r="BK66" s="4"/>
      <c r="BL66" s="4"/>
    </row>
    <row r="67" spans="1:64" ht="30" customHeight="1">
      <c r="A67" s="3">
        <f t="shared" si="9"/>
        <v>62</v>
      </c>
      <c r="B67" s="3">
        <v>2234</v>
      </c>
      <c r="C67" s="3" t="s">
        <v>414</v>
      </c>
      <c r="D67" s="4">
        <v>270000</v>
      </c>
      <c r="E67" s="4">
        <v>270000</v>
      </c>
      <c r="F67" s="4">
        <f t="shared" si="0"/>
        <v>0</v>
      </c>
      <c r="G67" s="4">
        <v>270000</v>
      </c>
      <c r="H67" s="4">
        <v>197586</v>
      </c>
      <c r="I67" s="4">
        <v>0</v>
      </c>
      <c r="J67" s="4">
        <v>0</v>
      </c>
      <c r="K67" s="4">
        <f t="shared" si="1"/>
        <v>0</v>
      </c>
      <c r="L67" s="4">
        <f t="shared" si="2"/>
        <v>197586</v>
      </c>
      <c r="M67" s="4">
        <f>P67+S67-70000</f>
        <v>2414</v>
      </c>
      <c r="N67" s="4">
        <v>70000</v>
      </c>
      <c r="O67" s="4">
        <f t="shared" si="3"/>
        <v>0</v>
      </c>
      <c r="P67" s="4">
        <f t="shared" si="4"/>
        <v>72414</v>
      </c>
      <c r="Q67" s="4"/>
      <c r="R67" s="4"/>
      <c r="S67" s="4">
        <f t="shared" si="17"/>
        <v>0</v>
      </c>
      <c r="T67" s="4">
        <f t="shared" si="5"/>
        <v>70000</v>
      </c>
      <c r="U67" s="4">
        <f t="shared" si="6"/>
        <v>0</v>
      </c>
      <c r="V67" s="4"/>
      <c r="W67" s="4">
        <f t="shared" si="10"/>
        <v>0</v>
      </c>
      <c r="X67" s="4"/>
      <c r="Y67" s="4"/>
      <c r="Z67" s="4"/>
      <c r="AA67" s="3"/>
      <c r="AB67" s="3" t="s">
        <v>416</v>
      </c>
      <c r="AC67" s="3">
        <v>810000</v>
      </c>
      <c r="AD67" s="4"/>
      <c r="AE67" s="4"/>
      <c r="AF67" s="4"/>
      <c r="AG67" s="4"/>
      <c r="AH67" s="4"/>
      <c r="AI67" s="4"/>
      <c r="AJ67" s="4">
        <f t="shared" si="19"/>
        <v>0</v>
      </c>
      <c r="AK67" s="4">
        <f t="shared" si="11"/>
        <v>0</v>
      </c>
      <c r="AL67" s="112"/>
      <c r="AM67" s="130"/>
      <c r="AN67" s="4">
        <f t="shared" si="20"/>
        <v>0</v>
      </c>
      <c r="AO67" s="4"/>
      <c r="AP67" s="4">
        <f t="shared" si="18"/>
        <v>0</v>
      </c>
      <c r="AQ67" s="4"/>
      <c r="AR67" s="4"/>
      <c r="AS67" s="4"/>
      <c r="AT67" s="4"/>
      <c r="AU67" s="4"/>
      <c r="AV67" s="4"/>
      <c r="AW67" s="4"/>
      <c r="AX67" s="4">
        <f t="shared" si="12"/>
        <v>0</v>
      </c>
      <c r="AY67" s="4"/>
      <c r="AZ67" s="4">
        <f t="shared" si="13"/>
        <v>0</v>
      </c>
      <c r="BA67" s="4"/>
      <c r="BB67" s="4"/>
      <c r="BC67" s="4"/>
      <c r="BD67" s="4"/>
      <c r="BE67" s="4">
        <f t="shared" si="14"/>
        <v>0</v>
      </c>
      <c r="BF67" s="4">
        <f t="shared" si="15"/>
        <v>0</v>
      </c>
      <c r="BG67" s="4"/>
      <c r="BH67" s="4">
        <f t="shared" si="16"/>
        <v>0</v>
      </c>
      <c r="BI67" s="4"/>
      <c r="BJ67" s="4"/>
      <c r="BK67" s="4"/>
      <c r="BL67" s="4"/>
    </row>
    <row r="68" spans="1:64" ht="30" customHeight="1">
      <c r="A68" s="3">
        <f t="shared" si="9"/>
        <v>63</v>
      </c>
      <c r="B68" s="3">
        <v>2235</v>
      </c>
      <c r="C68" s="3" t="s">
        <v>415</v>
      </c>
      <c r="D68" s="4">
        <f>3000000+775000</f>
        <v>3775000</v>
      </c>
      <c r="E68" s="4">
        <v>3000000</v>
      </c>
      <c r="F68" s="4">
        <f t="shared" si="0"/>
        <v>775000</v>
      </c>
      <c r="G68" s="4">
        <v>3000000</v>
      </c>
      <c r="H68" s="4">
        <v>411258</v>
      </c>
      <c r="I68" s="4">
        <v>0</v>
      </c>
      <c r="J68" s="4">
        <v>2025303</v>
      </c>
      <c r="K68" s="4">
        <f t="shared" si="1"/>
        <v>2025303</v>
      </c>
      <c r="L68" s="4">
        <f t="shared" si="2"/>
        <v>2436561</v>
      </c>
      <c r="M68" s="4">
        <f>P68+S68-560000</f>
        <v>3439</v>
      </c>
      <c r="N68" s="4">
        <f>630000+705000</f>
        <v>1335000</v>
      </c>
      <c r="O68" s="4">
        <f t="shared" si="3"/>
        <v>0</v>
      </c>
      <c r="P68" s="4">
        <f t="shared" si="4"/>
        <v>563439</v>
      </c>
      <c r="Q68" s="4"/>
      <c r="R68" s="4"/>
      <c r="S68" s="4">
        <f t="shared" si="17"/>
        <v>0</v>
      </c>
      <c r="T68" s="4">
        <f t="shared" si="5"/>
        <v>560000</v>
      </c>
      <c r="U68" s="4">
        <f t="shared" si="6"/>
        <v>775000</v>
      </c>
      <c r="V68" s="4"/>
      <c r="W68" s="4">
        <f t="shared" si="10"/>
        <v>70000</v>
      </c>
      <c r="X68" s="4"/>
      <c r="Y68" s="4">
        <v>705000</v>
      </c>
      <c r="Z68" s="4"/>
      <c r="AA68" s="3"/>
      <c r="AB68" s="3" t="s">
        <v>1180</v>
      </c>
      <c r="AC68" s="3">
        <v>829000</v>
      </c>
      <c r="AD68" s="4"/>
      <c r="AE68" s="4"/>
      <c r="AF68" s="4"/>
      <c r="AG68" s="4"/>
      <c r="AH68" s="4"/>
      <c r="AI68" s="4"/>
      <c r="AJ68" s="4">
        <f t="shared" si="19"/>
        <v>0</v>
      </c>
      <c r="AK68" s="4">
        <f t="shared" si="11"/>
        <v>775000</v>
      </c>
      <c r="AL68" s="112"/>
      <c r="AM68" s="130"/>
      <c r="AN68" s="536">
        <f t="shared" si="20"/>
        <v>775000</v>
      </c>
      <c r="AO68" s="4"/>
      <c r="AP68" s="4">
        <f t="shared" si="18"/>
        <v>70000</v>
      </c>
      <c r="AQ68" s="4">
        <f>705000-705000</f>
        <v>0</v>
      </c>
      <c r="AR68" s="4">
        <v>705000</v>
      </c>
      <c r="AS68" s="4"/>
      <c r="AT68" s="4"/>
      <c r="AU68" s="4"/>
      <c r="AV68" s="4"/>
      <c r="AW68" s="4"/>
      <c r="AX68" s="4">
        <f t="shared" si="12"/>
        <v>775000</v>
      </c>
      <c r="AY68" s="4"/>
      <c r="AZ68" s="4">
        <f t="shared" si="13"/>
        <v>70000</v>
      </c>
      <c r="BA68" s="4"/>
      <c r="BB68" s="4">
        <v>705000</v>
      </c>
      <c r="BC68" s="4"/>
      <c r="BD68" s="4"/>
      <c r="BE68" s="4">
        <f t="shared" si="14"/>
        <v>775000</v>
      </c>
      <c r="BF68" s="4">
        <f t="shared" si="15"/>
        <v>0</v>
      </c>
      <c r="BG68" s="4"/>
      <c r="BH68" s="4">
        <f t="shared" si="16"/>
        <v>70000</v>
      </c>
      <c r="BI68" s="4"/>
      <c r="BJ68" s="4">
        <v>705000</v>
      </c>
      <c r="BK68" s="4"/>
      <c r="BL68" s="4"/>
    </row>
    <row r="69" spans="1:64" ht="30" customHeight="1">
      <c r="A69" s="3">
        <f t="shared" si="9"/>
        <v>64</v>
      </c>
      <c r="B69" s="3">
        <v>2236</v>
      </c>
      <c r="C69" s="3" t="s">
        <v>414</v>
      </c>
      <c r="D69" s="4">
        <v>180000</v>
      </c>
      <c r="E69" s="4">
        <v>180000</v>
      </c>
      <c r="F69" s="4">
        <f t="shared" si="0"/>
        <v>0</v>
      </c>
      <c r="G69" s="4">
        <v>180000</v>
      </c>
      <c r="H69" s="4">
        <v>116522</v>
      </c>
      <c r="I69" s="4">
        <v>0</v>
      </c>
      <c r="J69" s="4">
        <v>0</v>
      </c>
      <c r="K69" s="4">
        <f t="shared" si="1"/>
        <v>0</v>
      </c>
      <c r="L69" s="4">
        <f t="shared" si="2"/>
        <v>116522</v>
      </c>
      <c r="M69" s="4">
        <f>P69+S69-60000</f>
        <v>3478</v>
      </c>
      <c r="N69" s="4">
        <v>60000</v>
      </c>
      <c r="O69" s="4">
        <f t="shared" si="3"/>
        <v>0</v>
      </c>
      <c r="P69" s="4">
        <f t="shared" si="4"/>
        <v>63478</v>
      </c>
      <c r="Q69" s="4"/>
      <c r="R69" s="4"/>
      <c r="S69" s="4">
        <f t="shared" si="17"/>
        <v>0</v>
      </c>
      <c r="T69" s="4">
        <f t="shared" si="5"/>
        <v>60000</v>
      </c>
      <c r="U69" s="4">
        <f t="shared" si="6"/>
        <v>0</v>
      </c>
      <c r="V69" s="4"/>
      <c r="W69" s="4">
        <f t="shared" si="10"/>
        <v>0</v>
      </c>
      <c r="X69" s="4"/>
      <c r="Y69" s="4"/>
      <c r="Z69" s="4"/>
      <c r="AA69" s="3"/>
      <c r="AB69" s="3" t="s">
        <v>536</v>
      </c>
      <c r="AC69" s="3">
        <v>810000</v>
      </c>
      <c r="AD69" s="4"/>
      <c r="AE69" s="4"/>
      <c r="AF69" s="4"/>
      <c r="AG69" s="4"/>
      <c r="AH69" s="4"/>
      <c r="AI69" s="4"/>
      <c r="AJ69" s="4">
        <f t="shared" si="19"/>
        <v>0</v>
      </c>
      <c r="AK69" s="4">
        <f t="shared" si="11"/>
        <v>0</v>
      </c>
      <c r="AL69" s="112"/>
      <c r="AM69" s="130"/>
      <c r="AN69" s="4">
        <f t="shared" si="20"/>
        <v>0</v>
      </c>
      <c r="AO69" s="4"/>
      <c r="AP69" s="4">
        <f t="shared" si="18"/>
        <v>0</v>
      </c>
      <c r="AQ69" s="4"/>
      <c r="AR69" s="4"/>
      <c r="AS69" s="4"/>
      <c r="AT69" s="4"/>
      <c r="AU69" s="4"/>
      <c r="AV69" s="4"/>
      <c r="AW69" s="4"/>
      <c r="AX69" s="4">
        <f t="shared" si="12"/>
        <v>0</v>
      </c>
      <c r="AY69" s="4"/>
      <c r="AZ69" s="4">
        <f t="shared" si="13"/>
        <v>0</v>
      </c>
      <c r="BA69" s="4"/>
      <c r="BB69" s="4"/>
      <c r="BC69" s="4"/>
      <c r="BD69" s="4"/>
      <c r="BE69" s="4">
        <f t="shared" si="14"/>
        <v>0</v>
      </c>
      <c r="BF69" s="4">
        <f t="shared" si="15"/>
        <v>0</v>
      </c>
      <c r="BG69" s="4"/>
      <c r="BH69" s="4">
        <f t="shared" si="16"/>
        <v>0</v>
      </c>
      <c r="BI69" s="4"/>
      <c r="BJ69" s="4"/>
      <c r="BK69" s="4"/>
      <c r="BL69" s="4"/>
    </row>
    <row r="70" spans="1:64" ht="30" customHeight="1">
      <c r="A70" s="3">
        <f t="shared" si="9"/>
        <v>65</v>
      </c>
      <c r="B70" s="3">
        <v>2237</v>
      </c>
      <c r="C70" s="3" t="s">
        <v>431</v>
      </c>
      <c r="D70" s="4">
        <v>1700000</v>
      </c>
      <c r="E70" s="4">
        <v>1700000</v>
      </c>
      <c r="F70" s="4">
        <f t="shared" si="0"/>
        <v>0</v>
      </c>
      <c r="G70" s="4">
        <v>1300000</v>
      </c>
      <c r="H70" s="4">
        <v>1047135</v>
      </c>
      <c r="I70" s="4">
        <v>0</v>
      </c>
      <c r="J70" s="4">
        <f>29835-29835</f>
        <v>0</v>
      </c>
      <c r="K70" s="4">
        <f t="shared" si="1"/>
        <v>0</v>
      </c>
      <c r="L70" s="4">
        <f t="shared" si="2"/>
        <v>1047135</v>
      </c>
      <c r="M70" s="4">
        <f>P70+S70-250000</f>
        <v>2865</v>
      </c>
      <c r="N70" s="4">
        <f>400000-100000-100000</f>
        <v>200000</v>
      </c>
      <c r="O70" s="4">
        <f t="shared" si="3"/>
        <v>450000</v>
      </c>
      <c r="P70" s="4">
        <f t="shared" si="4"/>
        <v>252865</v>
      </c>
      <c r="Q70" s="4"/>
      <c r="R70" s="4"/>
      <c r="S70" s="4">
        <f t="shared" si="17"/>
        <v>0</v>
      </c>
      <c r="T70" s="4">
        <f t="shared" si="5"/>
        <v>250000</v>
      </c>
      <c r="U70" s="4">
        <f t="shared" si="6"/>
        <v>-50000</v>
      </c>
      <c r="V70" s="4">
        <v>-50000</v>
      </c>
      <c r="W70" s="4">
        <f t="shared" si="10"/>
        <v>0</v>
      </c>
      <c r="X70" s="4"/>
      <c r="Y70" s="4"/>
      <c r="Z70" s="4"/>
      <c r="AA70" s="3"/>
      <c r="AB70" s="3" t="s">
        <v>537</v>
      </c>
      <c r="AC70" s="3">
        <v>742000</v>
      </c>
      <c r="AD70" s="4">
        <v>-50000</v>
      </c>
      <c r="AE70" s="4"/>
      <c r="AF70" s="4"/>
      <c r="AG70" s="4"/>
      <c r="AH70" s="4"/>
      <c r="AI70" s="4"/>
      <c r="AJ70" s="4">
        <f t="shared" ref="AJ70:AJ101" si="21">SUM(AD70:AI70)+AL70</f>
        <v>-50000</v>
      </c>
      <c r="AK70" s="4">
        <f t="shared" si="11"/>
        <v>0</v>
      </c>
      <c r="AL70" s="112"/>
      <c r="AM70" s="130"/>
      <c r="AN70" s="4">
        <f t="shared" ref="AN70:AN101" si="22">AK70+AM70</f>
        <v>0</v>
      </c>
      <c r="AO70" s="4"/>
      <c r="AP70" s="4">
        <f t="shared" si="18"/>
        <v>0</v>
      </c>
      <c r="AQ70" s="4"/>
      <c r="AR70" s="4"/>
      <c r="AS70" s="4"/>
      <c r="AT70" s="4"/>
      <c r="AU70" s="4"/>
      <c r="AV70" s="4"/>
      <c r="AW70" s="4"/>
      <c r="AX70" s="4">
        <f t="shared" si="12"/>
        <v>0</v>
      </c>
      <c r="AY70" s="4"/>
      <c r="AZ70" s="4">
        <f t="shared" si="13"/>
        <v>0</v>
      </c>
      <c r="BA70" s="4"/>
      <c r="BB70" s="4"/>
      <c r="BC70" s="4"/>
      <c r="BD70" s="4"/>
      <c r="BE70" s="4">
        <f t="shared" si="14"/>
        <v>-50000</v>
      </c>
      <c r="BF70" s="4">
        <f t="shared" si="15"/>
        <v>0</v>
      </c>
      <c r="BG70" s="4">
        <v>-50000</v>
      </c>
      <c r="BH70" s="4">
        <f t="shared" si="16"/>
        <v>0</v>
      </c>
      <c r="BI70" s="4"/>
      <c r="BJ70" s="4"/>
      <c r="BK70" s="4"/>
      <c r="BL70" s="4"/>
    </row>
    <row r="71" spans="1:64" ht="30" customHeight="1">
      <c r="A71" s="3">
        <f t="shared" ref="A71:A115" si="23">A70+1</f>
        <v>66</v>
      </c>
      <c r="B71" s="3">
        <v>2238</v>
      </c>
      <c r="C71" s="3" t="s">
        <v>432</v>
      </c>
      <c r="D71" s="4">
        <f>7100000+300000-100000</f>
        <v>7300000</v>
      </c>
      <c r="E71" s="4">
        <v>7100000</v>
      </c>
      <c r="F71" s="4">
        <f t="shared" si="0"/>
        <v>200000</v>
      </c>
      <c r="G71" s="4">
        <v>7100000</v>
      </c>
      <c r="H71" s="4">
        <v>7084174</v>
      </c>
      <c r="I71" s="4">
        <v>0</v>
      </c>
      <c r="J71" s="4"/>
      <c r="K71" s="4">
        <f t="shared" si="1"/>
        <v>0</v>
      </c>
      <c r="L71" s="4">
        <f t="shared" si="2"/>
        <v>7084174</v>
      </c>
      <c r="M71" s="4">
        <f>P71+S71</f>
        <v>15826</v>
      </c>
      <c r="N71" s="4">
        <f>300000-100000</f>
        <v>200000</v>
      </c>
      <c r="O71" s="4">
        <f t="shared" si="3"/>
        <v>0</v>
      </c>
      <c r="P71" s="4">
        <f t="shared" si="4"/>
        <v>15826</v>
      </c>
      <c r="Q71" s="4"/>
      <c r="R71" s="4"/>
      <c r="S71" s="4">
        <f t="shared" ref="S71:S106" si="24">SUM(Q71:R71)</f>
        <v>0</v>
      </c>
      <c r="T71" s="4">
        <f t="shared" si="5"/>
        <v>0</v>
      </c>
      <c r="U71" s="4">
        <f t="shared" si="6"/>
        <v>200000</v>
      </c>
      <c r="V71" s="4"/>
      <c r="W71" s="4">
        <f t="shared" ref="W71:W79" si="25">U71-AA71-V71-Y71</f>
        <v>200000</v>
      </c>
      <c r="X71" s="4"/>
      <c r="Y71" s="4"/>
      <c r="Z71" s="4"/>
      <c r="AA71" s="3"/>
      <c r="AB71" s="3" t="s">
        <v>468</v>
      </c>
      <c r="AC71" s="3">
        <v>747000</v>
      </c>
      <c r="AD71" s="4"/>
      <c r="AE71" s="4"/>
      <c r="AF71" s="4"/>
      <c r="AG71" s="4"/>
      <c r="AH71" s="4"/>
      <c r="AI71" s="4"/>
      <c r="AJ71" s="4">
        <f t="shared" si="21"/>
        <v>0</v>
      </c>
      <c r="AK71" s="4">
        <f t="shared" ref="AK71:AK115" si="26">U71-AJ71</f>
        <v>200000</v>
      </c>
      <c r="AL71" s="112"/>
      <c r="AM71" s="130"/>
      <c r="AN71" s="4">
        <f t="shared" si="22"/>
        <v>200000</v>
      </c>
      <c r="AO71" s="4"/>
      <c r="AP71" s="4">
        <f t="shared" si="18"/>
        <v>200000</v>
      </c>
      <c r="AQ71" s="4"/>
      <c r="AR71" s="4"/>
      <c r="AS71" s="4"/>
      <c r="AT71" s="4"/>
      <c r="AU71" s="4"/>
      <c r="AV71" s="4"/>
      <c r="AW71" s="4"/>
      <c r="AX71" s="4">
        <f t="shared" ref="AX71:AX115" si="27">AN71-AW71</f>
        <v>200000</v>
      </c>
      <c r="AY71" s="4"/>
      <c r="AZ71" s="4">
        <f t="shared" ref="AZ71:AZ115" si="28">AX71-AY71-BA71-BB71-BC71-BD71</f>
        <v>200000</v>
      </c>
      <c r="BA71" s="4"/>
      <c r="BB71" s="4"/>
      <c r="BC71" s="4"/>
      <c r="BD71" s="4"/>
      <c r="BE71" s="4">
        <f t="shared" ref="BE71:BE115" si="29">AX71+AJ71</f>
        <v>200000</v>
      </c>
      <c r="BF71" s="4">
        <f t="shared" ref="BF71:BF115" si="30">U71-BE71</f>
        <v>0</v>
      </c>
      <c r="BG71" s="4"/>
      <c r="BH71" s="4">
        <f t="shared" ref="BH71:BH115" si="31">BE71-BG71-BI71-BJ71-BK71-BL71</f>
        <v>200000</v>
      </c>
      <c r="BI71" s="4"/>
      <c r="BJ71" s="4"/>
      <c r="BK71" s="4"/>
      <c r="BL71" s="4"/>
    </row>
    <row r="72" spans="1:64" ht="30" customHeight="1">
      <c r="A72" s="3">
        <f t="shared" si="23"/>
        <v>67</v>
      </c>
      <c r="B72" s="3">
        <v>2239</v>
      </c>
      <c r="C72" s="3" t="s">
        <v>433</v>
      </c>
      <c r="D72" s="4">
        <v>30000000</v>
      </c>
      <c r="E72" s="4">
        <v>30000000</v>
      </c>
      <c r="F72" s="4">
        <f t="shared" ref="F72:F114" si="32">D72-E72</f>
        <v>0</v>
      </c>
      <c r="G72" s="4">
        <v>5500000</v>
      </c>
      <c r="H72" s="4">
        <v>3340529</v>
      </c>
      <c r="I72" s="4">
        <v>0</v>
      </c>
      <c r="J72" s="4">
        <v>1951835</v>
      </c>
      <c r="K72" s="4">
        <f t="shared" ref="K72:K114" si="33">I72+J72</f>
        <v>1951835</v>
      </c>
      <c r="L72" s="4">
        <f t="shared" ref="L72:L114" si="34">H72+K72</f>
        <v>5292364</v>
      </c>
      <c r="M72" s="4">
        <f>P72+S72-130000-70000</f>
        <v>7636</v>
      </c>
      <c r="N72" s="4">
        <f>3400000-1270000-130000</f>
        <v>2000000</v>
      </c>
      <c r="O72" s="4">
        <f t="shared" ref="O72:O114" si="35">D72-L72-M72-N72</f>
        <v>22700000</v>
      </c>
      <c r="P72" s="4">
        <f t="shared" ref="P72:P114" si="36">G72-L72</f>
        <v>207636</v>
      </c>
      <c r="Q72" s="4"/>
      <c r="R72" s="4"/>
      <c r="S72" s="4">
        <f t="shared" si="24"/>
        <v>0</v>
      </c>
      <c r="T72" s="4">
        <f t="shared" ref="T72:T114" si="37">P72-M72+S72</f>
        <v>200000</v>
      </c>
      <c r="U72" s="4">
        <f t="shared" ref="U72:U114" si="38">N72-T72</f>
        <v>1800000</v>
      </c>
      <c r="V72" s="4">
        <v>1800000</v>
      </c>
      <c r="W72" s="4">
        <f t="shared" si="25"/>
        <v>0</v>
      </c>
      <c r="X72" s="4"/>
      <c r="Y72" s="4"/>
      <c r="Z72" s="4"/>
      <c r="AA72" s="3"/>
      <c r="AB72" s="3" t="s">
        <v>464</v>
      </c>
      <c r="AC72" s="3">
        <v>742000</v>
      </c>
      <c r="AD72" s="4"/>
      <c r="AE72" s="4"/>
      <c r="AF72" s="4"/>
      <c r="AG72" s="4">
        <v>1800000</v>
      </c>
      <c r="AH72" s="4"/>
      <c r="AI72" s="4"/>
      <c r="AJ72" s="4">
        <f t="shared" si="21"/>
        <v>1800000</v>
      </c>
      <c r="AK72" s="4">
        <f t="shared" si="26"/>
        <v>0</v>
      </c>
      <c r="AL72" s="112"/>
      <c r="AM72" s="130"/>
      <c r="AN72" s="4">
        <f t="shared" si="22"/>
        <v>0</v>
      </c>
      <c r="AO72" s="4"/>
      <c r="AP72" s="4">
        <f t="shared" ref="AP72:AP115" si="39">AN72-AO72-AQ72-AR72-AS72-AT72</f>
        <v>0</v>
      </c>
      <c r="AQ72" s="4"/>
      <c r="AR72" s="4"/>
      <c r="AS72" s="4"/>
      <c r="AT72" s="4"/>
      <c r="AU72" s="4"/>
      <c r="AV72" s="4"/>
      <c r="AW72" s="4"/>
      <c r="AX72" s="4">
        <f t="shared" si="27"/>
        <v>0</v>
      </c>
      <c r="AY72" s="4"/>
      <c r="AZ72" s="4">
        <f t="shared" si="28"/>
        <v>0</v>
      </c>
      <c r="BA72" s="4"/>
      <c r="BB72" s="4"/>
      <c r="BC72" s="4"/>
      <c r="BD72" s="4"/>
      <c r="BE72" s="4">
        <f t="shared" si="29"/>
        <v>1800000</v>
      </c>
      <c r="BF72" s="4">
        <f t="shared" si="30"/>
        <v>0</v>
      </c>
      <c r="BG72" s="4">
        <v>1800000</v>
      </c>
      <c r="BH72" s="4">
        <f t="shared" si="31"/>
        <v>0</v>
      </c>
      <c r="BI72" s="4"/>
      <c r="BJ72" s="4"/>
      <c r="BK72" s="4"/>
      <c r="BL72" s="4"/>
    </row>
    <row r="73" spans="1:64" ht="30" customHeight="1">
      <c r="A73" s="3">
        <f t="shared" si="23"/>
        <v>68</v>
      </c>
      <c r="B73" s="3">
        <v>2240</v>
      </c>
      <c r="C73" s="3" t="s">
        <v>434</v>
      </c>
      <c r="D73" s="4">
        <v>13200000</v>
      </c>
      <c r="E73" s="4">
        <v>13200000</v>
      </c>
      <c r="F73" s="4">
        <f t="shared" si="32"/>
        <v>0</v>
      </c>
      <c r="G73" s="4">
        <v>4240000</v>
      </c>
      <c r="H73" s="4">
        <v>3141090</v>
      </c>
      <c r="I73" s="4">
        <v>0</v>
      </c>
      <c r="J73" s="4">
        <f>294722+400488</f>
        <v>695210</v>
      </c>
      <c r="K73" s="4">
        <f t="shared" si="33"/>
        <v>695210</v>
      </c>
      <c r="L73" s="4">
        <f t="shared" si="34"/>
        <v>3836300</v>
      </c>
      <c r="M73" s="4">
        <f>P73+S73-780000+390000</f>
        <v>13700</v>
      </c>
      <c r="N73" s="4">
        <f>2170000+780000-380000-570000</f>
        <v>2000000</v>
      </c>
      <c r="O73" s="4">
        <f t="shared" si="35"/>
        <v>7350000</v>
      </c>
      <c r="P73" s="4">
        <f t="shared" si="36"/>
        <v>403700</v>
      </c>
      <c r="Q73" s="4"/>
      <c r="R73" s="4"/>
      <c r="S73" s="4">
        <f t="shared" si="24"/>
        <v>0</v>
      </c>
      <c r="T73" s="4">
        <f t="shared" si="37"/>
        <v>390000</v>
      </c>
      <c r="U73" s="4">
        <f t="shared" si="38"/>
        <v>1610000</v>
      </c>
      <c r="V73" s="4"/>
      <c r="W73" s="4">
        <f t="shared" si="25"/>
        <v>1675822</v>
      </c>
      <c r="X73" s="4"/>
      <c r="Y73" s="4"/>
      <c r="Z73" s="4"/>
      <c r="AA73" s="4">
        <v>-65822</v>
      </c>
      <c r="AB73" s="3" t="s">
        <v>1007</v>
      </c>
      <c r="AC73" s="3">
        <v>720000</v>
      </c>
      <c r="AD73" s="536"/>
      <c r="AE73" s="4">
        <v>650000</v>
      </c>
      <c r="AF73" s="4"/>
      <c r="AG73" s="4"/>
      <c r="AH73" s="4"/>
      <c r="AI73" s="4"/>
      <c r="AJ73" s="4">
        <f t="shared" si="21"/>
        <v>650000</v>
      </c>
      <c r="AK73" s="4">
        <f t="shared" si="26"/>
        <v>960000</v>
      </c>
      <c r="AL73" s="112"/>
      <c r="AM73" s="130"/>
      <c r="AN73" s="4">
        <f t="shared" si="22"/>
        <v>960000</v>
      </c>
      <c r="AO73" s="4"/>
      <c r="AP73" s="4">
        <f t="shared" si="39"/>
        <v>960000</v>
      </c>
      <c r="AQ73" s="4"/>
      <c r="AR73" s="4"/>
      <c r="AS73" s="4"/>
      <c r="AT73" s="4"/>
      <c r="AU73" s="4"/>
      <c r="AV73" s="4"/>
      <c r="AW73" s="4">
        <v>960000</v>
      </c>
      <c r="AX73" s="4">
        <f t="shared" si="27"/>
        <v>0</v>
      </c>
      <c r="AY73" s="4"/>
      <c r="AZ73" s="4">
        <f t="shared" si="28"/>
        <v>0</v>
      </c>
      <c r="BA73" s="4"/>
      <c r="BB73" s="4"/>
      <c r="BC73" s="4"/>
      <c r="BD73" s="4"/>
      <c r="BE73" s="4">
        <f t="shared" si="29"/>
        <v>650000</v>
      </c>
      <c r="BF73" s="4">
        <f t="shared" si="30"/>
        <v>960000</v>
      </c>
      <c r="BG73" s="4"/>
      <c r="BH73" s="4">
        <f t="shared" si="31"/>
        <v>715822</v>
      </c>
      <c r="BI73" s="4"/>
      <c r="BJ73" s="4"/>
      <c r="BK73" s="4"/>
      <c r="BL73" s="4">
        <v>-65822</v>
      </c>
    </row>
    <row r="74" spans="1:64" ht="30" customHeight="1">
      <c r="A74" s="3">
        <f t="shared" si="23"/>
        <v>69</v>
      </c>
      <c r="B74" s="3">
        <v>2242</v>
      </c>
      <c r="C74" s="3" t="s">
        <v>474</v>
      </c>
      <c r="D74" s="4">
        <v>93079</v>
      </c>
      <c r="E74" s="4">
        <v>93079</v>
      </c>
      <c r="F74" s="4">
        <f t="shared" si="32"/>
        <v>0</v>
      </c>
      <c r="G74" s="4">
        <v>93079</v>
      </c>
      <c r="H74" s="4">
        <v>17667</v>
      </c>
      <c r="I74" s="4">
        <v>0</v>
      </c>
      <c r="J74" s="4">
        <v>0</v>
      </c>
      <c r="K74" s="4">
        <f t="shared" si="33"/>
        <v>0</v>
      </c>
      <c r="L74" s="4">
        <f t="shared" si="34"/>
        <v>17667</v>
      </c>
      <c r="M74" s="4">
        <f>P74+S74-75000</f>
        <v>412</v>
      </c>
      <c r="N74" s="4">
        <v>75000</v>
      </c>
      <c r="O74" s="4">
        <f t="shared" si="35"/>
        <v>0</v>
      </c>
      <c r="P74" s="4">
        <f t="shared" si="36"/>
        <v>75412</v>
      </c>
      <c r="Q74" s="4"/>
      <c r="R74" s="4"/>
      <c r="S74" s="4">
        <f t="shared" si="24"/>
        <v>0</v>
      </c>
      <c r="T74" s="4">
        <f t="shared" si="37"/>
        <v>75000</v>
      </c>
      <c r="U74" s="4">
        <f t="shared" si="38"/>
        <v>0</v>
      </c>
      <c r="V74" s="4"/>
      <c r="W74" s="4">
        <f t="shared" si="25"/>
        <v>0</v>
      </c>
      <c r="X74" s="4"/>
      <c r="Y74" s="4"/>
      <c r="Z74" s="4"/>
      <c r="AA74" s="3"/>
      <c r="AB74" s="3" t="s">
        <v>538</v>
      </c>
      <c r="AC74" s="3">
        <v>810000</v>
      </c>
      <c r="AD74" s="4"/>
      <c r="AE74" s="4"/>
      <c r="AF74" s="4"/>
      <c r="AG74" s="4"/>
      <c r="AH74" s="4"/>
      <c r="AI74" s="4"/>
      <c r="AJ74" s="4">
        <f t="shared" si="21"/>
        <v>0</v>
      </c>
      <c r="AK74" s="4">
        <f t="shared" si="26"/>
        <v>0</v>
      </c>
      <c r="AL74" s="112"/>
      <c r="AM74" s="130"/>
      <c r="AN74" s="4">
        <f t="shared" si="22"/>
        <v>0</v>
      </c>
      <c r="AO74" s="4"/>
      <c r="AP74" s="4">
        <f t="shared" si="39"/>
        <v>0</v>
      </c>
      <c r="AQ74" s="4"/>
      <c r="AR74" s="4"/>
      <c r="AS74" s="4"/>
      <c r="AT74" s="4"/>
      <c r="AU74" s="4"/>
      <c r="AV74" s="4"/>
      <c r="AW74" s="4"/>
      <c r="AX74" s="4">
        <f t="shared" si="27"/>
        <v>0</v>
      </c>
      <c r="AY74" s="4"/>
      <c r="AZ74" s="4">
        <f t="shared" si="28"/>
        <v>0</v>
      </c>
      <c r="BA74" s="4"/>
      <c r="BB74" s="4"/>
      <c r="BC74" s="4"/>
      <c r="BD74" s="4"/>
      <c r="BE74" s="4">
        <f t="shared" si="29"/>
        <v>0</v>
      </c>
      <c r="BF74" s="4">
        <f t="shared" si="30"/>
        <v>0</v>
      </c>
      <c r="BG74" s="4"/>
      <c r="BH74" s="4">
        <f t="shared" si="31"/>
        <v>0</v>
      </c>
      <c r="BI74" s="4"/>
      <c r="BJ74" s="4"/>
      <c r="BK74" s="4"/>
      <c r="BL74" s="4"/>
    </row>
    <row r="75" spans="1:64" ht="30" customHeight="1">
      <c r="A75" s="3">
        <f t="shared" si="23"/>
        <v>70</v>
      </c>
      <c r="B75" s="3">
        <v>20020</v>
      </c>
      <c r="C75" s="3" t="s">
        <v>436</v>
      </c>
      <c r="D75" s="4">
        <f>730000+1330000+230000</f>
        <v>2290000</v>
      </c>
      <c r="E75" s="4">
        <f>730000+230000</f>
        <v>960000</v>
      </c>
      <c r="F75" s="4">
        <f t="shared" si="32"/>
        <v>1330000</v>
      </c>
      <c r="G75" s="4">
        <v>730000</v>
      </c>
      <c r="H75" s="4">
        <v>750324</v>
      </c>
      <c r="I75" s="4">
        <v>0</v>
      </c>
      <c r="J75" s="4">
        <f>39667+67181</f>
        <v>106848</v>
      </c>
      <c r="K75" s="4">
        <f t="shared" si="33"/>
        <v>106848</v>
      </c>
      <c r="L75" s="4">
        <f t="shared" si="34"/>
        <v>857172</v>
      </c>
      <c r="M75" s="4">
        <f>P75+S75-100000</f>
        <v>2828</v>
      </c>
      <c r="N75" s="4">
        <f>1330000+100000-730000-100000</f>
        <v>600000</v>
      </c>
      <c r="O75" s="4">
        <f t="shared" si="35"/>
        <v>830000</v>
      </c>
      <c r="P75" s="4">
        <f t="shared" si="36"/>
        <v>-127172</v>
      </c>
      <c r="Q75" s="4"/>
      <c r="R75" s="4">
        <v>230000</v>
      </c>
      <c r="S75" s="4">
        <f t="shared" si="24"/>
        <v>230000</v>
      </c>
      <c r="T75" s="4">
        <f t="shared" si="37"/>
        <v>100000</v>
      </c>
      <c r="U75" s="4">
        <f t="shared" si="38"/>
        <v>500000</v>
      </c>
      <c r="V75" s="4"/>
      <c r="W75" s="4">
        <f t="shared" si="25"/>
        <v>410000</v>
      </c>
      <c r="X75" s="4"/>
      <c r="Y75" s="4"/>
      <c r="Z75" s="4"/>
      <c r="AA75" s="4">
        <v>90000</v>
      </c>
      <c r="AB75" s="290" t="s">
        <v>1008</v>
      </c>
      <c r="AC75" s="3">
        <v>720000</v>
      </c>
      <c r="AD75" s="4"/>
      <c r="AE75" s="4">
        <v>500000</v>
      </c>
      <c r="AF75" s="4"/>
      <c r="AG75" s="4"/>
      <c r="AH75" s="4"/>
      <c r="AI75" s="4"/>
      <c r="AJ75" s="4">
        <f t="shared" si="21"/>
        <v>500000</v>
      </c>
      <c r="AK75" s="4">
        <f t="shared" si="26"/>
        <v>0</v>
      </c>
      <c r="AL75" s="112"/>
      <c r="AM75" s="130"/>
      <c r="AN75" s="4">
        <f t="shared" si="22"/>
        <v>0</v>
      </c>
      <c r="AO75" s="4"/>
      <c r="AP75" s="4">
        <f t="shared" si="39"/>
        <v>0</v>
      </c>
      <c r="AQ75" s="4"/>
      <c r="AR75" s="4"/>
      <c r="AS75" s="4"/>
      <c r="AT75" s="4"/>
      <c r="AU75" s="4"/>
      <c r="AV75" s="4"/>
      <c r="AW75" s="4"/>
      <c r="AX75" s="4">
        <f t="shared" si="27"/>
        <v>0</v>
      </c>
      <c r="AY75" s="4"/>
      <c r="AZ75" s="4">
        <f t="shared" si="28"/>
        <v>0</v>
      </c>
      <c r="BA75" s="4"/>
      <c r="BB75" s="4"/>
      <c r="BC75" s="4"/>
      <c r="BD75" s="4"/>
      <c r="BE75" s="4">
        <f t="shared" si="29"/>
        <v>500000</v>
      </c>
      <c r="BF75" s="4">
        <f t="shared" si="30"/>
        <v>0</v>
      </c>
      <c r="BG75" s="4"/>
      <c r="BH75" s="4">
        <f t="shared" si="31"/>
        <v>410000</v>
      </c>
      <c r="BI75" s="4"/>
      <c r="BJ75" s="4"/>
      <c r="BK75" s="4"/>
      <c r="BL75" s="4">
        <v>90000</v>
      </c>
    </row>
    <row r="76" spans="1:64" ht="30" customHeight="1">
      <c r="A76" s="3">
        <f t="shared" si="23"/>
        <v>71</v>
      </c>
      <c r="B76" s="3">
        <v>20021</v>
      </c>
      <c r="C76" s="3" t="s">
        <v>437</v>
      </c>
      <c r="D76" s="4">
        <f>8000000+5000000</f>
        <v>13000000</v>
      </c>
      <c r="E76" s="4">
        <v>8000000</v>
      </c>
      <c r="F76" s="4">
        <f t="shared" si="32"/>
        <v>5000000</v>
      </c>
      <c r="G76" s="4">
        <v>7000000</v>
      </c>
      <c r="H76" s="4">
        <v>3832154</v>
      </c>
      <c r="I76" s="4">
        <v>0</v>
      </c>
      <c r="J76" s="4">
        <f>1544563-1278</f>
        <v>1543285</v>
      </c>
      <c r="K76" s="4">
        <f t="shared" si="33"/>
        <v>1543285</v>
      </c>
      <c r="L76" s="4">
        <f t="shared" si="34"/>
        <v>5375439</v>
      </c>
      <c r="M76" s="4">
        <f>P76+S76-1620000</f>
        <v>4561</v>
      </c>
      <c r="N76" s="4">
        <f>5500000+1620000-5500000-1620000</f>
        <v>0</v>
      </c>
      <c r="O76" s="4">
        <f t="shared" si="35"/>
        <v>7620000</v>
      </c>
      <c r="P76" s="4">
        <f t="shared" si="36"/>
        <v>1624561</v>
      </c>
      <c r="Q76" s="4"/>
      <c r="R76" s="4"/>
      <c r="S76" s="4">
        <f t="shared" si="24"/>
        <v>0</v>
      </c>
      <c r="T76" s="4">
        <f t="shared" si="37"/>
        <v>1620000</v>
      </c>
      <c r="U76" s="4">
        <f t="shared" si="38"/>
        <v>-1620000</v>
      </c>
      <c r="V76" s="4"/>
      <c r="W76" s="4">
        <f t="shared" si="25"/>
        <v>-1620000</v>
      </c>
      <c r="X76" s="4"/>
      <c r="Y76" s="4"/>
      <c r="Z76" s="4"/>
      <c r="AA76" s="3"/>
      <c r="AB76" s="3" t="s">
        <v>438</v>
      </c>
      <c r="AC76" s="3">
        <v>742000</v>
      </c>
      <c r="AD76" s="4">
        <v>-1620000</v>
      </c>
      <c r="AE76" s="4"/>
      <c r="AF76" s="4"/>
      <c r="AG76" s="4"/>
      <c r="AH76" s="4"/>
      <c r="AI76" s="4"/>
      <c r="AJ76" s="4">
        <f t="shared" si="21"/>
        <v>-1620000</v>
      </c>
      <c r="AK76" s="4">
        <f t="shared" si="26"/>
        <v>0</v>
      </c>
      <c r="AL76" s="112"/>
      <c r="AM76" s="130"/>
      <c r="AN76" s="4">
        <f t="shared" si="22"/>
        <v>0</v>
      </c>
      <c r="AO76" s="4"/>
      <c r="AP76" s="4">
        <f t="shared" si="39"/>
        <v>0</v>
      </c>
      <c r="AQ76" s="4"/>
      <c r="AR76" s="4"/>
      <c r="AS76" s="4"/>
      <c r="AT76" s="4"/>
      <c r="AU76" s="4"/>
      <c r="AV76" s="4"/>
      <c r="AW76" s="4"/>
      <c r="AX76" s="4">
        <f t="shared" si="27"/>
        <v>0</v>
      </c>
      <c r="AY76" s="4"/>
      <c r="AZ76" s="4">
        <f t="shared" si="28"/>
        <v>0</v>
      </c>
      <c r="BA76" s="4"/>
      <c r="BB76" s="4"/>
      <c r="BC76" s="4"/>
      <c r="BD76" s="4"/>
      <c r="BE76" s="4">
        <f t="shared" si="29"/>
        <v>-1620000</v>
      </c>
      <c r="BF76" s="4">
        <f t="shared" si="30"/>
        <v>0</v>
      </c>
      <c r="BG76" s="4"/>
      <c r="BH76" s="4">
        <f t="shared" si="31"/>
        <v>-1620000</v>
      </c>
      <c r="BI76" s="4"/>
      <c r="BJ76" s="4"/>
      <c r="BK76" s="4"/>
      <c r="BL76" s="4"/>
    </row>
    <row r="77" spans="1:64" ht="30" customHeight="1">
      <c r="A77" s="3">
        <f t="shared" si="23"/>
        <v>72</v>
      </c>
      <c r="B77" s="3">
        <v>20022</v>
      </c>
      <c r="C77" s="3" t="s">
        <v>1475</v>
      </c>
      <c r="D77" s="4">
        <f>180000-180000</f>
        <v>0</v>
      </c>
      <c r="E77" s="4">
        <v>180000</v>
      </c>
      <c r="F77" s="4">
        <f t="shared" si="32"/>
        <v>-180000</v>
      </c>
      <c r="G77" s="4">
        <v>0</v>
      </c>
      <c r="H77" s="4">
        <v>0</v>
      </c>
      <c r="I77" s="4">
        <v>0</v>
      </c>
      <c r="J77" s="4">
        <v>0</v>
      </c>
      <c r="K77" s="4">
        <f t="shared" si="33"/>
        <v>0</v>
      </c>
      <c r="L77" s="4">
        <f t="shared" si="34"/>
        <v>0</v>
      </c>
      <c r="M77" s="4">
        <f>P77+S77</f>
        <v>0</v>
      </c>
      <c r="N77" s="4">
        <f>560000-560000</f>
        <v>0</v>
      </c>
      <c r="O77" s="4">
        <f t="shared" si="35"/>
        <v>0</v>
      </c>
      <c r="P77" s="4">
        <f t="shared" si="36"/>
        <v>0</v>
      </c>
      <c r="Q77" s="4"/>
      <c r="R77" s="4"/>
      <c r="S77" s="4">
        <f t="shared" si="24"/>
        <v>0</v>
      </c>
      <c r="T77" s="4">
        <f t="shared" si="37"/>
        <v>0</v>
      </c>
      <c r="U77" s="4">
        <f t="shared" si="38"/>
        <v>0</v>
      </c>
      <c r="V77" s="4"/>
      <c r="W77" s="4">
        <f t="shared" si="25"/>
        <v>0</v>
      </c>
      <c r="X77" s="4"/>
      <c r="Y77" s="4"/>
      <c r="Z77" s="4"/>
      <c r="AA77" s="3"/>
      <c r="AB77" s="3" t="s">
        <v>1009</v>
      </c>
      <c r="AC77" s="3">
        <v>747000</v>
      </c>
      <c r="AD77" s="4"/>
      <c r="AE77" s="4"/>
      <c r="AF77" s="4"/>
      <c r="AG77" s="4"/>
      <c r="AH77" s="4"/>
      <c r="AI77" s="4"/>
      <c r="AJ77" s="4">
        <f t="shared" si="21"/>
        <v>0</v>
      </c>
      <c r="AK77" s="4">
        <f t="shared" si="26"/>
        <v>0</v>
      </c>
      <c r="AL77" s="112"/>
      <c r="AM77" s="130"/>
      <c r="AN77" s="4">
        <f t="shared" si="22"/>
        <v>0</v>
      </c>
      <c r="AO77" s="4"/>
      <c r="AP77" s="4">
        <f t="shared" si="39"/>
        <v>0</v>
      </c>
      <c r="AQ77" s="4"/>
      <c r="AR77" s="4"/>
      <c r="AS77" s="4"/>
      <c r="AT77" s="4"/>
      <c r="AU77" s="4"/>
      <c r="AV77" s="4"/>
      <c r="AW77" s="4"/>
      <c r="AX77" s="4">
        <f t="shared" si="27"/>
        <v>0</v>
      </c>
      <c r="AY77" s="4"/>
      <c r="AZ77" s="4">
        <f t="shared" si="28"/>
        <v>0</v>
      </c>
      <c r="BA77" s="4"/>
      <c r="BB77" s="4"/>
      <c r="BC77" s="4"/>
      <c r="BD77" s="4"/>
      <c r="BE77" s="4">
        <f t="shared" si="29"/>
        <v>0</v>
      </c>
      <c r="BF77" s="4">
        <f t="shared" si="30"/>
        <v>0</v>
      </c>
      <c r="BG77" s="4"/>
      <c r="BH77" s="4">
        <f t="shared" si="31"/>
        <v>0</v>
      </c>
      <c r="BI77" s="4"/>
      <c r="BJ77" s="4"/>
      <c r="BK77" s="4"/>
      <c r="BL77" s="4"/>
    </row>
    <row r="78" spans="1:64" ht="30" customHeight="1">
      <c r="A78" s="3">
        <f t="shared" si="23"/>
        <v>73</v>
      </c>
      <c r="B78" s="3">
        <v>20023</v>
      </c>
      <c r="C78" s="3" t="s">
        <v>1181</v>
      </c>
      <c r="D78" s="4">
        <v>200000</v>
      </c>
      <c r="E78" s="4">
        <v>200000</v>
      </c>
      <c r="F78" s="4">
        <f t="shared" si="32"/>
        <v>0</v>
      </c>
      <c r="G78" s="4">
        <v>200000</v>
      </c>
      <c r="H78" s="4">
        <v>0</v>
      </c>
      <c r="I78" s="4">
        <v>0</v>
      </c>
      <c r="J78" s="4">
        <v>200000</v>
      </c>
      <c r="K78" s="4">
        <f t="shared" si="33"/>
        <v>200000</v>
      </c>
      <c r="L78" s="4">
        <f t="shared" si="34"/>
        <v>200000</v>
      </c>
      <c r="M78" s="4">
        <f>P78+S78</f>
        <v>0</v>
      </c>
      <c r="N78" s="4"/>
      <c r="O78" s="4">
        <f t="shared" si="35"/>
        <v>0</v>
      </c>
      <c r="P78" s="4">
        <f t="shared" si="36"/>
        <v>0</v>
      </c>
      <c r="Q78" s="4"/>
      <c r="R78" s="4"/>
      <c r="S78" s="4">
        <f t="shared" si="24"/>
        <v>0</v>
      </c>
      <c r="T78" s="4">
        <f t="shared" si="37"/>
        <v>0</v>
      </c>
      <c r="U78" s="4">
        <f t="shared" si="38"/>
        <v>0</v>
      </c>
      <c r="V78" s="4"/>
      <c r="W78" s="4">
        <f>U78-AA78-V78-Y78</f>
        <v>0</v>
      </c>
      <c r="X78" s="4"/>
      <c r="Y78" s="4"/>
      <c r="Z78" s="4"/>
      <c r="AA78" s="3"/>
      <c r="AB78" s="3" t="s">
        <v>1010</v>
      </c>
      <c r="AC78" s="3">
        <v>747000</v>
      </c>
      <c r="AD78" s="4"/>
      <c r="AE78" s="4"/>
      <c r="AF78" s="4"/>
      <c r="AG78" s="4"/>
      <c r="AH78" s="4"/>
      <c r="AI78" s="4"/>
      <c r="AJ78" s="4">
        <f t="shared" si="21"/>
        <v>0</v>
      </c>
      <c r="AK78" s="4">
        <f t="shared" si="26"/>
        <v>0</v>
      </c>
      <c r="AL78" s="112"/>
      <c r="AM78" s="130"/>
      <c r="AN78" s="4">
        <f t="shared" si="22"/>
        <v>0</v>
      </c>
      <c r="AO78" s="4"/>
      <c r="AP78" s="4">
        <f t="shared" si="39"/>
        <v>0</v>
      </c>
      <c r="AQ78" s="4"/>
      <c r="AR78" s="4"/>
      <c r="AS78" s="4"/>
      <c r="AT78" s="4"/>
      <c r="AU78" s="4"/>
      <c r="AV78" s="4"/>
      <c r="AW78" s="4"/>
      <c r="AX78" s="4">
        <f t="shared" si="27"/>
        <v>0</v>
      </c>
      <c r="AY78" s="4"/>
      <c r="AZ78" s="4">
        <f t="shared" si="28"/>
        <v>0</v>
      </c>
      <c r="BA78" s="4"/>
      <c r="BB78" s="4"/>
      <c r="BC78" s="4"/>
      <c r="BD78" s="4"/>
      <c r="BE78" s="4">
        <f t="shared" si="29"/>
        <v>0</v>
      </c>
      <c r="BF78" s="4">
        <f t="shared" si="30"/>
        <v>0</v>
      </c>
      <c r="BG78" s="4"/>
      <c r="BH78" s="4">
        <f t="shared" si="31"/>
        <v>0</v>
      </c>
      <c r="BI78" s="4"/>
      <c r="BJ78" s="4"/>
      <c r="BK78" s="4"/>
      <c r="BL78" s="4"/>
    </row>
    <row r="79" spans="1:64" ht="30" customHeight="1">
      <c r="A79" s="3">
        <f t="shared" si="23"/>
        <v>74</v>
      </c>
      <c r="B79" s="3">
        <v>20027</v>
      </c>
      <c r="C79" s="3" t="s">
        <v>1182</v>
      </c>
      <c r="D79" s="4">
        <v>82800</v>
      </c>
      <c r="E79" s="4">
        <v>82800</v>
      </c>
      <c r="F79" s="4">
        <f t="shared" si="32"/>
        <v>0</v>
      </c>
      <c r="G79" s="4">
        <v>82800</v>
      </c>
      <c r="H79" s="4">
        <v>62950</v>
      </c>
      <c r="I79" s="4">
        <v>0</v>
      </c>
      <c r="J79" s="4">
        <v>0</v>
      </c>
      <c r="K79" s="4">
        <f t="shared" si="33"/>
        <v>0</v>
      </c>
      <c r="L79" s="4">
        <f t="shared" si="34"/>
        <v>62950</v>
      </c>
      <c r="M79" s="4">
        <f>P79+S79-19850</f>
        <v>0</v>
      </c>
      <c r="N79" s="4">
        <v>19850</v>
      </c>
      <c r="O79" s="4">
        <f t="shared" si="35"/>
        <v>0</v>
      </c>
      <c r="P79" s="4">
        <f t="shared" si="36"/>
        <v>19850</v>
      </c>
      <c r="Q79" s="4"/>
      <c r="R79" s="4"/>
      <c r="S79" s="4">
        <f t="shared" si="24"/>
        <v>0</v>
      </c>
      <c r="T79" s="4">
        <f t="shared" si="37"/>
        <v>19850</v>
      </c>
      <c r="U79" s="4">
        <f t="shared" si="38"/>
        <v>0</v>
      </c>
      <c r="V79" s="4"/>
      <c r="W79" s="4">
        <f t="shared" si="25"/>
        <v>0</v>
      </c>
      <c r="X79" s="4"/>
      <c r="Y79" s="4"/>
      <c r="Z79" s="4"/>
      <c r="AA79" s="3"/>
      <c r="AB79" s="3" t="s">
        <v>360</v>
      </c>
      <c r="AC79" s="3">
        <v>747000</v>
      </c>
      <c r="AD79" s="4"/>
      <c r="AE79" s="4"/>
      <c r="AF79" s="4"/>
      <c r="AG79" s="4"/>
      <c r="AH79" s="4"/>
      <c r="AI79" s="4"/>
      <c r="AJ79" s="4">
        <f t="shared" si="21"/>
        <v>0</v>
      </c>
      <c r="AK79" s="4">
        <f t="shared" si="26"/>
        <v>0</v>
      </c>
      <c r="AL79" s="112"/>
      <c r="AM79" s="130"/>
      <c r="AN79" s="4">
        <f t="shared" si="22"/>
        <v>0</v>
      </c>
      <c r="AO79" s="4"/>
      <c r="AP79" s="4">
        <f t="shared" si="39"/>
        <v>0</v>
      </c>
      <c r="AQ79" s="4"/>
      <c r="AR79" s="4"/>
      <c r="AS79" s="4"/>
      <c r="AT79" s="4"/>
      <c r="AU79" s="4"/>
      <c r="AV79" s="4"/>
      <c r="AW79" s="4"/>
      <c r="AX79" s="4">
        <f t="shared" si="27"/>
        <v>0</v>
      </c>
      <c r="AY79" s="4"/>
      <c r="AZ79" s="4">
        <f t="shared" si="28"/>
        <v>0</v>
      </c>
      <c r="BA79" s="4"/>
      <c r="BB79" s="4"/>
      <c r="BC79" s="4"/>
      <c r="BD79" s="4"/>
      <c r="BE79" s="4">
        <f t="shared" si="29"/>
        <v>0</v>
      </c>
      <c r="BF79" s="4">
        <f t="shared" si="30"/>
        <v>0</v>
      </c>
      <c r="BG79" s="4"/>
      <c r="BH79" s="4">
        <f t="shared" si="31"/>
        <v>0</v>
      </c>
      <c r="BI79" s="4"/>
      <c r="BJ79" s="4"/>
      <c r="BK79" s="4"/>
      <c r="BL79" s="4"/>
    </row>
    <row r="80" spans="1:64" ht="30" customHeight="1">
      <c r="A80" s="3">
        <f t="shared" si="23"/>
        <v>75</v>
      </c>
      <c r="B80" s="3">
        <v>20029</v>
      </c>
      <c r="C80" s="3" t="s">
        <v>439</v>
      </c>
      <c r="D80" s="4">
        <f>2000000+1500000</f>
        <v>3500000</v>
      </c>
      <c r="E80" s="4">
        <v>2000000</v>
      </c>
      <c r="F80" s="4">
        <f t="shared" si="32"/>
        <v>1500000</v>
      </c>
      <c r="G80" s="4">
        <v>1350000</v>
      </c>
      <c r="H80" s="4">
        <v>1311285</v>
      </c>
      <c r="I80" s="4">
        <v>0</v>
      </c>
      <c r="J80" s="4"/>
      <c r="K80" s="4">
        <f t="shared" si="33"/>
        <v>0</v>
      </c>
      <c r="L80" s="4">
        <f t="shared" si="34"/>
        <v>1311285</v>
      </c>
      <c r="M80" s="4">
        <f>P80+S80-180000</f>
        <v>8715</v>
      </c>
      <c r="N80" s="4">
        <f>1500000-820000-280000</f>
        <v>400000</v>
      </c>
      <c r="O80" s="4">
        <f t="shared" si="35"/>
        <v>1780000</v>
      </c>
      <c r="P80" s="4">
        <f t="shared" si="36"/>
        <v>38715</v>
      </c>
      <c r="Q80" s="4">
        <v>150000</v>
      </c>
      <c r="R80" s="4"/>
      <c r="S80" s="4">
        <f t="shared" si="24"/>
        <v>150000</v>
      </c>
      <c r="T80" s="4">
        <f t="shared" si="37"/>
        <v>180000</v>
      </c>
      <c r="U80" s="4">
        <f t="shared" si="38"/>
        <v>220000</v>
      </c>
      <c r="V80" s="4"/>
      <c r="W80" s="4">
        <f>U80-AA80-V80-Y80</f>
        <v>220000</v>
      </c>
      <c r="X80" s="4"/>
      <c r="Y80" s="4"/>
      <c r="Z80" s="4"/>
      <c r="AA80" s="3"/>
      <c r="AB80" s="3" t="s">
        <v>557</v>
      </c>
      <c r="AC80" s="3">
        <v>848000</v>
      </c>
      <c r="AD80" s="4"/>
      <c r="AE80" s="4"/>
      <c r="AF80" s="4"/>
      <c r="AG80" s="4">
        <v>220000</v>
      </c>
      <c r="AH80" s="4"/>
      <c r="AI80" s="4"/>
      <c r="AJ80" s="4">
        <f t="shared" si="21"/>
        <v>220000</v>
      </c>
      <c r="AK80" s="4">
        <f t="shared" si="26"/>
        <v>0</v>
      </c>
      <c r="AL80" s="112"/>
      <c r="AM80" s="130"/>
      <c r="AN80" s="4">
        <f t="shared" si="22"/>
        <v>0</v>
      </c>
      <c r="AO80" s="4"/>
      <c r="AP80" s="4">
        <f t="shared" si="39"/>
        <v>0</v>
      </c>
      <c r="AQ80" s="4"/>
      <c r="AR80" s="4"/>
      <c r="AS80" s="4"/>
      <c r="AT80" s="4"/>
      <c r="AU80" s="4"/>
      <c r="AV80" s="4"/>
      <c r="AW80" s="4"/>
      <c r="AX80" s="4">
        <f t="shared" si="27"/>
        <v>0</v>
      </c>
      <c r="AY80" s="4"/>
      <c r="AZ80" s="4">
        <f t="shared" si="28"/>
        <v>0</v>
      </c>
      <c r="BA80" s="4"/>
      <c r="BB80" s="4"/>
      <c r="BC80" s="4"/>
      <c r="BD80" s="4"/>
      <c r="BE80" s="4">
        <f t="shared" si="29"/>
        <v>220000</v>
      </c>
      <c r="BF80" s="4">
        <f t="shared" si="30"/>
        <v>0</v>
      </c>
      <c r="BG80" s="4"/>
      <c r="BH80" s="4">
        <f t="shared" si="31"/>
        <v>220000</v>
      </c>
      <c r="BI80" s="4"/>
      <c r="BJ80" s="4"/>
      <c r="BK80" s="4"/>
      <c r="BL80" s="4"/>
    </row>
    <row r="81" spans="1:64" ht="30" customHeight="1">
      <c r="A81" s="3">
        <f t="shared" si="23"/>
        <v>76</v>
      </c>
      <c r="B81" s="3">
        <v>20030</v>
      </c>
      <c r="C81" s="3" t="s">
        <v>440</v>
      </c>
      <c r="D81" s="4">
        <f>45150000+10000000+700000-800000</f>
        <v>55050000</v>
      </c>
      <c r="E81" s="4">
        <f>45150000+2700000</f>
        <v>47850000</v>
      </c>
      <c r="F81" s="4">
        <f t="shared" si="32"/>
        <v>7200000</v>
      </c>
      <c r="G81" s="4">
        <v>45150000</v>
      </c>
      <c r="H81" s="4">
        <v>44532460</v>
      </c>
      <c r="I81" s="4">
        <v>0</v>
      </c>
      <c r="J81" s="4">
        <f>26823+76966+118416+24912+1831+15756+1056+3874+149580+198520+31839+8967+139698+58207+58207</f>
        <v>914652</v>
      </c>
      <c r="K81" s="4">
        <f t="shared" si="33"/>
        <v>914652</v>
      </c>
      <c r="L81" s="4">
        <f t="shared" si="34"/>
        <v>45447112</v>
      </c>
      <c r="M81" s="4">
        <f>P81+S81-2000000-200000-150000-50000</f>
        <v>2888</v>
      </c>
      <c r="N81" s="360">
        <f>31000000-21000000-450000+50000</f>
        <v>9600000</v>
      </c>
      <c r="O81" s="4">
        <f t="shared" si="35"/>
        <v>0</v>
      </c>
      <c r="P81" s="4">
        <f t="shared" si="36"/>
        <v>-297112</v>
      </c>
      <c r="Q81" s="360"/>
      <c r="R81" s="360">
        <v>2700000</v>
      </c>
      <c r="S81" s="360">
        <f t="shared" si="24"/>
        <v>2700000</v>
      </c>
      <c r="T81" s="360">
        <f t="shared" si="37"/>
        <v>2400000</v>
      </c>
      <c r="U81" s="4">
        <f t="shared" si="38"/>
        <v>7200000</v>
      </c>
      <c r="V81" s="4">
        <v>1450000</v>
      </c>
      <c r="W81" s="4">
        <f>U81-AA81-V81-Y81</f>
        <v>5139500</v>
      </c>
      <c r="X81" s="4"/>
      <c r="Y81" s="4"/>
      <c r="Z81" s="4"/>
      <c r="AA81" s="4">
        <f>40500+285000+114000+171000</f>
        <v>610500</v>
      </c>
      <c r="AB81" s="3" t="s">
        <v>708</v>
      </c>
      <c r="AC81" s="3">
        <v>810000</v>
      </c>
      <c r="AD81" s="4"/>
      <c r="AE81" s="4"/>
      <c r="AF81" s="4">
        <v>2500000</v>
      </c>
      <c r="AG81" s="4">
        <v>1239500</v>
      </c>
      <c r="AH81" s="4"/>
      <c r="AI81" s="4"/>
      <c r="AJ81" s="4">
        <f t="shared" si="21"/>
        <v>3739500</v>
      </c>
      <c r="AK81" s="8">
        <f t="shared" si="26"/>
        <v>3460500</v>
      </c>
      <c r="AL81" s="112"/>
      <c r="AM81" s="130">
        <v>-3289500</v>
      </c>
      <c r="AN81" s="4">
        <f t="shared" si="22"/>
        <v>171000</v>
      </c>
      <c r="AO81" s="4"/>
      <c r="AP81" s="4">
        <f t="shared" si="39"/>
        <v>0</v>
      </c>
      <c r="AQ81" s="4"/>
      <c r="AR81" s="4"/>
      <c r="AS81" s="4"/>
      <c r="AT81" s="4">
        <v>171000</v>
      </c>
      <c r="AU81" s="4"/>
      <c r="AV81" s="4"/>
      <c r="AW81" s="4">
        <v>171000</v>
      </c>
      <c r="AX81" s="4">
        <f t="shared" si="27"/>
        <v>0</v>
      </c>
      <c r="AY81" s="4"/>
      <c r="AZ81" s="4">
        <f t="shared" si="28"/>
        <v>0</v>
      </c>
      <c r="BA81" s="4"/>
      <c r="BB81" s="4"/>
      <c r="BC81" s="4"/>
      <c r="BD81" s="4"/>
      <c r="BE81" s="4">
        <f t="shared" si="29"/>
        <v>3739500</v>
      </c>
      <c r="BF81" s="4">
        <f t="shared" si="30"/>
        <v>3460500</v>
      </c>
      <c r="BG81" s="4">
        <v>1239500</v>
      </c>
      <c r="BH81" s="4">
        <f t="shared" si="31"/>
        <v>2060500</v>
      </c>
      <c r="BI81" s="4"/>
      <c r="BJ81" s="4"/>
      <c r="BK81" s="4"/>
      <c r="BL81" s="4">
        <f>40500+285000+114000</f>
        <v>439500</v>
      </c>
    </row>
    <row r="82" spans="1:64" ht="30" customHeight="1">
      <c r="A82" s="3">
        <f t="shared" si="23"/>
        <v>77</v>
      </c>
      <c r="B82" s="3">
        <v>20032</v>
      </c>
      <c r="C82" s="3" t="s">
        <v>441</v>
      </c>
      <c r="D82" s="4">
        <f>4850000-1290000</f>
        <v>3560000</v>
      </c>
      <c r="E82" s="4">
        <v>4850000</v>
      </c>
      <c r="F82" s="4">
        <f t="shared" si="32"/>
        <v>-1290000</v>
      </c>
      <c r="G82" s="4">
        <v>3560000</v>
      </c>
      <c r="H82" s="4">
        <v>1237617</v>
      </c>
      <c r="I82" s="4">
        <v>2308424</v>
      </c>
      <c r="J82" s="4">
        <v>7561</v>
      </c>
      <c r="K82" s="4">
        <f t="shared" si="33"/>
        <v>2315985</v>
      </c>
      <c r="L82" s="4">
        <f t="shared" si="34"/>
        <v>3553602</v>
      </c>
      <c r="M82" s="4">
        <f>P82+S82</f>
        <v>6398</v>
      </c>
      <c r="N82" s="4"/>
      <c r="O82" s="4">
        <f t="shared" si="35"/>
        <v>0</v>
      </c>
      <c r="P82" s="4">
        <f t="shared" si="36"/>
        <v>6398</v>
      </c>
      <c r="Q82" s="4"/>
      <c r="R82" s="4"/>
      <c r="S82" s="4">
        <f t="shared" si="24"/>
        <v>0</v>
      </c>
      <c r="T82" s="4">
        <f t="shared" si="37"/>
        <v>0</v>
      </c>
      <c r="U82" s="4">
        <f t="shared" si="38"/>
        <v>0</v>
      </c>
      <c r="V82" s="4"/>
      <c r="W82" s="4">
        <f>U82-AA82-V82-Y82</f>
        <v>0</v>
      </c>
      <c r="X82" s="4"/>
      <c r="Y82" s="4"/>
      <c r="Z82" s="4"/>
      <c r="AA82" s="3"/>
      <c r="AB82" s="3" t="s">
        <v>738</v>
      </c>
      <c r="AC82" s="3">
        <v>829000</v>
      </c>
      <c r="AD82" s="4"/>
      <c r="AE82" s="4"/>
      <c r="AF82" s="4"/>
      <c r="AG82" s="4"/>
      <c r="AH82" s="4"/>
      <c r="AI82" s="4"/>
      <c r="AJ82" s="4">
        <f t="shared" si="21"/>
        <v>0</v>
      </c>
      <c r="AK82" s="4">
        <f t="shared" si="26"/>
        <v>0</v>
      </c>
      <c r="AL82" s="112"/>
      <c r="AM82" s="130"/>
      <c r="AN82" s="4">
        <f t="shared" si="22"/>
        <v>0</v>
      </c>
      <c r="AO82" s="4"/>
      <c r="AP82" s="4">
        <f t="shared" si="39"/>
        <v>0</v>
      </c>
      <c r="AQ82" s="4"/>
      <c r="AR82" s="4"/>
      <c r="AS82" s="4"/>
      <c r="AT82" s="4"/>
      <c r="AU82" s="4"/>
      <c r="AV82" s="4"/>
      <c r="AW82" s="4"/>
      <c r="AX82" s="4">
        <f t="shared" si="27"/>
        <v>0</v>
      </c>
      <c r="AY82" s="4"/>
      <c r="AZ82" s="4">
        <f t="shared" si="28"/>
        <v>0</v>
      </c>
      <c r="BA82" s="4"/>
      <c r="BB82" s="4"/>
      <c r="BC82" s="4"/>
      <c r="BD82" s="4"/>
      <c r="BE82" s="4">
        <f t="shared" si="29"/>
        <v>0</v>
      </c>
      <c r="BF82" s="4">
        <f t="shared" si="30"/>
        <v>0</v>
      </c>
      <c r="BG82" s="4"/>
      <c r="BH82" s="4">
        <f t="shared" si="31"/>
        <v>0</v>
      </c>
      <c r="BI82" s="4"/>
      <c r="BJ82" s="4"/>
      <c r="BK82" s="4"/>
      <c r="BL82" s="4"/>
    </row>
    <row r="83" spans="1:64" ht="30" customHeight="1">
      <c r="A83" s="3">
        <f t="shared" si="23"/>
        <v>78</v>
      </c>
      <c r="B83" s="3">
        <v>20034</v>
      </c>
      <c r="C83" s="3" t="s">
        <v>619</v>
      </c>
      <c r="D83" s="4">
        <v>4000000</v>
      </c>
      <c r="E83" s="4">
        <v>4000000</v>
      </c>
      <c r="F83" s="4">
        <f t="shared" si="32"/>
        <v>0</v>
      </c>
      <c r="G83" s="4">
        <v>3000000</v>
      </c>
      <c r="H83" s="4">
        <v>1584796</v>
      </c>
      <c r="I83" s="4">
        <v>0</v>
      </c>
      <c r="J83" s="4"/>
      <c r="K83" s="4">
        <f t="shared" si="33"/>
        <v>0</v>
      </c>
      <c r="L83" s="4">
        <f t="shared" si="34"/>
        <v>1584796</v>
      </c>
      <c r="M83" s="4">
        <f>P83+S83-1400000</f>
        <v>15204</v>
      </c>
      <c r="N83" s="4">
        <v>1400000</v>
      </c>
      <c r="O83" s="4">
        <f t="shared" si="35"/>
        <v>1000000</v>
      </c>
      <c r="P83" s="4">
        <f t="shared" si="36"/>
        <v>1415204</v>
      </c>
      <c r="Q83" s="4"/>
      <c r="R83" s="4"/>
      <c r="S83" s="4">
        <f t="shared" si="24"/>
        <v>0</v>
      </c>
      <c r="T83" s="4">
        <f t="shared" si="37"/>
        <v>1400000</v>
      </c>
      <c r="U83" s="4">
        <f t="shared" si="38"/>
        <v>0</v>
      </c>
      <c r="V83" s="4"/>
      <c r="W83" s="4">
        <f>U83-AA83-V83-Y83</f>
        <v>0</v>
      </c>
      <c r="X83" s="4"/>
      <c r="Y83" s="4"/>
      <c r="Z83" s="4"/>
      <c r="AA83" s="3"/>
      <c r="AB83" s="3" t="s">
        <v>503</v>
      </c>
      <c r="AC83" s="3">
        <v>828000</v>
      </c>
      <c r="AD83" s="4"/>
      <c r="AE83" s="4"/>
      <c r="AF83" s="4"/>
      <c r="AG83" s="4"/>
      <c r="AH83" s="4"/>
      <c r="AI83" s="4"/>
      <c r="AJ83" s="4">
        <f t="shared" si="21"/>
        <v>0</v>
      </c>
      <c r="AK83" s="4">
        <f t="shared" si="26"/>
        <v>0</v>
      </c>
      <c r="AL83" s="112"/>
      <c r="AM83" s="130"/>
      <c r="AN83" s="4">
        <f t="shared" si="22"/>
        <v>0</v>
      </c>
      <c r="AO83" s="4"/>
      <c r="AP83" s="4">
        <f t="shared" si="39"/>
        <v>0</v>
      </c>
      <c r="AQ83" s="4"/>
      <c r="AR83" s="4"/>
      <c r="AS83" s="4"/>
      <c r="AT83" s="4"/>
      <c r="AU83" s="4"/>
      <c r="AV83" s="4"/>
      <c r="AW83" s="4"/>
      <c r="AX83" s="4">
        <f t="shared" si="27"/>
        <v>0</v>
      </c>
      <c r="AY83" s="4"/>
      <c r="AZ83" s="4">
        <f t="shared" si="28"/>
        <v>0</v>
      </c>
      <c r="BA83" s="4"/>
      <c r="BB83" s="4"/>
      <c r="BC83" s="4"/>
      <c r="BD83" s="4"/>
      <c r="BE83" s="4">
        <f t="shared" si="29"/>
        <v>0</v>
      </c>
      <c r="BF83" s="4">
        <f t="shared" si="30"/>
        <v>0</v>
      </c>
      <c r="BG83" s="4"/>
      <c r="BH83" s="4">
        <f t="shared" si="31"/>
        <v>0</v>
      </c>
      <c r="BI83" s="4"/>
      <c r="BJ83" s="4"/>
      <c r="BK83" s="4"/>
      <c r="BL83" s="4"/>
    </row>
    <row r="84" spans="1:64" ht="30" customHeight="1">
      <c r="A84" s="3">
        <f t="shared" si="23"/>
        <v>79</v>
      </c>
      <c r="B84" s="3">
        <v>20036</v>
      </c>
      <c r="C84" s="3" t="s">
        <v>1183</v>
      </c>
      <c r="D84" s="4">
        <f>6375000-2464</f>
        <v>6372536</v>
      </c>
      <c r="E84" s="4">
        <v>6375000</v>
      </c>
      <c r="F84" s="4">
        <f t="shared" si="32"/>
        <v>-2464</v>
      </c>
      <c r="G84" s="4">
        <v>6375000</v>
      </c>
      <c r="H84" s="4">
        <v>6372536</v>
      </c>
      <c r="I84" s="4">
        <v>0</v>
      </c>
      <c r="J84" s="4"/>
      <c r="K84" s="4">
        <f t="shared" si="33"/>
        <v>0</v>
      </c>
      <c r="L84" s="4">
        <f t="shared" si="34"/>
        <v>6372536</v>
      </c>
      <c r="M84" s="4">
        <f>P84+S84-2464</f>
        <v>0</v>
      </c>
      <c r="N84" s="4"/>
      <c r="O84" s="4">
        <f t="shared" si="35"/>
        <v>0</v>
      </c>
      <c r="P84" s="4">
        <f t="shared" si="36"/>
        <v>2464</v>
      </c>
      <c r="Q84" s="4"/>
      <c r="R84" s="4"/>
      <c r="S84" s="4">
        <f t="shared" si="24"/>
        <v>0</v>
      </c>
      <c r="T84" s="4">
        <f t="shared" si="37"/>
        <v>2464</v>
      </c>
      <c r="U84" s="4">
        <f t="shared" si="38"/>
        <v>-2464</v>
      </c>
      <c r="V84" s="4"/>
      <c r="W84" s="4">
        <f t="shared" ref="W84:W115" si="40">U84-AA84-V84-Y84</f>
        <v>-2464</v>
      </c>
      <c r="X84" s="4"/>
      <c r="Y84" s="4"/>
      <c r="Z84" s="4"/>
      <c r="AA84" s="3"/>
      <c r="AB84" s="3" t="s">
        <v>1012</v>
      </c>
      <c r="AC84" s="3">
        <v>810000</v>
      </c>
      <c r="AD84" s="4">
        <v>-2464</v>
      </c>
      <c r="AE84" s="4"/>
      <c r="AF84" s="4"/>
      <c r="AG84" s="4"/>
      <c r="AH84" s="4"/>
      <c r="AI84" s="4"/>
      <c r="AJ84" s="4">
        <f t="shared" si="21"/>
        <v>-2464</v>
      </c>
      <c r="AK84" s="4">
        <f t="shared" si="26"/>
        <v>0</v>
      </c>
      <c r="AL84" s="112"/>
      <c r="AM84" s="130"/>
      <c r="AN84" s="4">
        <f t="shared" si="22"/>
        <v>0</v>
      </c>
      <c r="AO84" s="4"/>
      <c r="AP84" s="4">
        <f t="shared" si="39"/>
        <v>0</v>
      </c>
      <c r="AQ84" s="4"/>
      <c r="AR84" s="4"/>
      <c r="AS84" s="4"/>
      <c r="AT84" s="4"/>
      <c r="AU84" s="4"/>
      <c r="AV84" s="4"/>
      <c r="AW84" s="4"/>
      <c r="AX84" s="4">
        <f t="shared" si="27"/>
        <v>0</v>
      </c>
      <c r="AY84" s="4"/>
      <c r="AZ84" s="4">
        <f t="shared" si="28"/>
        <v>0</v>
      </c>
      <c r="BA84" s="4"/>
      <c r="BB84" s="4"/>
      <c r="BC84" s="4"/>
      <c r="BD84" s="4"/>
      <c r="BE84" s="4">
        <f t="shared" si="29"/>
        <v>-2464</v>
      </c>
      <c r="BF84" s="4">
        <f t="shared" si="30"/>
        <v>0</v>
      </c>
      <c r="BG84" s="4"/>
      <c r="BH84" s="4">
        <f t="shared" si="31"/>
        <v>-2464</v>
      </c>
      <c r="BI84" s="4"/>
      <c r="BJ84" s="4"/>
      <c r="BK84" s="4"/>
      <c r="BL84" s="4"/>
    </row>
    <row r="85" spans="1:64" ht="30" customHeight="1">
      <c r="A85" s="3">
        <f t="shared" si="23"/>
        <v>80</v>
      </c>
      <c r="B85" s="3">
        <v>20037</v>
      </c>
      <c r="C85" s="3" t="s">
        <v>442</v>
      </c>
      <c r="D85" s="4">
        <v>2200000</v>
      </c>
      <c r="E85" s="4">
        <v>2200000</v>
      </c>
      <c r="F85" s="4">
        <f t="shared" si="32"/>
        <v>0</v>
      </c>
      <c r="G85" s="4">
        <v>2200000</v>
      </c>
      <c r="H85" s="4">
        <v>2199700</v>
      </c>
      <c r="I85" s="4">
        <v>0</v>
      </c>
      <c r="J85" s="4">
        <v>0</v>
      </c>
      <c r="K85" s="4">
        <f t="shared" si="33"/>
        <v>0</v>
      </c>
      <c r="L85" s="4">
        <f t="shared" si="34"/>
        <v>2199700</v>
      </c>
      <c r="M85" s="4">
        <f>P85+S85</f>
        <v>300</v>
      </c>
      <c r="N85" s="4"/>
      <c r="O85" s="4">
        <f t="shared" si="35"/>
        <v>0</v>
      </c>
      <c r="P85" s="4">
        <f t="shared" si="36"/>
        <v>300</v>
      </c>
      <c r="Q85" s="4"/>
      <c r="R85" s="4"/>
      <c r="S85" s="4">
        <f t="shared" si="24"/>
        <v>0</v>
      </c>
      <c r="T85" s="4">
        <f t="shared" si="37"/>
        <v>0</v>
      </c>
      <c r="U85" s="4">
        <f t="shared" si="38"/>
        <v>0</v>
      </c>
      <c r="V85" s="4"/>
      <c r="W85" s="4">
        <f t="shared" si="40"/>
        <v>0</v>
      </c>
      <c r="X85" s="4"/>
      <c r="Y85" s="4"/>
      <c r="Z85" s="4"/>
      <c r="AA85" s="3"/>
      <c r="AB85" s="3" t="s">
        <v>767</v>
      </c>
      <c r="AC85" s="3">
        <v>826000</v>
      </c>
      <c r="AD85" s="4"/>
      <c r="AE85" s="4"/>
      <c r="AF85" s="4"/>
      <c r="AG85" s="4"/>
      <c r="AH85" s="4"/>
      <c r="AI85" s="4"/>
      <c r="AJ85" s="4">
        <f t="shared" si="21"/>
        <v>0</v>
      </c>
      <c r="AK85" s="4">
        <f t="shared" si="26"/>
        <v>0</v>
      </c>
      <c r="AL85" s="112"/>
      <c r="AM85" s="130"/>
      <c r="AN85" s="4">
        <f t="shared" si="22"/>
        <v>0</v>
      </c>
      <c r="AO85" s="4"/>
      <c r="AP85" s="4">
        <f t="shared" si="39"/>
        <v>0</v>
      </c>
      <c r="AQ85" s="4"/>
      <c r="AR85" s="4"/>
      <c r="AS85" s="4"/>
      <c r="AT85" s="4"/>
      <c r="AU85" s="4"/>
      <c r="AV85" s="4"/>
      <c r="AW85" s="4"/>
      <c r="AX85" s="4">
        <f t="shared" si="27"/>
        <v>0</v>
      </c>
      <c r="AY85" s="4"/>
      <c r="AZ85" s="4">
        <f t="shared" si="28"/>
        <v>0</v>
      </c>
      <c r="BA85" s="4"/>
      <c r="BB85" s="4"/>
      <c r="BC85" s="4"/>
      <c r="BD85" s="4"/>
      <c r="BE85" s="4">
        <f t="shared" si="29"/>
        <v>0</v>
      </c>
      <c r="BF85" s="4">
        <f t="shared" si="30"/>
        <v>0</v>
      </c>
      <c r="BG85" s="4"/>
      <c r="BH85" s="4">
        <f t="shared" si="31"/>
        <v>0</v>
      </c>
      <c r="BI85" s="4"/>
      <c r="BJ85" s="4"/>
      <c r="BK85" s="4"/>
      <c r="BL85" s="4"/>
    </row>
    <row r="86" spans="1:64" ht="30" customHeight="1">
      <c r="A86" s="3">
        <f t="shared" si="23"/>
        <v>81</v>
      </c>
      <c r="B86" s="3">
        <v>20051</v>
      </c>
      <c r="C86" s="3" t="s">
        <v>620</v>
      </c>
      <c r="D86" s="4">
        <f>4100000+950000+650000-100000</f>
        <v>5600000</v>
      </c>
      <c r="E86" s="4">
        <v>5050000</v>
      </c>
      <c r="F86" s="4">
        <f t="shared" si="32"/>
        <v>550000</v>
      </c>
      <c r="G86" s="4">
        <v>5050000</v>
      </c>
      <c r="H86" s="4">
        <v>2346404</v>
      </c>
      <c r="I86" s="4">
        <v>0</v>
      </c>
      <c r="J86" s="4">
        <v>1849763</v>
      </c>
      <c r="K86" s="4">
        <f t="shared" si="33"/>
        <v>1849763</v>
      </c>
      <c r="L86" s="4">
        <f t="shared" si="34"/>
        <v>4196167</v>
      </c>
      <c r="M86" s="4">
        <f>P86+S86-840000-10000</f>
        <v>3833</v>
      </c>
      <c r="N86" s="4">
        <f>650000+800000-100000+40000-550000+10000</f>
        <v>850000</v>
      </c>
      <c r="O86" s="4">
        <f t="shared" si="35"/>
        <v>550000</v>
      </c>
      <c r="P86" s="4">
        <f t="shared" si="36"/>
        <v>853833</v>
      </c>
      <c r="Q86" s="4"/>
      <c r="R86" s="4"/>
      <c r="S86" s="4">
        <f t="shared" si="24"/>
        <v>0</v>
      </c>
      <c r="T86" s="4">
        <f t="shared" si="37"/>
        <v>850000</v>
      </c>
      <c r="U86" s="4">
        <f t="shared" si="38"/>
        <v>0</v>
      </c>
      <c r="V86" s="4"/>
      <c r="W86" s="4">
        <f t="shared" si="40"/>
        <v>0</v>
      </c>
      <c r="X86" s="4"/>
      <c r="Y86" s="4"/>
      <c r="Z86" s="4"/>
      <c r="AA86" s="3"/>
      <c r="AB86" s="3" t="s">
        <v>655</v>
      </c>
      <c r="AC86" s="3">
        <v>742000</v>
      </c>
      <c r="AD86" s="4"/>
      <c r="AE86" s="4"/>
      <c r="AF86" s="4"/>
      <c r="AG86" s="4"/>
      <c r="AH86" s="4"/>
      <c r="AI86" s="4"/>
      <c r="AJ86" s="4">
        <f t="shared" si="21"/>
        <v>0</v>
      </c>
      <c r="AK86" s="4">
        <f t="shared" si="26"/>
        <v>0</v>
      </c>
      <c r="AL86" s="112"/>
      <c r="AM86" s="130"/>
      <c r="AN86" s="4">
        <f t="shared" si="22"/>
        <v>0</v>
      </c>
      <c r="AO86" s="4"/>
      <c r="AP86" s="4">
        <f t="shared" si="39"/>
        <v>0</v>
      </c>
      <c r="AQ86" s="4"/>
      <c r="AR86" s="4"/>
      <c r="AS86" s="4"/>
      <c r="AT86" s="4"/>
      <c r="AU86" s="4"/>
      <c r="AV86" s="4"/>
      <c r="AW86" s="4"/>
      <c r="AX86" s="4">
        <f t="shared" si="27"/>
        <v>0</v>
      </c>
      <c r="AY86" s="4"/>
      <c r="AZ86" s="4">
        <f t="shared" si="28"/>
        <v>0</v>
      </c>
      <c r="BA86" s="4"/>
      <c r="BB86" s="4"/>
      <c r="BC86" s="4"/>
      <c r="BD86" s="4"/>
      <c r="BE86" s="4">
        <f t="shared" si="29"/>
        <v>0</v>
      </c>
      <c r="BF86" s="4">
        <f t="shared" si="30"/>
        <v>0</v>
      </c>
      <c r="BG86" s="4"/>
      <c r="BH86" s="4">
        <f t="shared" si="31"/>
        <v>0</v>
      </c>
      <c r="BI86" s="4"/>
      <c r="BJ86" s="4"/>
      <c r="BK86" s="4"/>
      <c r="BL86" s="4"/>
    </row>
    <row r="87" spans="1:64" ht="30" customHeight="1">
      <c r="A87" s="3">
        <f t="shared" si="23"/>
        <v>82</v>
      </c>
      <c r="B87" s="3">
        <v>20052</v>
      </c>
      <c r="C87" s="3" t="s">
        <v>1184</v>
      </c>
      <c r="D87" s="4">
        <f>2820553-207</f>
        <v>2820346</v>
      </c>
      <c r="E87" s="4">
        <v>2820553</v>
      </c>
      <c r="F87" s="4">
        <f t="shared" si="32"/>
        <v>-207</v>
      </c>
      <c r="G87" s="4">
        <v>2820553</v>
      </c>
      <c r="H87" s="4">
        <v>2820346</v>
      </c>
      <c r="I87" s="4">
        <v>0</v>
      </c>
      <c r="J87" s="4">
        <v>0</v>
      </c>
      <c r="K87" s="4">
        <f t="shared" si="33"/>
        <v>0</v>
      </c>
      <c r="L87" s="4">
        <f t="shared" si="34"/>
        <v>2820346</v>
      </c>
      <c r="M87" s="4">
        <f>P87+S87-207</f>
        <v>0</v>
      </c>
      <c r="N87" s="4"/>
      <c r="O87" s="4">
        <f t="shared" si="35"/>
        <v>0</v>
      </c>
      <c r="P87" s="4">
        <f t="shared" si="36"/>
        <v>207</v>
      </c>
      <c r="Q87" s="4"/>
      <c r="R87" s="4"/>
      <c r="S87" s="4">
        <f t="shared" si="24"/>
        <v>0</v>
      </c>
      <c r="T87" s="4">
        <f t="shared" si="37"/>
        <v>207</v>
      </c>
      <c r="U87" s="4">
        <f t="shared" si="38"/>
        <v>-207</v>
      </c>
      <c r="V87" s="4"/>
      <c r="W87" s="4">
        <f t="shared" si="40"/>
        <v>-207</v>
      </c>
      <c r="X87" s="4"/>
      <c r="Y87" s="4"/>
      <c r="Z87" s="4"/>
      <c r="AA87" s="3"/>
      <c r="AB87" s="3" t="s">
        <v>1013</v>
      </c>
      <c r="AC87" s="3">
        <v>930000</v>
      </c>
      <c r="AD87" s="4">
        <v>-207</v>
      </c>
      <c r="AE87" s="4"/>
      <c r="AF87" s="4"/>
      <c r="AG87" s="4"/>
      <c r="AH87" s="4"/>
      <c r="AI87" s="4"/>
      <c r="AJ87" s="4">
        <f t="shared" si="21"/>
        <v>-207</v>
      </c>
      <c r="AK87" s="4">
        <f t="shared" si="26"/>
        <v>0</v>
      </c>
      <c r="AL87" s="112"/>
      <c r="AM87" s="130"/>
      <c r="AN87" s="4">
        <f t="shared" si="22"/>
        <v>0</v>
      </c>
      <c r="AO87" s="4"/>
      <c r="AP87" s="4">
        <f t="shared" si="39"/>
        <v>0</v>
      </c>
      <c r="AQ87" s="4"/>
      <c r="AR87" s="4"/>
      <c r="AS87" s="4"/>
      <c r="AT87" s="4"/>
      <c r="AU87" s="4"/>
      <c r="AV87" s="4"/>
      <c r="AW87" s="4"/>
      <c r="AX87" s="4">
        <f t="shared" si="27"/>
        <v>0</v>
      </c>
      <c r="AY87" s="4"/>
      <c r="AZ87" s="4">
        <f t="shared" si="28"/>
        <v>0</v>
      </c>
      <c r="BA87" s="4"/>
      <c r="BB87" s="4"/>
      <c r="BC87" s="4"/>
      <c r="BD87" s="4"/>
      <c r="BE87" s="4">
        <f t="shared" si="29"/>
        <v>-207</v>
      </c>
      <c r="BF87" s="4">
        <f t="shared" si="30"/>
        <v>0</v>
      </c>
      <c r="BG87" s="4"/>
      <c r="BH87" s="4">
        <f t="shared" si="31"/>
        <v>-207</v>
      </c>
      <c r="BI87" s="4"/>
      <c r="BJ87" s="4"/>
      <c r="BK87" s="4"/>
      <c r="BL87" s="4"/>
    </row>
    <row r="88" spans="1:64" ht="30" customHeight="1">
      <c r="A88" s="3">
        <f t="shared" si="23"/>
        <v>83</v>
      </c>
      <c r="B88" s="3">
        <v>20054</v>
      </c>
      <c r="C88" s="3" t="s">
        <v>475</v>
      </c>
      <c r="D88" s="4">
        <f>1400000-140000</f>
        <v>1260000</v>
      </c>
      <c r="E88" s="4">
        <v>1400000</v>
      </c>
      <c r="F88" s="4">
        <f t="shared" si="32"/>
        <v>-140000</v>
      </c>
      <c r="G88" s="4">
        <v>1400000</v>
      </c>
      <c r="H88" s="4">
        <v>1251321</v>
      </c>
      <c r="I88" s="4">
        <v>0</v>
      </c>
      <c r="J88" s="4">
        <v>0</v>
      </c>
      <c r="K88" s="4">
        <f t="shared" si="33"/>
        <v>0</v>
      </c>
      <c r="L88" s="4">
        <f t="shared" si="34"/>
        <v>1251321</v>
      </c>
      <c r="M88" s="4">
        <f>P88+S88-140000</f>
        <v>8679</v>
      </c>
      <c r="N88" s="4"/>
      <c r="O88" s="4">
        <f t="shared" si="35"/>
        <v>0</v>
      </c>
      <c r="P88" s="4">
        <f t="shared" si="36"/>
        <v>148679</v>
      </c>
      <c r="Q88" s="4"/>
      <c r="R88" s="4"/>
      <c r="S88" s="4">
        <f t="shared" si="24"/>
        <v>0</v>
      </c>
      <c r="T88" s="4">
        <f t="shared" si="37"/>
        <v>140000</v>
      </c>
      <c r="U88" s="4">
        <f t="shared" si="38"/>
        <v>-140000</v>
      </c>
      <c r="V88" s="4">
        <v>-140000</v>
      </c>
      <c r="W88" s="4">
        <f t="shared" si="40"/>
        <v>0</v>
      </c>
      <c r="X88" s="4"/>
      <c r="Y88" s="4"/>
      <c r="Z88" s="4"/>
      <c r="AA88" s="3"/>
      <c r="AB88" s="3" t="s">
        <v>739</v>
      </c>
      <c r="AC88" s="3">
        <v>810000</v>
      </c>
      <c r="AD88" s="4">
        <v>-140000</v>
      </c>
      <c r="AE88" s="4"/>
      <c r="AF88" s="4"/>
      <c r="AG88" s="4"/>
      <c r="AH88" s="4"/>
      <c r="AI88" s="4"/>
      <c r="AJ88" s="4">
        <f t="shared" si="21"/>
        <v>-140000</v>
      </c>
      <c r="AK88" s="4">
        <f t="shared" si="26"/>
        <v>0</v>
      </c>
      <c r="AL88" s="112"/>
      <c r="AM88" s="130"/>
      <c r="AN88" s="4">
        <f t="shared" si="22"/>
        <v>0</v>
      </c>
      <c r="AO88" s="4"/>
      <c r="AP88" s="4">
        <f t="shared" si="39"/>
        <v>0</v>
      </c>
      <c r="AQ88" s="4"/>
      <c r="AR88" s="4"/>
      <c r="AS88" s="4"/>
      <c r="AT88" s="4"/>
      <c r="AU88" s="4"/>
      <c r="AV88" s="4"/>
      <c r="AW88" s="4"/>
      <c r="AX88" s="4">
        <f t="shared" si="27"/>
        <v>0</v>
      </c>
      <c r="AY88" s="4"/>
      <c r="AZ88" s="4">
        <f t="shared" si="28"/>
        <v>0</v>
      </c>
      <c r="BA88" s="4"/>
      <c r="BB88" s="4"/>
      <c r="BC88" s="4"/>
      <c r="BD88" s="4"/>
      <c r="BE88" s="4">
        <f t="shared" si="29"/>
        <v>-140000</v>
      </c>
      <c r="BF88" s="4">
        <f t="shared" si="30"/>
        <v>0</v>
      </c>
      <c r="BG88" s="4">
        <v>-140000</v>
      </c>
      <c r="BH88" s="4">
        <f t="shared" si="31"/>
        <v>0</v>
      </c>
      <c r="BI88" s="4"/>
      <c r="BJ88" s="4"/>
      <c r="BK88" s="4"/>
      <c r="BL88" s="4"/>
    </row>
    <row r="89" spans="1:64" ht="30" customHeight="1">
      <c r="A89" s="3">
        <f t="shared" si="23"/>
        <v>84</v>
      </c>
      <c r="B89" s="3">
        <v>20065</v>
      </c>
      <c r="C89" s="3" t="s">
        <v>485</v>
      </c>
      <c r="D89" s="4">
        <f>7611000-11000</f>
        <v>7600000</v>
      </c>
      <c r="E89" s="4">
        <v>3200000</v>
      </c>
      <c r="F89" s="4">
        <f t="shared" si="32"/>
        <v>4400000</v>
      </c>
      <c r="G89" s="4">
        <v>3200000</v>
      </c>
      <c r="H89" s="4">
        <v>2001616</v>
      </c>
      <c r="I89" s="4">
        <v>0</v>
      </c>
      <c r="J89" s="4">
        <f>998375</f>
        <v>998375</v>
      </c>
      <c r="K89" s="4">
        <f t="shared" si="33"/>
        <v>998375</v>
      </c>
      <c r="L89" s="4">
        <f t="shared" si="34"/>
        <v>2999991</v>
      </c>
      <c r="M89" s="4">
        <f>P89+S89-200000</f>
        <v>9</v>
      </c>
      <c r="N89" s="4">
        <f>7611000-3200000-11000+200000</f>
        <v>4600000</v>
      </c>
      <c r="O89" s="4">
        <f t="shared" si="35"/>
        <v>0</v>
      </c>
      <c r="P89" s="4">
        <f t="shared" si="36"/>
        <v>200009</v>
      </c>
      <c r="Q89" s="4"/>
      <c r="R89" s="4"/>
      <c r="S89" s="4">
        <f t="shared" si="24"/>
        <v>0</v>
      </c>
      <c r="T89" s="4">
        <f t="shared" si="37"/>
        <v>200000</v>
      </c>
      <c r="U89" s="4">
        <f t="shared" si="38"/>
        <v>4400000</v>
      </c>
      <c r="V89" s="4">
        <v>4400000</v>
      </c>
      <c r="W89" s="4">
        <f t="shared" si="40"/>
        <v>0</v>
      </c>
      <c r="X89" s="4"/>
      <c r="Y89" s="4"/>
      <c r="Z89" s="4"/>
      <c r="AA89" s="3"/>
      <c r="AB89" s="3" t="s">
        <v>539</v>
      </c>
      <c r="AC89" s="3">
        <v>824000</v>
      </c>
      <c r="AD89" s="4"/>
      <c r="AE89" s="4">
        <v>4400000</v>
      </c>
      <c r="AF89" s="4"/>
      <c r="AG89" s="4"/>
      <c r="AH89" s="4"/>
      <c r="AI89" s="4"/>
      <c r="AJ89" s="4">
        <f t="shared" si="21"/>
        <v>4400000</v>
      </c>
      <c r="AK89" s="4">
        <f t="shared" si="26"/>
        <v>0</v>
      </c>
      <c r="AL89" s="112"/>
      <c r="AM89" s="130"/>
      <c r="AN89" s="4">
        <f t="shared" si="22"/>
        <v>0</v>
      </c>
      <c r="AO89" s="4"/>
      <c r="AP89" s="4">
        <f t="shared" si="39"/>
        <v>0</v>
      </c>
      <c r="AQ89" s="4"/>
      <c r="AR89" s="4"/>
      <c r="AS89" s="4"/>
      <c r="AT89" s="4"/>
      <c r="AU89" s="4"/>
      <c r="AV89" s="4"/>
      <c r="AW89" s="4"/>
      <c r="AX89" s="4">
        <f t="shared" si="27"/>
        <v>0</v>
      </c>
      <c r="AY89" s="4"/>
      <c r="AZ89" s="4">
        <f t="shared" si="28"/>
        <v>0</v>
      </c>
      <c r="BA89" s="4"/>
      <c r="BB89" s="4"/>
      <c r="BC89" s="4"/>
      <c r="BD89" s="4"/>
      <c r="BE89" s="4">
        <f t="shared" si="29"/>
        <v>4400000</v>
      </c>
      <c r="BF89" s="4">
        <f t="shared" si="30"/>
        <v>0</v>
      </c>
      <c r="BG89" s="4">
        <v>440000</v>
      </c>
      <c r="BH89" s="4">
        <f t="shared" si="31"/>
        <v>3960000</v>
      </c>
      <c r="BI89" s="4"/>
      <c r="BJ89" s="4"/>
      <c r="BK89" s="4"/>
      <c r="BL89" s="4"/>
    </row>
    <row r="90" spans="1:64" ht="30" customHeight="1">
      <c r="A90" s="3">
        <f t="shared" si="23"/>
        <v>85</v>
      </c>
      <c r="B90" s="3">
        <v>20067</v>
      </c>
      <c r="C90" s="3" t="s">
        <v>486</v>
      </c>
      <c r="D90" s="4">
        <f>3500000+27000000-2500000</f>
        <v>28000000</v>
      </c>
      <c r="E90" s="4">
        <v>3500000</v>
      </c>
      <c r="F90" s="4">
        <f t="shared" si="32"/>
        <v>24500000</v>
      </c>
      <c r="G90" s="4">
        <v>1500000</v>
      </c>
      <c r="H90" s="4">
        <v>534744</v>
      </c>
      <c r="I90" s="4"/>
      <c r="J90" s="4">
        <f>324871-117000</f>
        <v>207871</v>
      </c>
      <c r="K90" s="4">
        <f t="shared" si="33"/>
        <v>207871</v>
      </c>
      <c r="L90" s="4">
        <f t="shared" si="34"/>
        <v>742615</v>
      </c>
      <c r="M90" s="4">
        <f>P90+S90-500000-100000-150000</f>
        <v>7385</v>
      </c>
      <c r="N90" s="4">
        <f>500*9000-1750000-1500000</f>
        <v>1250000</v>
      </c>
      <c r="O90" s="4">
        <f t="shared" si="35"/>
        <v>26000000</v>
      </c>
      <c r="P90" s="4">
        <f t="shared" si="36"/>
        <v>757385</v>
      </c>
      <c r="Q90" s="4"/>
      <c r="R90" s="4"/>
      <c r="S90" s="4">
        <f t="shared" si="24"/>
        <v>0</v>
      </c>
      <c r="T90" s="4">
        <f t="shared" si="37"/>
        <v>750000</v>
      </c>
      <c r="U90" s="4">
        <f t="shared" si="38"/>
        <v>500000</v>
      </c>
      <c r="V90" s="4"/>
      <c r="W90" s="4">
        <f t="shared" si="40"/>
        <v>500000</v>
      </c>
      <c r="X90" s="4"/>
      <c r="Y90" s="4"/>
      <c r="Z90" s="4"/>
      <c r="AA90" s="3"/>
      <c r="AB90" s="3" t="s">
        <v>652</v>
      </c>
      <c r="AC90" s="3">
        <v>743000</v>
      </c>
      <c r="AD90" s="4"/>
      <c r="AE90" s="4"/>
      <c r="AF90" s="4"/>
      <c r="AG90" s="4">
        <v>500000</v>
      </c>
      <c r="AH90" s="4"/>
      <c r="AI90" s="4"/>
      <c r="AJ90" s="4">
        <f t="shared" si="21"/>
        <v>500000</v>
      </c>
      <c r="AK90" s="4">
        <f t="shared" si="26"/>
        <v>0</v>
      </c>
      <c r="AL90" s="112"/>
      <c r="AM90" s="130"/>
      <c r="AN90" s="4">
        <f t="shared" si="22"/>
        <v>0</v>
      </c>
      <c r="AO90" s="4"/>
      <c r="AP90" s="4">
        <f t="shared" si="39"/>
        <v>0</v>
      </c>
      <c r="AQ90" s="4"/>
      <c r="AR90" s="4"/>
      <c r="AS90" s="4"/>
      <c r="AT90" s="4"/>
      <c r="AU90" s="4">
        <v>800000</v>
      </c>
      <c r="AV90" s="4"/>
      <c r="AW90" s="4"/>
      <c r="AX90" s="4">
        <f t="shared" si="27"/>
        <v>0</v>
      </c>
      <c r="AY90" s="4"/>
      <c r="AZ90" s="4">
        <f t="shared" si="28"/>
        <v>0</v>
      </c>
      <c r="BA90" s="4"/>
      <c r="BB90" s="4"/>
      <c r="BC90" s="4"/>
      <c r="BD90" s="4"/>
      <c r="BE90" s="4">
        <f t="shared" si="29"/>
        <v>500000</v>
      </c>
      <c r="BF90" s="4">
        <f t="shared" si="30"/>
        <v>0</v>
      </c>
      <c r="BG90" s="4"/>
      <c r="BH90" s="4">
        <f t="shared" si="31"/>
        <v>500000</v>
      </c>
      <c r="BI90" s="4"/>
      <c r="BJ90" s="4"/>
      <c r="BK90" s="4"/>
      <c r="BL90" s="4"/>
    </row>
    <row r="91" spans="1:64" ht="30" customHeight="1">
      <c r="A91" s="3">
        <f t="shared" si="23"/>
        <v>86</v>
      </c>
      <c r="B91" s="3">
        <v>20069</v>
      </c>
      <c r="C91" s="3" t="s">
        <v>487</v>
      </c>
      <c r="D91" s="4">
        <v>33000</v>
      </c>
      <c r="E91" s="4">
        <v>33000</v>
      </c>
      <c r="F91" s="4">
        <f t="shared" si="32"/>
        <v>0</v>
      </c>
      <c r="G91" s="4">
        <v>33000</v>
      </c>
      <c r="H91" s="4">
        <v>29043</v>
      </c>
      <c r="I91" s="4">
        <v>0</v>
      </c>
      <c r="J91" s="4">
        <v>3557</v>
      </c>
      <c r="K91" s="4">
        <f t="shared" si="33"/>
        <v>3557</v>
      </c>
      <c r="L91" s="4">
        <f t="shared" si="34"/>
        <v>32600</v>
      </c>
      <c r="M91" s="4">
        <f>P91+S91</f>
        <v>400</v>
      </c>
      <c r="N91" s="4"/>
      <c r="O91" s="4">
        <f t="shared" si="35"/>
        <v>0</v>
      </c>
      <c r="P91" s="4">
        <f t="shared" si="36"/>
        <v>400</v>
      </c>
      <c r="Q91" s="4"/>
      <c r="R91" s="4"/>
      <c r="S91" s="4">
        <f t="shared" si="24"/>
        <v>0</v>
      </c>
      <c r="T91" s="4">
        <f t="shared" si="37"/>
        <v>0</v>
      </c>
      <c r="U91" s="4">
        <f t="shared" si="38"/>
        <v>0</v>
      </c>
      <c r="V91" s="4"/>
      <c r="W91" s="4">
        <f t="shared" si="40"/>
        <v>0</v>
      </c>
      <c r="X91" s="4"/>
      <c r="Y91" s="4"/>
      <c r="Z91" s="4"/>
      <c r="AA91" s="3"/>
      <c r="AB91" s="3" t="s">
        <v>740</v>
      </c>
      <c r="AC91" s="3">
        <v>747000</v>
      </c>
      <c r="AD91" s="4"/>
      <c r="AE91" s="4"/>
      <c r="AF91" s="4"/>
      <c r="AG91" s="4"/>
      <c r="AH91" s="4"/>
      <c r="AI91" s="4"/>
      <c r="AJ91" s="4">
        <f t="shared" si="21"/>
        <v>0</v>
      </c>
      <c r="AK91" s="4">
        <f t="shared" si="26"/>
        <v>0</v>
      </c>
      <c r="AL91" s="112"/>
      <c r="AM91" s="130"/>
      <c r="AN91" s="4">
        <f t="shared" si="22"/>
        <v>0</v>
      </c>
      <c r="AO91" s="4"/>
      <c r="AP91" s="4">
        <f t="shared" si="39"/>
        <v>0</v>
      </c>
      <c r="AQ91" s="4"/>
      <c r="AR91" s="4"/>
      <c r="AS91" s="4"/>
      <c r="AT91" s="4"/>
      <c r="AU91" s="4"/>
      <c r="AV91" s="4"/>
      <c r="AW91" s="4"/>
      <c r="AX91" s="4">
        <f t="shared" si="27"/>
        <v>0</v>
      </c>
      <c r="AY91" s="4"/>
      <c r="AZ91" s="4">
        <f t="shared" si="28"/>
        <v>0</v>
      </c>
      <c r="BA91" s="4"/>
      <c r="BB91" s="4"/>
      <c r="BC91" s="4"/>
      <c r="BD91" s="4"/>
      <c r="BE91" s="4">
        <f t="shared" si="29"/>
        <v>0</v>
      </c>
      <c r="BF91" s="4">
        <f t="shared" si="30"/>
        <v>0</v>
      </c>
      <c r="BG91" s="4"/>
      <c r="BH91" s="4">
        <f t="shared" si="31"/>
        <v>0</v>
      </c>
      <c r="BI91" s="4"/>
      <c r="BJ91" s="4"/>
      <c r="BK91" s="4"/>
      <c r="BL91" s="4"/>
    </row>
    <row r="92" spans="1:64" ht="30" customHeight="1">
      <c r="A92" s="3">
        <f t="shared" si="23"/>
        <v>87</v>
      </c>
      <c r="B92" s="3">
        <v>20070</v>
      </c>
      <c r="C92" s="3" t="s">
        <v>488</v>
      </c>
      <c r="D92" s="4">
        <v>450000</v>
      </c>
      <c r="E92" s="4">
        <v>450000</v>
      </c>
      <c r="F92" s="4">
        <f t="shared" si="32"/>
        <v>0</v>
      </c>
      <c r="G92" s="4">
        <v>450000</v>
      </c>
      <c r="H92" s="4">
        <v>0</v>
      </c>
      <c r="I92" s="4">
        <v>0</v>
      </c>
      <c r="J92" s="4">
        <v>220754</v>
      </c>
      <c r="K92" s="4">
        <f t="shared" si="33"/>
        <v>220754</v>
      </c>
      <c r="L92" s="4">
        <f t="shared" si="34"/>
        <v>220754</v>
      </c>
      <c r="M92" s="4">
        <f>P92+S92-220000</f>
        <v>9246</v>
      </c>
      <c r="N92" s="4">
        <v>220000</v>
      </c>
      <c r="O92" s="4">
        <f t="shared" si="35"/>
        <v>0</v>
      </c>
      <c r="P92" s="4">
        <f t="shared" si="36"/>
        <v>229246</v>
      </c>
      <c r="Q92" s="4"/>
      <c r="R92" s="4"/>
      <c r="S92" s="4">
        <f t="shared" si="24"/>
        <v>0</v>
      </c>
      <c r="T92" s="4">
        <f t="shared" si="37"/>
        <v>220000</v>
      </c>
      <c r="U92" s="4">
        <f t="shared" si="38"/>
        <v>0</v>
      </c>
      <c r="V92" s="4"/>
      <c r="W92" s="4">
        <f t="shared" si="40"/>
        <v>0</v>
      </c>
      <c r="X92" s="4"/>
      <c r="Y92" s="4"/>
      <c r="Z92" s="4"/>
      <c r="AA92" s="3"/>
      <c r="AB92" s="3" t="s">
        <v>768</v>
      </c>
      <c r="AC92" s="3">
        <v>829000</v>
      </c>
      <c r="AD92" s="4"/>
      <c r="AE92" s="4"/>
      <c r="AF92" s="4"/>
      <c r="AG92" s="4"/>
      <c r="AH92" s="4"/>
      <c r="AI92" s="4"/>
      <c r="AJ92" s="4">
        <f t="shared" si="21"/>
        <v>0</v>
      </c>
      <c r="AK92" s="4">
        <f t="shared" si="26"/>
        <v>0</v>
      </c>
      <c r="AL92" s="112"/>
      <c r="AM92" s="130"/>
      <c r="AN92" s="4">
        <f t="shared" si="22"/>
        <v>0</v>
      </c>
      <c r="AO92" s="4"/>
      <c r="AP92" s="4">
        <f t="shared" si="39"/>
        <v>0</v>
      </c>
      <c r="AQ92" s="4"/>
      <c r="AR92" s="4"/>
      <c r="AS92" s="4"/>
      <c r="AT92" s="4"/>
      <c r="AU92" s="4"/>
      <c r="AV92" s="4"/>
      <c r="AW92" s="4"/>
      <c r="AX92" s="4">
        <f t="shared" si="27"/>
        <v>0</v>
      </c>
      <c r="AY92" s="4"/>
      <c r="AZ92" s="4">
        <f t="shared" si="28"/>
        <v>0</v>
      </c>
      <c r="BA92" s="4"/>
      <c r="BB92" s="4"/>
      <c r="BC92" s="4"/>
      <c r="BD92" s="4"/>
      <c r="BE92" s="4">
        <f t="shared" si="29"/>
        <v>0</v>
      </c>
      <c r="BF92" s="4">
        <f t="shared" si="30"/>
        <v>0</v>
      </c>
      <c r="BG92" s="4"/>
      <c r="BH92" s="4">
        <f t="shared" si="31"/>
        <v>0</v>
      </c>
      <c r="BI92" s="4"/>
      <c r="BJ92" s="4"/>
      <c r="BK92" s="4"/>
      <c r="BL92" s="4"/>
    </row>
    <row r="93" spans="1:64" ht="30" customHeight="1">
      <c r="A93" s="3">
        <f t="shared" si="23"/>
        <v>88</v>
      </c>
      <c r="B93" s="3">
        <v>20071</v>
      </c>
      <c r="C93" s="3" t="s">
        <v>522</v>
      </c>
      <c r="D93" s="4">
        <f>450000+150000</f>
        <v>600000</v>
      </c>
      <c r="E93" s="4">
        <v>450000</v>
      </c>
      <c r="F93" s="4">
        <f t="shared" si="32"/>
        <v>150000</v>
      </c>
      <c r="G93" s="4">
        <v>0</v>
      </c>
      <c r="H93" s="4">
        <v>0</v>
      </c>
      <c r="I93" s="4">
        <v>0</v>
      </c>
      <c r="J93" s="4">
        <v>0</v>
      </c>
      <c r="K93" s="4">
        <f t="shared" si="33"/>
        <v>0</v>
      </c>
      <c r="L93" s="4">
        <f t="shared" si="34"/>
        <v>0</v>
      </c>
      <c r="M93" s="4">
        <f>P93+S93</f>
        <v>0</v>
      </c>
      <c r="N93" s="4">
        <f>600000-300000-300000</f>
        <v>0</v>
      </c>
      <c r="O93" s="4">
        <f t="shared" si="35"/>
        <v>600000</v>
      </c>
      <c r="P93" s="4">
        <f t="shared" si="36"/>
        <v>0</v>
      </c>
      <c r="Q93" s="4"/>
      <c r="R93" s="4"/>
      <c r="S93" s="4">
        <f t="shared" si="24"/>
        <v>0</v>
      </c>
      <c r="T93" s="4">
        <f t="shared" si="37"/>
        <v>0</v>
      </c>
      <c r="U93" s="4">
        <f t="shared" si="38"/>
        <v>0</v>
      </c>
      <c r="V93" s="4"/>
      <c r="W93" s="4">
        <f t="shared" si="40"/>
        <v>0</v>
      </c>
      <c r="X93" s="4"/>
      <c r="Y93" s="4"/>
      <c r="Z93" s="4"/>
      <c r="AA93" s="3"/>
      <c r="AB93" s="3" t="s">
        <v>558</v>
      </c>
      <c r="AC93" s="3">
        <v>747000</v>
      </c>
      <c r="AD93" s="4"/>
      <c r="AE93" s="4"/>
      <c r="AF93" s="4"/>
      <c r="AG93" s="4"/>
      <c r="AH93" s="4"/>
      <c r="AI93" s="4"/>
      <c r="AJ93" s="4">
        <f t="shared" si="21"/>
        <v>0</v>
      </c>
      <c r="AK93" s="4">
        <f t="shared" si="26"/>
        <v>0</v>
      </c>
      <c r="AL93" s="112"/>
      <c r="AM93" s="130"/>
      <c r="AN93" s="4">
        <f t="shared" si="22"/>
        <v>0</v>
      </c>
      <c r="AO93" s="4"/>
      <c r="AP93" s="4">
        <f t="shared" si="39"/>
        <v>0</v>
      </c>
      <c r="AQ93" s="4"/>
      <c r="AR93" s="4"/>
      <c r="AS93" s="4"/>
      <c r="AT93" s="4"/>
      <c r="AU93" s="4"/>
      <c r="AV93" s="4"/>
      <c r="AW93" s="4"/>
      <c r="AX93" s="4">
        <f t="shared" si="27"/>
        <v>0</v>
      </c>
      <c r="AY93" s="4"/>
      <c r="AZ93" s="4">
        <f t="shared" si="28"/>
        <v>0</v>
      </c>
      <c r="BA93" s="4"/>
      <c r="BB93" s="4"/>
      <c r="BC93" s="4"/>
      <c r="BD93" s="4"/>
      <c r="BE93" s="4">
        <f t="shared" si="29"/>
        <v>0</v>
      </c>
      <c r="BF93" s="4">
        <f t="shared" si="30"/>
        <v>0</v>
      </c>
      <c r="BG93" s="4"/>
      <c r="BH93" s="4">
        <f t="shared" si="31"/>
        <v>0</v>
      </c>
      <c r="BI93" s="4"/>
      <c r="BJ93" s="4"/>
      <c r="BK93" s="4"/>
      <c r="BL93" s="4"/>
    </row>
    <row r="94" spans="1:64" ht="30" customHeight="1">
      <c r="A94" s="3">
        <f t="shared" si="23"/>
        <v>89</v>
      </c>
      <c r="B94" s="3">
        <v>20072</v>
      </c>
      <c r="C94" s="3" t="s">
        <v>1468</v>
      </c>
      <c r="D94" s="4">
        <f>2000000-1000000</f>
        <v>1000000</v>
      </c>
      <c r="E94" s="4">
        <v>2000000</v>
      </c>
      <c r="F94" s="4">
        <f t="shared" si="32"/>
        <v>-1000000</v>
      </c>
      <c r="G94" s="4">
        <v>1000000</v>
      </c>
      <c r="H94" s="4">
        <v>700769</v>
      </c>
      <c r="I94" s="4">
        <v>0</v>
      </c>
      <c r="J94" s="4">
        <v>5010</v>
      </c>
      <c r="K94" s="4">
        <f t="shared" si="33"/>
        <v>5010</v>
      </c>
      <c r="L94" s="4">
        <f t="shared" si="34"/>
        <v>705779</v>
      </c>
      <c r="M94" s="4">
        <f>P94+S94-290000</f>
        <v>4221</v>
      </c>
      <c r="N94" s="4">
        <v>290000</v>
      </c>
      <c r="O94" s="4">
        <f t="shared" si="35"/>
        <v>0</v>
      </c>
      <c r="P94" s="4">
        <f t="shared" si="36"/>
        <v>294221</v>
      </c>
      <c r="Q94" s="4"/>
      <c r="R94" s="4"/>
      <c r="S94" s="4">
        <f t="shared" si="24"/>
        <v>0</v>
      </c>
      <c r="T94" s="4">
        <f t="shared" si="37"/>
        <v>290000</v>
      </c>
      <c r="U94" s="4">
        <f t="shared" si="38"/>
        <v>0</v>
      </c>
      <c r="V94" s="4"/>
      <c r="W94" s="4">
        <f t="shared" si="40"/>
        <v>0</v>
      </c>
      <c r="X94" s="4"/>
      <c r="Y94" s="4"/>
      <c r="Z94" s="4"/>
      <c r="AA94" s="3"/>
      <c r="AB94" s="3" t="s">
        <v>540</v>
      </c>
      <c r="AC94" s="3">
        <v>743000</v>
      </c>
      <c r="AD94" s="4"/>
      <c r="AE94" s="4"/>
      <c r="AF94" s="4"/>
      <c r="AG94" s="4"/>
      <c r="AH94" s="4"/>
      <c r="AI94" s="4"/>
      <c r="AJ94" s="4">
        <f t="shared" si="21"/>
        <v>0</v>
      </c>
      <c r="AK94" s="4">
        <f t="shared" si="26"/>
        <v>0</v>
      </c>
      <c r="AL94" s="112"/>
      <c r="AM94" s="130"/>
      <c r="AN94" s="4">
        <f t="shared" si="22"/>
        <v>0</v>
      </c>
      <c r="AO94" s="4"/>
      <c r="AP94" s="4">
        <f t="shared" si="39"/>
        <v>0</v>
      </c>
      <c r="AQ94" s="4"/>
      <c r="AR94" s="4"/>
      <c r="AS94" s="4"/>
      <c r="AT94" s="4"/>
      <c r="AU94" s="4"/>
      <c r="AV94" s="4"/>
      <c r="AW94" s="4"/>
      <c r="AX94" s="4">
        <f t="shared" si="27"/>
        <v>0</v>
      </c>
      <c r="AY94" s="4"/>
      <c r="AZ94" s="4">
        <f t="shared" si="28"/>
        <v>0</v>
      </c>
      <c r="BA94" s="4"/>
      <c r="BB94" s="4"/>
      <c r="BC94" s="4"/>
      <c r="BD94" s="4"/>
      <c r="BE94" s="4">
        <f t="shared" si="29"/>
        <v>0</v>
      </c>
      <c r="BF94" s="4">
        <f t="shared" si="30"/>
        <v>0</v>
      </c>
      <c r="BG94" s="4"/>
      <c r="BH94" s="4">
        <f t="shared" si="31"/>
        <v>0</v>
      </c>
      <c r="BI94" s="4"/>
      <c r="BJ94" s="4"/>
      <c r="BK94" s="4"/>
      <c r="BL94" s="4"/>
    </row>
    <row r="95" spans="1:64" ht="30" customHeight="1">
      <c r="A95" s="3">
        <f t="shared" si="23"/>
        <v>90</v>
      </c>
      <c r="B95" s="3">
        <v>20073</v>
      </c>
      <c r="C95" s="3" t="s">
        <v>517</v>
      </c>
      <c r="D95" s="4">
        <v>300000</v>
      </c>
      <c r="E95" s="4">
        <v>300000</v>
      </c>
      <c r="F95" s="4">
        <f t="shared" si="32"/>
        <v>0</v>
      </c>
      <c r="G95" s="4">
        <v>300000</v>
      </c>
      <c r="H95" s="4">
        <v>59989</v>
      </c>
      <c r="I95" s="4">
        <v>0</v>
      </c>
      <c r="J95" s="4"/>
      <c r="K95" s="4">
        <f t="shared" si="33"/>
        <v>0</v>
      </c>
      <c r="L95" s="4">
        <f t="shared" si="34"/>
        <v>59989</v>
      </c>
      <c r="M95" s="4">
        <f>P95+S95-240000</f>
        <v>11</v>
      </c>
      <c r="N95" s="4">
        <v>240000</v>
      </c>
      <c r="O95" s="4">
        <f t="shared" si="35"/>
        <v>0</v>
      </c>
      <c r="P95" s="4">
        <f t="shared" si="36"/>
        <v>240011</v>
      </c>
      <c r="Q95" s="4"/>
      <c r="R95" s="4"/>
      <c r="S95" s="4">
        <f t="shared" si="24"/>
        <v>0</v>
      </c>
      <c r="T95" s="4">
        <f t="shared" si="37"/>
        <v>240000</v>
      </c>
      <c r="U95" s="4">
        <f t="shared" si="38"/>
        <v>0</v>
      </c>
      <c r="V95" s="4"/>
      <c r="W95" s="4">
        <f t="shared" si="40"/>
        <v>0</v>
      </c>
      <c r="X95" s="4"/>
      <c r="Y95" s="4"/>
      <c r="Z95" s="4"/>
      <c r="AA95" s="3"/>
      <c r="AB95" s="3" t="s">
        <v>362</v>
      </c>
      <c r="AC95" s="3">
        <v>810000</v>
      </c>
      <c r="AD95" s="4"/>
      <c r="AE95" s="4"/>
      <c r="AF95" s="4"/>
      <c r="AG95" s="4"/>
      <c r="AH95" s="4"/>
      <c r="AI95" s="4"/>
      <c r="AJ95" s="4">
        <f t="shared" si="21"/>
        <v>0</v>
      </c>
      <c r="AK95" s="4">
        <f t="shared" si="26"/>
        <v>0</v>
      </c>
      <c r="AL95" s="112"/>
      <c r="AM95" s="130"/>
      <c r="AN95" s="4">
        <f t="shared" si="22"/>
        <v>0</v>
      </c>
      <c r="AO95" s="4"/>
      <c r="AP95" s="4">
        <f t="shared" si="39"/>
        <v>0</v>
      </c>
      <c r="AQ95" s="4"/>
      <c r="AR95" s="4"/>
      <c r="AS95" s="4"/>
      <c r="AT95" s="4"/>
      <c r="AU95" s="4"/>
      <c r="AV95" s="4"/>
      <c r="AW95" s="4"/>
      <c r="AX95" s="4">
        <f t="shared" si="27"/>
        <v>0</v>
      </c>
      <c r="AY95" s="4"/>
      <c r="AZ95" s="4">
        <f t="shared" si="28"/>
        <v>0</v>
      </c>
      <c r="BA95" s="4"/>
      <c r="BB95" s="4"/>
      <c r="BC95" s="4"/>
      <c r="BD95" s="4"/>
      <c r="BE95" s="4">
        <f t="shared" si="29"/>
        <v>0</v>
      </c>
      <c r="BF95" s="4">
        <f t="shared" si="30"/>
        <v>0</v>
      </c>
      <c r="BG95" s="4"/>
      <c r="BH95" s="4">
        <f t="shared" si="31"/>
        <v>0</v>
      </c>
      <c r="BI95" s="4"/>
      <c r="BJ95" s="4"/>
      <c r="BK95" s="4"/>
      <c r="BL95" s="4"/>
    </row>
    <row r="96" spans="1:64" ht="30" customHeight="1">
      <c r="A96" s="3">
        <f t="shared" si="23"/>
        <v>91</v>
      </c>
      <c r="B96" s="3">
        <v>20074</v>
      </c>
      <c r="C96" s="3" t="s">
        <v>523</v>
      </c>
      <c r="D96" s="4">
        <v>1500000</v>
      </c>
      <c r="E96" s="4">
        <v>1500000</v>
      </c>
      <c r="F96" s="4">
        <f t="shared" si="32"/>
        <v>0</v>
      </c>
      <c r="G96" s="4">
        <v>700000</v>
      </c>
      <c r="H96" s="4">
        <v>0</v>
      </c>
      <c r="I96" s="4">
        <v>0</v>
      </c>
      <c r="J96" s="4">
        <v>0</v>
      </c>
      <c r="K96" s="4">
        <f t="shared" si="33"/>
        <v>0</v>
      </c>
      <c r="L96" s="4">
        <f t="shared" si="34"/>
        <v>0</v>
      </c>
      <c r="M96" s="4">
        <f>P96+S96</f>
        <v>0</v>
      </c>
      <c r="N96" s="4">
        <v>700000</v>
      </c>
      <c r="O96" s="4">
        <f t="shared" si="35"/>
        <v>800000</v>
      </c>
      <c r="P96" s="4">
        <f t="shared" si="36"/>
        <v>700000</v>
      </c>
      <c r="Q96" s="4"/>
      <c r="R96" s="4">
        <v>-700000</v>
      </c>
      <c r="S96" s="4">
        <f t="shared" si="24"/>
        <v>-700000</v>
      </c>
      <c r="T96" s="4">
        <f t="shared" si="37"/>
        <v>0</v>
      </c>
      <c r="U96" s="4">
        <f t="shared" si="38"/>
        <v>700000</v>
      </c>
      <c r="V96" s="4"/>
      <c r="W96" s="4">
        <f t="shared" si="40"/>
        <v>700000</v>
      </c>
      <c r="X96" s="4"/>
      <c r="Y96" s="4"/>
      <c r="Z96" s="4"/>
      <c r="AA96" s="3"/>
      <c r="AB96" s="3" t="s">
        <v>541</v>
      </c>
      <c r="AC96" s="3">
        <v>930000</v>
      </c>
      <c r="AD96" s="4"/>
      <c r="AE96" s="4">
        <v>700000</v>
      </c>
      <c r="AF96" s="4"/>
      <c r="AG96" s="4"/>
      <c r="AH96" s="4"/>
      <c r="AI96" s="4"/>
      <c r="AJ96" s="4">
        <f t="shared" si="21"/>
        <v>700000</v>
      </c>
      <c r="AK96" s="4">
        <f t="shared" si="26"/>
        <v>0</v>
      </c>
      <c r="AL96" s="112"/>
      <c r="AM96" s="130"/>
      <c r="AN96" s="4">
        <f t="shared" si="22"/>
        <v>0</v>
      </c>
      <c r="AO96" s="4"/>
      <c r="AP96" s="4">
        <f t="shared" si="39"/>
        <v>0</v>
      </c>
      <c r="AQ96" s="4"/>
      <c r="AR96" s="4"/>
      <c r="AS96" s="4"/>
      <c r="AT96" s="4"/>
      <c r="AU96" s="4">
        <v>800000</v>
      </c>
      <c r="AV96" s="4"/>
      <c r="AW96" s="4"/>
      <c r="AX96" s="4">
        <f t="shared" si="27"/>
        <v>0</v>
      </c>
      <c r="AY96" s="4"/>
      <c r="AZ96" s="4">
        <f t="shared" si="28"/>
        <v>0</v>
      </c>
      <c r="BA96" s="4"/>
      <c r="BB96" s="4"/>
      <c r="BC96" s="4"/>
      <c r="BD96" s="4"/>
      <c r="BE96" s="4">
        <f t="shared" si="29"/>
        <v>700000</v>
      </c>
      <c r="BF96" s="4">
        <f t="shared" si="30"/>
        <v>0</v>
      </c>
      <c r="BG96" s="4"/>
      <c r="BH96" s="4">
        <f t="shared" si="31"/>
        <v>700000</v>
      </c>
      <c r="BI96" s="4"/>
      <c r="BJ96" s="4"/>
      <c r="BK96" s="4"/>
      <c r="BL96" s="4"/>
    </row>
    <row r="97" spans="1:66" ht="30" customHeight="1">
      <c r="A97" s="3">
        <f t="shared" si="23"/>
        <v>92</v>
      </c>
      <c r="B97" s="3">
        <v>20086</v>
      </c>
      <c r="C97" s="3" t="s">
        <v>517</v>
      </c>
      <c r="D97" s="4">
        <v>60000</v>
      </c>
      <c r="E97" s="4">
        <v>60000</v>
      </c>
      <c r="F97" s="4">
        <f t="shared" si="32"/>
        <v>0</v>
      </c>
      <c r="G97" s="4">
        <v>60000</v>
      </c>
      <c r="H97" s="4">
        <v>0</v>
      </c>
      <c r="I97" s="4">
        <v>0</v>
      </c>
      <c r="J97" s="4">
        <v>0</v>
      </c>
      <c r="K97" s="4">
        <f t="shared" si="33"/>
        <v>0</v>
      </c>
      <c r="L97" s="4">
        <f t="shared" si="34"/>
        <v>0</v>
      </c>
      <c r="M97" s="4">
        <f>P97+S97-60000</f>
        <v>0</v>
      </c>
      <c r="N97" s="4">
        <v>60000</v>
      </c>
      <c r="O97" s="4">
        <f t="shared" si="35"/>
        <v>0</v>
      </c>
      <c r="P97" s="4">
        <f t="shared" si="36"/>
        <v>60000</v>
      </c>
      <c r="Q97" s="4"/>
      <c r="R97" s="4"/>
      <c r="S97" s="4">
        <f t="shared" si="24"/>
        <v>0</v>
      </c>
      <c r="T97" s="4">
        <f t="shared" si="37"/>
        <v>60000</v>
      </c>
      <c r="U97" s="4">
        <f t="shared" si="38"/>
        <v>0</v>
      </c>
      <c r="V97" s="4"/>
      <c r="W97" s="4">
        <f t="shared" si="40"/>
        <v>0</v>
      </c>
      <c r="X97" s="4"/>
      <c r="Y97" s="4"/>
      <c r="Z97" s="4"/>
      <c r="AA97" s="3"/>
      <c r="AB97" s="3" t="s">
        <v>596</v>
      </c>
      <c r="AC97" s="3">
        <v>810000</v>
      </c>
      <c r="AD97" s="4"/>
      <c r="AE97" s="4"/>
      <c r="AF97" s="4"/>
      <c r="AG97" s="4"/>
      <c r="AH97" s="4"/>
      <c r="AI97" s="4"/>
      <c r="AJ97" s="4">
        <f t="shared" si="21"/>
        <v>0</v>
      </c>
      <c r="AK97" s="4">
        <f t="shared" si="26"/>
        <v>0</v>
      </c>
      <c r="AL97" s="112"/>
      <c r="AM97" s="130"/>
      <c r="AN97" s="4">
        <f t="shared" si="22"/>
        <v>0</v>
      </c>
      <c r="AO97" s="4"/>
      <c r="AP97" s="4">
        <f t="shared" si="39"/>
        <v>0</v>
      </c>
      <c r="AQ97" s="4"/>
      <c r="AR97" s="4"/>
      <c r="AS97" s="4"/>
      <c r="AT97" s="4"/>
      <c r="AU97" s="4"/>
      <c r="AV97" s="4"/>
      <c r="AW97" s="4"/>
      <c r="AX97" s="4">
        <f t="shared" si="27"/>
        <v>0</v>
      </c>
      <c r="AY97" s="4"/>
      <c r="AZ97" s="4">
        <f t="shared" si="28"/>
        <v>0</v>
      </c>
      <c r="BA97" s="4"/>
      <c r="BB97" s="4"/>
      <c r="BC97" s="4"/>
      <c r="BD97" s="4"/>
      <c r="BE97" s="4">
        <f t="shared" si="29"/>
        <v>0</v>
      </c>
      <c r="BF97" s="4">
        <f t="shared" si="30"/>
        <v>0</v>
      </c>
      <c r="BG97" s="4"/>
      <c r="BH97" s="4">
        <f t="shared" si="31"/>
        <v>0</v>
      </c>
      <c r="BI97" s="4"/>
      <c r="BJ97" s="4"/>
      <c r="BK97" s="4"/>
      <c r="BL97" s="4"/>
    </row>
    <row r="98" spans="1:66" ht="30" customHeight="1">
      <c r="A98" s="3">
        <f t="shared" si="23"/>
        <v>93</v>
      </c>
      <c r="B98" s="3">
        <v>20088</v>
      </c>
      <c r="C98" s="3" t="s">
        <v>586</v>
      </c>
      <c r="D98" s="4">
        <v>30000</v>
      </c>
      <c r="E98" s="4">
        <v>30000</v>
      </c>
      <c r="F98" s="4">
        <f t="shared" si="32"/>
        <v>0</v>
      </c>
      <c r="G98" s="4">
        <v>30000</v>
      </c>
      <c r="H98" s="4">
        <v>0</v>
      </c>
      <c r="I98" s="4">
        <v>0</v>
      </c>
      <c r="J98" s="4">
        <v>0</v>
      </c>
      <c r="K98" s="4">
        <f t="shared" si="33"/>
        <v>0</v>
      </c>
      <c r="L98" s="4">
        <f t="shared" si="34"/>
        <v>0</v>
      </c>
      <c r="M98" s="4">
        <f>P98+S98-30000</f>
        <v>0</v>
      </c>
      <c r="N98" s="4">
        <v>30000</v>
      </c>
      <c r="O98" s="4">
        <f t="shared" si="35"/>
        <v>0</v>
      </c>
      <c r="P98" s="4">
        <f t="shared" si="36"/>
        <v>30000</v>
      </c>
      <c r="Q98" s="4"/>
      <c r="R98" s="4"/>
      <c r="S98" s="4">
        <f t="shared" si="24"/>
        <v>0</v>
      </c>
      <c r="T98" s="4">
        <f t="shared" si="37"/>
        <v>30000</v>
      </c>
      <c r="U98" s="4">
        <f t="shared" si="38"/>
        <v>0</v>
      </c>
      <c r="V98" s="4"/>
      <c r="W98" s="4">
        <f t="shared" si="40"/>
        <v>0</v>
      </c>
      <c r="X98" s="4"/>
      <c r="Y98" s="4"/>
      <c r="Z98" s="4"/>
      <c r="AA98" s="3"/>
      <c r="AB98" s="3" t="s">
        <v>597</v>
      </c>
      <c r="AC98" s="3">
        <v>810000</v>
      </c>
      <c r="AD98" s="4"/>
      <c r="AE98" s="4"/>
      <c r="AF98" s="4"/>
      <c r="AG98" s="4"/>
      <c r="AH98" s="4"/>
      <c r="AI98" s="4"/>
      <c r="AJ98" s="4">
        <f t="shared" si="21"/>
        <v>0</v>
      </c>
      <c r="AK98" s="4">
        <f t="shared" si="26"/>
        <v>0</v>
      </c>
      <c r="AL98" s="112"/>
      <c r="AM98" s="130"/>
      <c r="AN98" s="4">
        <f t="shared" si="22"/>
        <v>0</v>
      </c>
      <c r="AO98" s="4"/>
      <c r="AP98" s="4">
        <f t="shared" si="39"/>
        <v>0</v>
      </c>
      <c r="AQ98" s="4"/>
      <c r="AR98" s="4"/>
      <c r="AS98" s="4"/>
      <c r="AT98" s="4"/>
      <c r="AU98" s="4"/>
      <c r="AV98" s="4"/>
      <c r="AW98" s="4"/>
      <c r="AX98" s="4">
        <f t="shared" si="27"/>
        <v>0</v>
      </c>
      <c r="AY98" s="4"/>
      <c r="AZ98" s="4">
        <f t="shared" si="28"/>
        <v>0</v>
      </c>
      <c r="BA98" s="4"/>
      <c r="BB98" s="4"/>
      <c r="BC98" s="4"/>
      <c r="BD98" s="4"/>
      <c r="BE98" s="4">
        <f t="shared" si="29"/>
        <v>0</v>
      </c>
      <c r="BF98" s="4">
        <f t="shared" si="30"/>
        <v>0</v>
      </c>
      <c r="BG98" s="4"/>
      <c r="BH98" s="4">
        <f t="shared" si="31"/>
        <v>0</v>
      </c>
      <c r="BI98" s="4"/>
      <c r="BJ98" s="4"/>
      <c r="BK98" s="4"/>
      <c r="BL98" s="4"/>
    </row>
    <row r="99" spans="1:66" ht="30" customHeight="1">
      <c r="A99" s="3">
        <f t="shared" si="23"/>
        <v>94</v>
      </c>
      <c r="B99" s="3">
        <v>20089</v>
      </c>
      <c r="C99" s="3" t="s">
        <v>587</v>
      </c>
      <c r="D99" s="4">
        <v>1500000</v>
      </c>
      <c r="E99" s="4">
        <v>1500000</v>
      </c>
      <c r="F99" s="4">
        <f t="shared" si="32"/>
        <v>0</v>
      </c>
      <c r="G99" s="4">
        <v>500000</v>
      </c>
      <c r="H99" s="4">
        <v>0</v>
      </c>
      <c r="I99" s="4">
        <v>0</v>
      </c>
      <c r="J99" s="4">
        <v>0</v>
      </c>
      <c r="K99" s="4">
        <f t="shared" si="33"/>
        <v>0</v>
      </c>
      <c r="L99" s="4">
        <f t="shared" si="34"/>
        <v>0</v>
      </c>
      <c r="M99" s="4">
        <f>P99+S99-500000</f>
        <v>0</v>
      </c>
      <c r="N99" s="4">
        <f>500000+500000</f>
        <v>1000000</v>
      </c>
      <c r="O99" s="4">
        <f t="shared" si="35"/>
        <v>500000</v>
      </c>
      <c r="P99" s="4">
        <f t="shared" si="36"/>
        <v>500000</v>
      </c>
      <c r="Q99" s="4"/>
      <c r="R99" s="4"/>
      <c r="S99" s="4">
        <f t="shared" si="24"/>
        <v>0</v>
      </c>
      <c r="T99" s="4">
        <f t="shared" si="37"/>
        <v>500000</v>
      </c>
      <c r="U99" s="4">
        <f t="shared" si="38"/>
        <v>500000</v>
      </c>
      <c r="V99" s="4"/>
      <c r="W99" s="4">
        <f t="shared" si="40"/>
        <v>0</v>
      </c>
      <c r="X99" s="4"/>
      <c r="Y99" s="4"/>
      <c r="Z99" s="4"/>
      <c r="AA99" s="4">
        <v>500000</v>
      </c>
      <c r="AB99" s="3" t="s">
        <v>598</v>
      </c>
      <c r="AC99" s="3">
        <v>848000</v>
      </c>
      <c r="AD99" s="4"/>
      <c r="AE99" s="4"/>
      <c r="AF99" s="4"/>
      <c r="AG99" s="4"/>
      <c r="AH99" s="4"/>
      <c r="AI99" s="4"/>
      <c r="AJ99" s="4">
        <f t="shared" si="21"/>
        <v>0</v>
      </c>
      <c r="AK99" s="4">
        <f t="shared" si="26"/>
        <v>500000</v>
      </c>
      <c r="AL99" s="112"/>
      <c r="AM99" s="130"/>
      <c r="AN99" s="4">
        <f t="shared" si="22"/>
        <v>500000</v>
      </c>
      <c r="AO99" s="4"/>
      <c r="AP99" s="4">
        <f t="shared" si="39"/>
        <v>0</v>
      </c>
      <c r="AQ99" s="4"/>
      <c r="AR99" s="4"/>
      <c r="AS99" s="4"/>
      <c r="AT99" s="4">
        <v>500000</v>
      </c>
      <c r="AU99" s="4"/>
      <c r="AV99" s="4"/>
      <c r="AW99" s="4">
        <v>500000</v>
      </c>
      <c r="AX99" s="4">
        <f t="shared" si="27"/>
        <v>0</v>
      </c>
      <c r="AY99" s="4"/>
      <c r="AZ99" s="4">
        <f t="shared" si="28"/>
        <v>0</v>
      </c>
      <c r="BA99" s="4"/>
      <c r="BB99" s="4"/>
      <c r="BC99" s="4"/>
      <c r="BD99" s="4"/>
      <c r="BE99" s="4">
        <f t="shared" si="29"/>
        <v>0</v>
      </c>
      <c r="BF99" s="4">
        <f t="shared" si="30"/>
        <v>500000</v>
      </c>
      <c r="BG99" s="4"/>
      <c r="BH99" s="4">
        <f t="shared" si="31"/>
        <v>0</v>
      </c>
      <c r="BI99" s="4"/>
      <c r="BJ99" s="4"/>
      <c r="BK99" s="4"/>
      <c r="BL99" s="4"/>
    </row>
    <row r="100" spans="1:66" ht="30" customHeight="1">
      <c r="A100" s="3">
        <f t="shared" si="23"/>
        <v>95</v>
      </c>
      <c r="B100" s="3">
        <v>20091</v>
      </c>
      <c r="C100" s="3" t="s">
        <v>588</v>
      </c>
      <c r="D100" s="4">
        <f>500000+375000+325000</f>
        <v>1200000</v>
      </c>
      <c r="E100" s="4">
        <v>500000</v>
      </c>
      <c r="F100" s="4">
        <f t="shared" si="32"/>
        <v>700000</v>
      </c>
      <c r="G100" s="4">
        <v>500000</v>
      </c>
      <c r="H100" s="4">
        <v>224455</v>
      </c>
      <c r="I100" s="4">
        <v>0</v>
      </c>
      <c r="J100" s="4">
        <v>275533</v>
      </c>
      <c r="K100" s="4">
        <f t="shared" si="33"/>
        <v>275533</v>
      </c>
      <c r="L100" s="4">
        <f t="shared" si="34"/>
        <v>499988</v>
      </c>
      <c r="M100" s="4">
        <f>P100+S100</f>
        <v>12</v>
      </c>
      <c r="N100" s="4">
        <f>375000+325000-300000</f>
        <v>400000</v>
      </c>
      <c r="O100" s="4">
        <f t="shared" si="35"/>
        <v>300000</v>
      </c>
      <c r="P100" s="4">
        <f t="shared" si="36"/>
        <v>12</v>
      </c>
      <c r="Q100" s="4"/>
      <c r="R100" s="4"/>
      <c r="S100" s="4">
        <f t="shared" si="24"/>
        <v>0</v>
      </c>
      <c r="T100" s="4">
        <f t="shared" si="37"/>
        <v>0</v>
      </c>
      <c r="U100" s="4">
        <f t="shared" si="38"/>
        <v>400000</v>
      </c>
      <c r="V100" s="4"/>
      <c r="W100" s="4">
        <f t="shared" si="40"/>
        <v>400000</v>
      </c>
      <c r="X100" s="4"/>
      <c r="Y100" s="4"/>
      <c r="Z100" s="4"/>
      <c r="AA100" s="3"/>
      <c r="AB100" s="3" t="s">
        <v>599</v>
      </c>
      <c r="AC100" s="3">
        <v>870000</v>
      </c>
      <c r="AD100" s="4"/>
      <c r="AE100" s="4">
        <v>400000</v>
      </c>
      <c r="AF100" s="4"/>
      <c r="AG100" s="4"/>
      <c r="AH100" s="4"/>
      <c r="AI100" s="4"/>
      <c r="AJ100" s="4">
        <f t="shared" si="21"/>
        <v>400000</v>
      </c>
      <c r="AK100" s="4">
        <f t="shared" si="26"/>
        <v>0</v>
      </c>
      <c r="AL100" s="112"/>
      <c r="AM100" s="130"/>
      <c r="AN100" s="4">
        <f t="shared" si="22"/>
        <v>0</v>
      </c>
      <c r="AO100" s="4"/>
      <c r="AP100" s="4">
        <f t="shared" si="39"/>
        <v>0</v>
      </c>
      <c r="AQ100" s="4"/>
      <c r="AR100" s="4"/>
      <c r="AS100" s="4"/>
      <c r="AT100" s="4"/>
      <c r="AU100" s="4"/>
      <c r="AV100" s="4"/>
      <c r="AW100" s="4"/>
      <c r="AX100" s="4">
        <f t="shared" si="27"/>
        <v>0</v>
      </c>
      <c r="AY100" s="4"/>
      <c r="AZ100" s="4">
        <f t="shared" si="28"/>
        <v>0</v>
      </c>
      <c r="BA100" s="4"/>
      <c r="BB100" s="4"/>
      <c r="BC100" s="4"/>
      <c r="BD100" s="4"/>
      <c r="BE100" s="4">
        <f t="shared" si="29"/>
        <v>400000</v>
      </c>
      <c r="BF100" s="4">
        <f t="shared" si="30"/>
        <v>0</v>
      </c>
      <c r="BG100" s="4"/>
      <c r="BH100" s="4">
        <f t="shared" si="31"/>
        <v>400000</v>
      </c>
      <c r="BI100" s="4"/>
      <c r="BJ100" s="4"/>
      <c r="BK100" s="4"/>
      <c r="BL100" s="4"/>
    </row>
    <row r="101" spans="1:66" ht="30" customHeight="1">
      <c r="A101" s="3">
        <f t="shared" si="23"/>
        <v>96</v>
      </c>
      <c r="B101" s="3">
        <v>20092</v>
      </c>
      <c r="C101" s="3" t="s">
        <v>1185</v>
      </c>
      <c r="D101" s="4">
        <v>530000</v>
      </c>
      <c r="E101" s="4">
        <v>530000</v>
      </c>
      <c r="F101" s="4">
        <f t="shared" si="32"/>
        <v>0</v>
      </c>
      <c r="G101" s="4">
        <v>530000</v>
      </c>
      <c r="H101" s="4">
        <v>530000</v>
      </c>
      <c r="I101" s="4">
        <v>0</v>
      </c>
      <c r="J101" s="4"/>
      <c r="K101" s="4">
        <f t="shared" si="33"/>
        <v>0</v>
      </c>
      <c r="L101" s="4">
        <f t="shared" si="34"/>
        <v>530000</v>
      </c>
      <c r="M101" s="4">
        <f>P101+S101</f>
        <v>0</v>
      </c>
      <c r="N101" s="4"/>
      <c r="O101" s="4">
        <f t="shared" si="35"/>
        <v>0</v>
      </c>
      <c r="P101" s="4">
        <f t="shared" si="36"/>
        <v>0</v>
      </c>
      <c r="Q101" s="4"/>
      <c r="R101" s="4"/>
      <c r="S101" s="4">
        <f t="shared" si="24"/>
        <v>0</v>
      </c>
      <c r="T101" s="4">
        <f t="shared" si="37"/>
        <v>0</v>
      </c>
      <c r="U101" s="4">
        <f t="shared" si="38"/>
        <v>0</v>
      </c>
      <c r="V101" s="4"/>
      <c r="W101" s="4">
        <f t="shared" si="40"/>
        <v>0</v>
      </c>
      <c r="X101" s="4"/>
      <c r="Y101" s="4"/>
      <c r="Z101" s="4"/>
      <c r="AA101" s="3"/>
      <c r="AB101" s="3" t="s">
        <v>1014</v>
      </c>
      <c r="AC101" s="3">
        <v>930000</v>
      </c>
      <c r="AD101" s="4"/>
      <c r="AE101" s="4"/>
      <c r="AF101" s="4"/>
      <c r="AG101" s="4"/>
      <c r="AH101" s="4"/>
      <c r="AI101" s="4"/>
      <c r="AJ101" s="4">
        <f t="shared" si="21"/>
        <v>0</v>
      </c>
      <c r="AK101" s="4">
        <f t="shared" si="26"/>
        <v>0</v>
      </c>
      <c r="AL101" s="112"/>
      <c r="AM101" s="130"/>
      <c r="AN101" s="4">
        <f t="shared" si="22"/>
        <v>0</v>
      </c>
      <c r="AO101" s="4"/>
      <c r="AP101" s="4">
        <f t="shared" si="39"/>
        <v>0</v>
      </c>
      <c r="AQ101" s="4"/>
      <c r="AR101" s="4"/>
      <c r="AS101" s="4"/>
      <c r="AT101" s="4"/>
      <c r="AU101" s="4"/>
      <c r="AV101" s="4"/>
      <c r="AW101" s="4"/>
      <c r="AX101" s="4">
        <f t="shared" si="27"/>
        <v>0</v>
      </c>
      <c r="AY101" s="4"/>
      <c r="AZ101" s="4">
        <f t="shared" si="28"/>
        <v>0</v>
      </c>
      <c r="BA101" s="4"/>
      <c r="BB101" s="4"/>
      <c r="BC101" s="4"/>
      <c r="BD101" s="4"/>
      <c r="BE101" s="4">
        <f t="shared" si="29"/>
        <v>0</v>
      </c>
      <c r="BF101" s="4">
        <f t="shared" si="30"/>
        <v>0</v>
      </c>
      <c r="BG101" s="4"/>
      <c r="BH101" s="4">
        <f t="shared" si="31"/>
        <v>0</v>
      </c>
      <c r="BI101" s="4"/>
      <c r="BJ101" s="4"/>
      <c r="BK101" s="4"/>
      <c r="BL101" s="4"/>
    </row>
    <row r="102" spans="1:66" ht="30" customHeight="1">
      <c r="A102" s="3">
        <f t="shared" si="23"/>
        <v>97</v>
      </c>
      <c r="B102" s="3">
        <v>20094</v>
      </c>
      <c r="C102" s="3" t="s">
        <v>589</v>
      </c>
      <c r="D102" s="4">
        <v>2090000</v>
      </c>
      <c r="E102" s="4">
        <v>2090000</v>
      </c>
      <c r="F102" s="4">
        <f t="shared" si="32"/>
        <v>0</v>
      </c>
      <c r="G102" s="4">
        <v>2090000</v>
      </c>
      <c r="H102" s="4">
        <v>1770879</v>
      </c>
      <c r="I102" s="4"/>
      <c r="J102" s="4">
        <v>319121</v>
      </c>
      <c r="K102" s="4">
        <f t="shared" si="33"/>
        <v>319121</v>
      </c>
      <c r="L102" s="4">
        <f t="shared" si="34"/>
        <v>2090000</v>
      </c>
      <c r="M102" s="4">
        <f>P102+S102</f>
        <v>0</v>
      </c>
      <c r="N102" s="4"/>
      <c r="O102" s="4">
        <f t="shared" si="35"/>
        <v>0</v>
      </c>
      <c r="P102" s="4">
        <f t="shared" si="36"/>
        <v>0</v>
      </c>
      <c r="Q102" s="4"/>
      <c r="R102" s="4"/>
      <c r="S102" s="4">
        <f t="shared" si="24"/>
        <v>0</v>
      </c>
      <c r="T102" s="4">
        <f t="shared" si="37"/>
        <v>0</v>
      </c>
      <c r="U102" s="4">
        <f t="shared" si="38"/>
        <v>0</v>
      </c>
      <c r="V102" s="4">
        <v>-523000</v>
      </c>
      <c r="W102" s="4">
        <f t="shared" si="40"/>
        <v>0</v>
      </c>
      <c r="X102" s="4"/>
      <c r="Y102" s="4"/>
      <c r="Z102" s="4"/>
      <c r="AA102" s="4">
        <v>523000</v>
      </c>
      <c r="AB102" s="3" t="s">
        <v>709</v>
      </c>
      <c r="AC102" s="3">
        <v>829000</v>
      </c>
      <c r="AD102" s="536"/>
      <c r="AE102" s="4"/>
      <c r="AF102" s="4"/>
      <c r="AG102" s="4"/>
      <c r="AH102" s="4"/>
      <c r="AI102" s="4"/>
      <c r="AJ102" s="4">
        <f t="shared" ref="AJ102:AJ115" si="41">SUM(AD102:AI102)+AL102</f>
        <v>0</v>
      </c>
      <c r="AK102" s="4">
        <f t="shared" si="26"/>
        <v>0</v>
      </c>
      <c r="AL102" s="112"/>
      <c r="AM102" s="130"/>
      <c r="AN102" s="4">
        <f t="shared" ref="AN102:AN115" si="42">AK102+AM102</f>
        <v>0</v>
      </c>
      <c r="AO102" s="4"/>
      <c r="AP102" s="4">
        <f t="shared" si="39"/>
        <v>0</v>
      </c>
      <c r="AQ102" s="4"/>
      <c r="AR102" s="4"/>
      <c r="AS102" s="4"/>
      <c r="AT102" s="4"/>
      <c r="AU102" s="4"/>
      <c r="AV102" s="4"/>
      <c r="AW102" s="4"/>
      <c r="AX102" s="4">
        <f t="shared" si="27"/>
        <v>0</v>
      </c>
      <c r="AY102" s="4"/>
      <c r="AZ102" s="4">
        <f t="shared" si="28"/>
        <v>0</v>
      </c>
      <c r="BA102" s="4"/>
      <c r="BB102" s="4"/>
      <c r="BC102" s="4"/>
      <c r="BD102" s="4"/>
      <c r="BE102" s="4">
        <f t="shared" si="29"/>
        <v>0</v>
      </c>
      <c r="BF102" s="4">
        <f t="shared" si="30"/>
        <v>0</v>
      </c>
      <c r="BG102" s="4">
        <v>-523000</v>
      </c>
      <c r="BH102" s="4">
        <f t="shared" si="31"/>
        <v>0</v>
      </c>
      <c r="BI102" s="4"/>
      <c r="BJ102" s="4"/>
      <c r="BK102" s="4"/>
      <c r="BL102" s="4">
        <v>523000</v>
      </c>
    </row>
    <row r="103" spans="1:66" ht="30" customHeight="1">
      <c r="A103" s="3">
        <f t="shared" si="23"/>
        <v>98</v>
      </c>
      <c r="B103" s="3">
        <v>20095</v>
      </c>
      <c r="C103" s="3" t="s">
        <v>1186</v>
      </c>
      <c r="D103" s="4">
        <v>1000000</v>
      </c>
      <c r="E103" s="4">
        <v>1000000</v>
      </c>
      <c r="F103" s="4">
        <f t="shared" si="32"/>
        <v>0</v>
      </c>
      <c r="G103" s="4">
        <v>1000000</v>
      </c>
      <c r="H103" s="4">
        <v>299790</v>
      </c>
      <c r="I103" s="4">
        <v>0</v>
      </c>
      <c r="J103" s="4">
        <v>349994</v>
      </c>
      <c r="K103" s="4">
        <f t="shared" si="33"/>
        <v>349994</v>
      </c>
      <c r="L103" s="4">
        <f t="shared" si="34"/>
        <v>649784</v>
      </c>
      <c r="M103" s="4">
        <f>P103+S103-350000</f>
        <v>216</v>
      </c>
      <c r="N103" s="4">
        <v>350000</v>
      </c>
      <c r="O103" s="4">
        <f t="shared" si="35"/>
        <v>0</v>
      </c>
      <c r="P103" s="4">
        <f t="shared" si="36"/>
        <v>350216</v>
      </c>
      <c r="Q103" s="4"/>
      <c r="R103" s="4"/>
      <c r="S103" s="4">
        <f t="shared" si="24"/>
        <v>0</v>
      </c>
      <c r="T103" s="4">
        <f t="shared" si="37"/>
        <v>350000</v>
      </c>
      <c r="U103" s="4">
        <f t="shared" si="38"/>
        <v>0</v>
      </c>
      <c r="V103" s="4"/>
      <c r="W103" s="4">
        <f t="shared" si="40"/>
        <v>0</v>
      </c>
      <c r="X103" s="4"/>
      <c r="Y103" s="4"/>
      <c r="Z103" s="4"/>
      <c r="AA103" s="3"/>
      <c r="AB103" s="3" t="s">
        <v>1015</v>
      </c>
      <c r="AC103" s="3">
        <v>930000</v>
      </c>
      <c r="AD103" s="4"/>
      <c r="AE103" s="4"/>
      <c r="AF103" s="4"/>
      <c r="AG103" s="4"/>
      <c r="AH103" s="4"/>
      <c r="AI103" s="4"/>
      <c r="AJ103" s="4">
        <f t="shared" si="41"/>
        <v>0</v>
      </c>
      <c r="AK103" s="4">
        <f t="shared" si="26"/>
        <v>0</v>
      </c>
      <c r="AL103" s="112"/>
      <c r="AM103" s="130"/>
      <c r="AN103" s="4">
        <f t="shared" si="42"/>
        <v>0</v>
      </c>
      <c r="AO103" s="4"/>
      <c r="AP103" s="4">
        <f t="shared" si="39"/>
        <v>0</v>
      </c>
      <c r="AQ103" s="4"/>
      <c r="AR103" s="4"/>
      <c r="AS103" s="4"/>
      <c r="AT103" s="4"/>
      <c r="AU103" s="4"/>
      <c r="AV103" s="4"/>
      <c r="AW103" s="4"/>
      <c r="AX103" s="4">
        <f t="shared" si="27"/>
        <v>0</v>
      </c>
      <c r="AY103" s="4"/>
      <c r="AZ103" s="4">
        <f t="shared" si="28"/>
        <v>0</v>
      </c>
      <c r="BA103" s="4"/>
      <c r="BB103" s="4"/>
      <c r="BC103" s="4"/>
      <c r="BD103" s="4"/>
      <c r="BE103" s="4">
        <f t="shared" si="29"/>
        <v>0</v>
      </c>
      <c r="BF103" s="4">
        <f t="shared" si="30"/>
        <v>0</v>
      </c>
      <c r="BG103" s="4"/>
      <c r="BH103" s="4">
        <f t="shared" si="31"/>
        <v>0</v>
      </c>
      <c r="BI103" s="4"/>
      <c r="BJ103" s="4"/>
      <c r="BK103" s="4"/>
      <c r="BL103" s="4"/>
    </row>
    <row r="104" spans="1:66" ht="43.5" customHeight="1">
      <c r="A104" s="3">
        <f t="shared" si="23"/>
        <v>99</v>
      </c>
      <c r="B104" s="3">
        <v>20096</v>
      </c>
      <c r="C104" s="3" t="s">
        <v>1187</v>
      </c>
      <c r="D104" s="4">
        <v>2050000</v>
      </c>
      <c r="E104" s="4">
        <v>2050000</v>
      </c>
      <c r="F104" s="4">
        <f t="shared" si="32"/>
        <v>0</v>
      </c>
      <c r="G104" s="4">
        <v>2050000</v>
      </c>
      <c r="H104" s="4">
        <v>1513333</v>
      </c>
      <c r="I104" s="4">
        <v>0</v>
      </c>
      <c r="J104" s="4">
        <f>22753+425922</f>
        <v>448675</v>
      </c>
      <c r="K104" s="4">
        <f t="shared" si="33"/>
        <v>448675</v>
      </c>
      <c r="L104" s="4">
        <f t="shared" si="34"/>
        <v>1962008</v>
      </c>
      <c r="M104" s="4">
        <f>P104+S104-85000</f>
        <v>2992</v>
      </c>
      <c r="N104" s="4">
        <f>80000+5000</f>
        <v>85000</v>
      </c>
      <c r="O104" s="4">
        <f t="shared" si="35"/>
        <v>0</v>
      </c>
      <c r="P104" s="4">
        <f t="shared" si="36"/>
        <v>87992</v>
      </c>
      <c r="Q104" s="4"/>
      <c r="R104" s="4"/>
      <c r="S104" s="4">
        <f t="shared" si="24"/>
        <v>0</v>
      </c>
      <c r="T104" s="4">
        <f t="shared" si="37"/>
        <v>85000</v>
      </c>
      <c r="U104" s="4">
        <f t="shared" si="38"/>
        <v>0</v>
      </c>
      <c r="V104" s="4"/>
      <c r="W104" s="4">
        <f t="shared" si="40"/>
        <v>0</v>
      </c>
      <c r="X104" s="4"/>
      <c r="Y104" s="4"/>
      <c r="Z104" s="4"/>
      <c r="AA104" s="3"/>
      <c r="AB104" s="3" t="s">
        <v>1016</v>
      </c>
      <c r="AC104" s="3">
        <v>930000</v>
      </c>
      <c r="AD104" s="4"/>
      <c r="AE104" s="4"/>
      <c r="AF104" s="4"/>
      <c r="AG104" s="4"/>
      <c r="AH104" s="4"/>
      <c r="AI104" s="4"/>
      <c r="AJ104" s="4">
        <f t="shared" si="41"/>
        <v>0</v>
      </c>
      <c r="AK104" s="4">
        <f t="shared" si="26"/>
        <v>0</v>
      </c>
      <c r="AL104" s="112"/>
      <c r="AM104" s="130"/>
      <c r="AN104" s="4">
        <f t="shared" si="42"/>
        <v>0</v>
      </c>
      <c r="AO104" s="4"/>
      <c r="AP104" s="4">
        <f t="shared" si="39"/>
        <v>0</v>
      </c>
      <c r="AQ104" s="4"/>
      <c r="AR104" s="4"/>
      <c r="AS104" s="4"/>
      <c r="AT104" s="4"/>
      <c r="AU104" s="4"/>
      <c r="AV104" s="4"/>
      <c r="AW104" s="4"/>
      <c r="AX104" s="4">
        <f t="shared" si="27"/>
        <v>0</v>
      </c>
      <c r="AY104" s="4"/>
      <c r="AZ104" s="4">
        <f t="shared" si="28"/>
        <v>0</v>
      </c>
      <c r="BA104" s="4"/>
      <c r="BB104" s="4"/>
      <c r="BC104" s="4"/>
      <c r="BD104" s="4"/>
      <c r="BE104" s="4">
        <f t="shared" si="29"/>
        <v>0</v>
      </c>
      <c r="BF104" s="4">
        <f t="shared" si="30"/>
        <v>0</v>
      </c>
      <c r="BG104" s="4"/>
      <c r="BH104" s="4">
        <f t="shared" si="31"/>
        <v>0</v>
      </c>
      <c r="BI104" s="4"/>
      <c r="BJ104" s="4"/>
      <c r="BK104" s="4"/>
      <c r="BL104" s="4"/>
    </row>
    <row r="105" spans="1:66" ht="30" customHeight="1">
      <c r="A105" s="3">
        <f t="shared" si="23"/>
        <v>100</v>
      </c>
      <c r="B105" s="3">
        <v>20100</v>
      </c>
      <c r="C105" s="3" t="s">
        <v>591</v>
      </c>
      <c r="D105" s="4">
        <f>2100000-90000</f>
        <v>2010000</v>
      </c>
      <c r="E105" s="4">
        <v>2100000</v>
      </c>
      <c r="F105" s="4">
        <f>D105-E105</f>
        <v>-90000</v>
      </c>
      <c r="G105" s="4">
        <v>2100000</v>
      </c>
      <c r="H105" s="4">
        <v>2242</v>
      </c>
      <c r="I105" s="4">
        <v>0</v>
      </c>
      <c r="J105" s="4">
        <v>1974255</v>
      </c>
      <c r="K105" s="4">
        <f>I105+J105</f>
        <v>1974255</v>
      </c>
      <c r="L105" s="4">
        <f>H105+K105</f>
        <v>1976497</v>
      </c>
      <c r="M105" s="4">
        <f>P105+S105-100000-20000</f>
        <v>3503</v>
      </c>
      <c r="N105" s="4">
        <f>100000+20000-90000</f>
        <v>30000</v>
      </c>
      <c r="O105" s="4">
        <f>D105-L105-M105-N105</f>
        <v>0</v>
      </c>
      <c r="P105" s="4">
        <f>G105-L105</f>
        <v>123503</v>
      </c>
      <c r="Q105" s="4"/>
      <c r="R105" s="4"/>
      <c r="S105" s="4">
        <f>SUM(Q105:R105)</f>
        <v>0</v>
      </c>
      <c r="T105" s="4">
        <f>P105-M105+S105</f>
        <v>120000</v>
      </c>
      <c r="U105" s="4">
        <f>N105-T105</f>
        <v>-90000</v>
      </c>
      <c r="V105" s="4">
        <v>-90000</v>
      </c>
      <c r="W105" s="4">
        <f t="shared" si="40"/>
        <v>0</v>
      </c>
      <c r="X105" s="4"/>
      <c r="Y105" s="4"/>
      <c r="Z105" s="4"/>
      <c r="AA105" s="3"/>
      <c r="AB105" s="3" t="s">
        <v>600</v>
      </c>
      <c r="AC105" s="3">
        <v>742000</v>
      </c>
      <c r="AD105" s="4">
        <v>-90000</v>
      </c>
      <c r="AE105" s="4"/>
      <c r="AF105" s="4"/>
      <c r="AG105" s="4"/>
      <c r="AH105" s="4"/>
      <c r="AI105" s="4"/>
      <c r="AJ105" s="4">
        <f t="shared" si="41"/>
        <v>-90000</v>
      </c>
      <c r="AK105" s="4">
        <f t="shared" si="26"/>
        <v>0</v>
      </c>
      <c r="AL105" s="112"/>
      <c r="AM105" s="130"/>
      <c r="AN105" s="4">
        <f t="shared" si="42"/>
        <v>0</v>
      </c>
      <c r="AO105" s="4"/>
      <c r="AP105" s="4">
        <f t="shared" si="39"/>
        <v>0</v>
      </c>
      <c r="AQ105" s="4"/>
      <c r="AR105" s="4"/>
      <c r="AS105" s="4"/>
      <c r="AT105" s="4"/>
      <c r="AU105" s="4"/>
      <c r="AV105" s="4"/>
      <c r="AW105" s="4"/>
      <c r="AX105" s="4">
        <f t="shared" si="27"/>
        <v>0</v>
      </c>
      <c r="AY105" s="4"/>
      <c r="AZ105" s="4">
        <f t="shared" si="28"/>
        <v>0</v>
      </c>
      <c r="BA105" s="4"/>
      <c r="BB105" s="4"/>
      <c r="BC105" s="4"/>
      <c r="BD105" s="4"/>
      <c r="BE105" s="4">
        <f t="shared" si="29"/>
        <v>-90000</v>
      </c>
      <c r="BF105" s="4">
        <f t="shared" si="30"/>
        <v>0</v>
      </c>
      <c r="BG105" s="4"/>
      <c r="BH105" s="4">
        <f t="shared" si="31"/>
        <v>-90000</v>
      </c>
      <c r="BI105" s="4"/>
      <c r="BJ105" s="4"/>
      <c r="BK105" s="4"/>
      <c r="BL105" s="4"/>
    </row>
    <row r="106" spans="1:66" ht="30" customHeight="1">
      <c r="A106" s="3">
        <f t="shared" si="23"/>
        <v>101</v>
      </c>
      <c r="B106" s="3">
        <v>20104</v>
      </c>
      <c r="C106" s="3" t="s">
        <v>772</v>
      </c>
      <c r="D106" s="4">
        <f>5000000+17000000+1200000</f>
        <v>23200000</v>
      </c>
      <c r="E106" s="4">
        <f>5000000+18200000</f>
        <v>23200000</v>
      </c>
      <c r="F106" s="4">
        <f t="shared" si="32"/>
        <v>0</v>
      </c>
      <c r="G106" s="4"/>
      <c r="H106" s="4">
        <v>0</v>
      </c>
      <c r="I106" s="4">
        <v>0</v>
      </c>
      <c r="J106" s="4">
        <v>60652</v>
      </c>
      <c r="K106" s="4">
        <f t="shared" si="33"/>
        <v>60652</v>
      </c>
      <c r="L106" s="4">
        <f t="shared" si="34"/>
        <v>60652</v>
      </c>
      <c r="M106" s="4">
        <f>P106+S106-4800000-100000-35000</f>
        <v>4348</v>
      </c>
      <c r="N106" s="4">
        <f>4800000+100000+18200000+35000</f>
        <v>23135000</v>
      </c>
      <c r="O106" s="4">
        <f t="shared" si="35"/>
        <v>0</v>
      </c>
      <c r="P106" s="4">
        <f t="shared" si="36"/>
        <v>-60652</v>
      </c>
      <c r="Q106" s="4"/>
      <c r="R106" s="4">
        <v>5000000</v>
      </c>
      <c r="S106" s="4">
        <f t="shared" si="24"/>
        <v>5000000</v>
      </c>
      <c r="T106" s="4">
        <f t="shared" si="37"/>
        <v>4935000</v>
      </c>
      <c r="U106" s="4">
        <f t="shared" si="38"/>
        <v>18200000</v>
      </c>
      <c r="V106" s="4"/>
      <c r="W106" s="4">
        <f t="shared" si="40"/>
        <v>-5000000</v>
      </c>
      <c r="X106" s="4"/>
      <c r="Y106" s="4">
        <f>5000000+18200000</f>
        <v>23200000</v>
      </c>
      <c r="Z106" s="4"/>
      <c r="AA106" s="3"/>
      <c r="AB106" s="3" t="s">
        <v>710</v>
      </c>
      <c r="AC106" s="3">
        <v>720000</v>
      </c>
      <c r="AD106" s="536"/>
      <c r="AE106" s="4"/>
      <c r="AF106" s="4"/>
      <c r="AG106" s="4"/>
      <c r="AH106" s="4"/>
      <c r="AI106" s="4"/>
      <c r="AJ106" s="4">
        <f t="shared" si="41"/>
        <v>18200000</v>
      </c>
      <c r="AK106" s="4">
        <f t="shared" si="26"/>
        <v>0</v>
      </c>
      <c r="AL106" s="112">
        <v>18200000</v>
      </c>
      <c r="AM106" s="130"/>
      <c r="AN106" s="4">
        <f t="shared" si="42"/>
        <v>0</v>
      </c>
      <c r="AO106" s="4"/>
      <c r="AP106" s="4">
        <f t="shared" si="39"/>
        <v>0</v>
      </c>
      <c r="AQ106" s="4"/>
      <c r="AR106" s="4"/>
      <c r="AS106" s="4"/>
      <c r="AT106" s="4"/>
      <c r="AU106" s="4"/>
      <c r="AV106" s="4"/>
      <c r="AW106" s="4"/>
      <c r="AX106" s="4">
        <f t="shared" si="27"/>
        <v>0</v>
      </c>
      <c r="AY106" s="4"/>
      <c r="AZ106" s="4">
        <f t="shared" si="28"/>
        <v>0</v>
      </c>
      <c r="BA106" s="4"/>
      <c r="BB106" s="4"/>
      <c r="BC106" s="4"/>
      <c r="BD106" s="4"/>
      <c r="BE106" s="4">
        <f t="shared" si="29"/>
        <v>18200000</v>
      </c>
      <c r="BF106" s="4">
        <f t="shared" si="30"/>
        <v>0</v>
      </c>
      <c r="BG106" s="4"/>
      <c r="BH106" s="4">
        <f t="shared" si="31"/>
        <v>-5000000</v>
      </c>
      <c r="BI106" s="4"/>
      <c r="BJ106" s="4">
        <v>23200000</v>
      </c>
      <c r="BK106" s="4"/>
      <c r="BL106" s="4"/>
    </row>
    <row r="107" spans="1:66" s="5" customFormat="1" ht="30" customHeight="1">
      <c r="A107" s="3">
        <f t="shared" si="23"/>
        <v>102</v>
      </c>
      <c r="B107" s="3">
        <v>20115</v>
      </c>
      <c r="C107" s="127" t="s">
        <v>742</v>
      </c>
      <c r="D107" s="112">
        <f>3830000+170000</f>
        <v>4000000</v>
      </c>
      <c r="E107" s="112"/>
      <c r="F107" s="112">
        <f t="shared" si="32"/>
        <v>4000000</v>
      </c>
      <c r="G107" s="112">
        <v>0</v>
      </c>
      <c r="H107" s="112"/>
      <c r="I107" s="112"/>
      <c r="J107" s="112"/>
      <c r="K107" s="112">
        <f t="shared" si="33"/>
        <v>0</v>
      </c>
      <c r="L107" s="112">
        <f t="shared" si="34"/>
        <v>0</v>
      </c>
      <c r="M107" s="112">
        <f>P107+S107</f>
        <v>0</v>
      </c>
      <c r="N107" s="112">
        <v>4000000</v>
      </c>
      <c r="O107" s="112">
        <f t="shared" si="35"/>
        <v>0</v>
      </c>
      <c r="P107" s="112">
        <f t="shared" si="36"/>
        <v>0</v>
      </c>
      <c r="Q107" s="112"/>
      <c r="R107" s="112"/>
      <c r="S107" s="112">
        <f>SUM(Q107:R107)</f>
        <v>0</v>
      </c>
      <c r="T107" s="112">
        <f t="shared" si="37"/>
        <v>0</v>
      </c>
      <c r="U107" s="4">
        <f t="shared" si="38"/>
        <v>4000000</v>
      </c>
      <c r="V107" s="112"/>
      <c r="W107" s="4">
        <f>U107-AA107-V107-Y107</f>
        <v>4000000</v>
      </c>
      <c r="X107" s="112"/>
      <c r="Y107" s="112"/>
      <c r="Z107" s="112"/>
      <c r="AA107" s="112"/>
      <c r="AB107" s="3" t="s">
        <v>743</v>
      </c>
      <c r="AC107" s="3">
        <v>742000</v>
      </c>
      <c r="AD107" s="4"/>
      <c r="AE107" s="4">
        <v>3000000</v>
      </c>
      <c r="AF107" s="4"/>
      <c r="AG107" s="4">
        <v>500000</v>
      </c>
      <c r="AH107" s="4"/>
      <c r="AI107" s="4"/>
      <c r="AJ107" s="4">
        <f t="shared" si="41"/>
        <v>3500000</v>
      </c>
      <c r="AK107" s="4">
        <f t="shared" si="26"/>
        <v>500000</v>
      </c>
      <c r="AL107" s="112"/>
      <c r="AM107" s="130"/>
      <c r="AN107" s="536">
        <f t="shared" si="42"/>
        <v>500000</v>
      </c>
      <c r="AO107" s="4"/>
      <c r="AP107" s="4">
        <f t="shared" si="39"/>
        <v>500000</v>
      </c>
      <c r="AQ107" s="4"/>
      <c r="AR107" s="4"/>
      <c r="AS107" s="4"/>
      <c r="AT107" s="4"/>
      <c r="AU107" s="4"/>
      <c r="AV107" s="4"/>
      <c r="AW107" s="4"/>
      <c r="AX107" s="4">
        <f t="shared" si="27"/>
        <v>500000</v>
      </c>
      <c r="AY107" s="4"/>
      <c r="AZ107" s="4">
        <f t="shared" si="28"/>
        <v>500000</v>
      </c>
      <c r="BA107" s="4"/>
      <c r="BB107" s="4"/>
      <c r="BC107" s="4"/>
      <c r="BD107" s="4"/>
      <c r="BE107" s="4">
        <f t="shared" si="29"/>
        <v>4000000</v>
      </c>
      <c r="BF107" s="4">
        <f t="shared" si="30"/>
        <v>0</v>
      </c>
      <c r="BG107" s="4"/>
      <c r="BH107" s="4">
        <f t="shared" si="31"/>
        <v>4000000</v>
      </c>
      <c r="BI107" s="4"/>
      <c r="BJ107" s="4"/>
      <c r="BK107" s="4"/>
      <c r="BL107" s="4"/>
      <c r="BM107" s="523"/>
      <c r="BN107" s="523"/>
    </row>
    <row r="108" spans="1:66" s="5" customFormat="1" ht="30" customHeight="1">
      <c r="A108" s="3">
        <f t="shared" si="23"/>
        <v>103</v>
      </c>
      <c r="B108" s="3">
        <v>20116</v>
      </c>
      <c r="C108" s="127" t="s">
        <v>622</v>
      </c>
      <c r="D108" s="112">
        <f>5450000+825000-875000</f>
        <v>5400000</v>
      </c>
      <c r="E108" s="112"/>
      <c r="F108" s="112">
        <f t="shared" si="32"/>
        <v>5400000</v>
      </c>
      <c r="G108" s="112">
        <v>0</v>
      </c>
      <c r="H108" s="112"/>
      <c r="I108" s="112"/>
      <c r="J108" s="112"/>
      <c r="K108" s="112">
        <f t="shared" si="33"/>
        <v>0</v>
      </c>
      <c r="L108" s="112">
        <f t="shared" si="34"/>
        <v>0</v>
      </c>
      <c r="M108" s="112">
        <f t="shared" ref="M108:M114" si="43">P108+S108</f>
        <v>0</v>
      </c>
      <c r="N108" s="112">
        <f>6275000-875000-3400000-1000000</f>
        <v>1000000</v>
      </c>
      <c r="O108" s="112">
        <f t="shared" si="35"/>
        <v>4400000</v>
      </c>
      <c r="P108" s="112">
        <f t="shared" si="36"/>
        <v>0</v>
      </c>
      <c r="Q108" s="112"/>
      <c r="R108" s="112"/>
      <c r="S108" s="112">
        <f t="shared" ref="S108:S114" si="44">SUM(Q108:R108)</f>
        <v>0</v>
      </c>
      <c r="T108" s="112">
        <f t="shared" si="37"/>
        <v>0</v>
      </c>
      <c r="U108" s="4">
        <f t="shared" si="38"/>
        <v>1000000</v>
      </c>
      <c r="V108" s="112">
        <v>1000000</v>
      </c>
      <c r="W108" s="4">
        <f t="shared" si="40"/>
        <v>0</v>
      </c>
      <c r="X108" s="112"/>
      <c r="Y108" s="112"/>
      <c r="Z108" s="112"/>
      <c r="AA108" s="112"/>
      <c r="AB108" s="3" t="s">
        <v>677</v>
      </c>
      <c r="AC108" s="3">
        <v>742000</v>
      </c>
      <c r="AD108" s="4"/>
      <c r="AE108" s="4"/>
      <c r="AF108" s="4"/>
      <c r="AG108" s="4"/>
      <c r="AH108" s="4"/>
      <c r="AI108" s="4"/>
      <c r="AJ108" s="4">
        <f t="shared" si="41"/>
        <v>0</v>
      </c>
      <c r="AK108" s="8">
        <f t="shared" si="26"/>
        <v>1000000</v>
      </c>
      <c r="AL108" s="112"/>
      <c r="AM108" s="130">
        <v>-900000</v>
      </c>
      <c r="AN108" s="4">
        <f t="shared" si="42"/>
        <v>100000</v>
      </c>
      <c r="AO108" s="4">
        <v>100000</v>
      </c>
      <c r="AP108" s="4">
        <f t="shared" si="39"/>
        <v>0</v>
      </c>
      <c r="AQ108" s="4"/>
      <c r="AR108" s="4"/>
      <c r="AS108" s="4"/>
      <c r="AT108" s="4"/>
      <c r="AU108" s="4"/>
      <c r="AV108" s="4"/>
      <c r="AW108" s="4">
        <v>100000</v>
      </c>
      <c r="AX108" s="4">
        <f t="shared" si="27"/>
        <v>0</v>
      </c>
      <c r="AY108" s="4"/>
      <c r="AZ108" s="4">
        <f t="shared" si="28"/>
        <v>0</v>
      </c>
      <c r="BA108" s="4"/>
      <c r="BB108" s="4"/>
      <c r="BC108" s="4"/>
      <c r="BD108" s="4"/>
      <c r="BE108" s="4">
        <f t="shared" si="29"/>
        <v>0</v>
      </c>
      <c r="BF108" s="4">
        <f t="shared" si="30"/>
        <v>1000000</v>
      </c>
      <c r="BG108" s="4"/>
      <c r="BH108" s="4">
        <f t="shared" si="31"/>
        <v>0</v>
      </c>
      <c r="BI108" s="4"/>
      <c r="BJ108" s="4"/>
      <c r="BK108" s="4"/>
      <c r="BL108" s="4"/>
      <c r="BM108" s="523"/>
      <c r="BN108" s="523"/>
    </row>
    <row r="109" spans="1:66" s="5" customFormat="1" ht="30" customHeight="1">
      <c r="A109" s="3">
        <f t="shared" si="23"/>
        <v>104</v>
      </c>
      <c r="B109" s="3">
        <v>20117</v>
      </c>
      <c r="C109" s="127" t="s">
        <v>653</v>
      </c>
      <c r="D109" s="112">
        <v>1600000</v>
      </c>
      <c r="E109" s="112"/>
      <c r="F109" s="112">
        <f t="shared" si="32"/>
        <v>1600000</v>
      </c>
      <c r="G109" s="112">
        <v>0</v>
      </c>
      <c r="H109" s="112"/>
      <c r="I109" s="112"/>
      <c r="J109" s="112"/>
      <c r="K109" s="112">
        <f t="shared" si="33"/>
        <v>0</v>
      </c>
      <c r="L109" s="112">
        <f t="shared" si="34"/>
        <v>0</v>
      </c>
      <c r="M109" s="112">
        <f t="shared" si="43"/>
        <v>0</v>
      </c>
      <c r="N109" s="112">
        <f>1600000-400000</f>
        <v>1200000</v>
      </c>
      <c r="O109" s="112">
        <f t="shared" si="35"/>
        <v>400000</v>
      </c>
      <c r="P109" s="112">
        <f t="shared" si="36"/>
        <v>0</v>
      </c>
      <c r="Q109" s="112"/>
      <c r="R109" s="112"/>
      <c r="S109" s="112">
        <f t="shared" si="44"/>
        <v>0</v>
      </c>
      <c r="T109" s="112">
        <f t="shared" si="37"/>
        <v>0</v>
      </c>
      <c r="U109" s="4">
        <f t="shared" si="38"/>
        <v>1200000</v>
      </c>
      <c r="V109" s="112">
        <v>1200000</v>
      </c>
      <c r="W109" s="4">
        <f t="shared" si="40"/>
        <v>0</v>
      </c>
      <c r="X109" s="112"/>
      <c r="Y109" s="112"/>
      <c r="Z109" s="112"/>
      <c r="AA109" s="112"/>
      <c r="AB109" s="3" t="s">
        <v>654</v>
      </c>
      <c r="AC109" s="3">
        <v>743000</v>
      </c>
      <c r="AD109" s="4"/>
      <c r="AE109" s="4"/>
      <c r="AF109" s="4"/>
      <c r="AG109" s="4"/>
      <c r="AH109" s="4"/>
      <c r="AI109" s="4"/>
      <c r="AJ109" s="4">
        <f t="shared" si="41"/>
        <v>0</v>
      </c>
      <c r="AK109" s="8">
        <f t="shared" si="26"/>
        <v>1200000</v>
      </c>
      <c r="AL109" s="112"/>
      <c r="AM109" s="130">
        <f>-1100000-100000</f>
        <v>-1200000</v>
      </c>
      <c r="AN109" s="4">
        <f t="shared" si="42"/>
        <v>0</v>
      </c>
      <c r="AO109" s="4"/>
      <c r="AP109" s="4">
        <f t="shared" si="39"/>
        <v>0</v>
      </c>
      <c r="AQ109" s="4"/>
      <c r="AR109" s="4"/>
      <c r="AS109" s="4"/>
      <c r="AT109" s="4"/>
      <c r="AU109" s="4"/>
      <c r="AV109" s="4"/>
      <c r="AW109" s="4"/>
      <c r="AX109" s="4">
        <f t="shared" si="27"/>
        <v>0</v>
      </c>
      <c r="AY109" s="4"/>
      <c r="AZ109" s="4">
        <f t="shared" si="28"/>
        <v>0</v>
      </c>
      <c r="BA109" s="4"/>
      <c r="BB109" s="4"/>
      <c r="BC109" s="4"/>
      <c r="BD109" s="4"/>
      <c r="BE109" s="4">
        <f t="shared" si="29"/>
        <v>0</v>
      </c>
      <c r="BF109" s="4">
        <f t="shared" si="30"/>
        <v>1200000</v>
      </c>
      <c r="BG109" s="4"/>
      <c r="BH109" s="4">
        <f t="shared" si="31"/>
        <v>0</v>
      </c>
      <c r="BI109" s="4"/>
      <c r="BJ109" s="4"/>
      <c r="BK109" s="4"/>
      <c r="BL109" s="4"/>
      <c r="BM109" s="523"/>
      <c r="BN109" s="523"/>
    </row>
    <row r="110" spans="1:66" s="5" customFormat="1" ht="30" customHeight="1">
      <c r="A110" s="3">
        <f t="shared" si="23"/>
        <v>105</v>
      </c>
      <c r="B110" s="3">
        <v>20118</v>
      </c>
      <c r="C110" s="127" t="s">
        <v>623</v>
      </c>
      <c r="D110" s="112">
        <v>50000</v>
      </c>
      <c r="E110" s="112"/>
      <c r="F110" s="112">
        <f t="shared" si="32"/>
        <v>50000</v>
      </c>
      <c r="G110" s="112">
        <v>0</v>
      </c>
      <c r="H110" s="112"/>
      <c r="I110" s="112"/>
      <c r="J110" s="112"/>
      <c r="K110" s="112">
        <f t="shared" si="33"/>
        <v>0</v>
      </c>
      <c r="L110" s="112">
        <f t="shared" si="34"/>
        <v>0</v>
      </c>
      <c r="M110" s="112">
        <f t="shared" si="43"/>
        <v>0</v>
      </c>
      <c r="N110" s="112">
        <v>50000</v>
      </c>
      <c r="O110" s="112">
        <f t="shared" si="35"/>
        <v>0</v>
      </c>
      <c r="P110" s="112">
        <f t="shared" si="36"/>
        <v>0</v>
      </c>
      <c r="Q110" s="112"/>
      <c r="R110" s="112"/>
      <c r="S110" s="112">
        <f t="shared" si="44"/>
        <v>0</v>
      </c>
      <c r="T110" s="112">
        <f t="shared" si="37"/>
        <v>0</v>
      </c>
      <c r="U110" s="4">
        <f t="shared" si="38"/>
        <v>50000</v>
      </c>
      <c r="V110" s="112"/>
      <c r="W110" s="4">
        <f t="shared" si="40"/>
        <v>0</v>
      </c>
      <c r="X110" s="112"/>
      <c r="Y110" s="112"/>
      <c r="Z110" s="112"/>
      <c r="AA110" s="112">
        <v>50000</v>
      </c>
      <c r="AB110" s="3" t="s">
        <v>360</v>
      </c>
      <c r="AC110" s="3">
        <v>747000</v>
      </c>
      <c r="AD110" s="4"/>
      <c r="AE110" s="4">
        <v>50000</v>
      </c>
      <c r="AF110" s="4"/>
      <c r="AG110" s="4"/>
      <c r="AH110" s="4"/>
      <c r="AI110" s="4"/>
      <c r="AJ110" s="4">
        <f t="shared" si="41"/>
        <v>50000</v>
      </c>
      <c r="AK110" s="4">
        <f t="shared" si="26"/>
        <v>0</v>
      </c>
      <c r="AL110" s="112"/>
      <c r="AM110" s="130"/>
      <c r="AN110" s="4">
        <f t="shared" si="42"/>
        <v>0</v>
      </c>
      <c r="AO110" s="4"/>
      <c r="AP110" s="4">
        <f t="shared" si="39"/>
        <v>0</v>
      </c>
      <c r="AQ110" s="4"/>
      <c r="AR110" s="4"/>
      <c r="AS110" s="4"/>
      <c r="AT110" s="4"/>
      <c r="AU110" s="4"/>
      <c r="AV110" s="4"/>
      <c r="AW110" s="4"/>
      <c r="AX110" s="4">
        <f t="shared" si="27"/>
        <v>0</v>
      </c>
      <c r="AY110" s="4"/>
      <c r="AZ110" s="4">
        <f t="shared" si="28"/>
        <v>0</v>
      </c>
      <c r="BA110" s="4"/>
      <c r="BB110" s="4"/>
      <c r="BC110" s="4"/>
      <c r="BD110" s="4"/>
      <c r="BE110" s="4">
        <f t="shared" si="29"/>
        <v>50000</v>
      </c>
      <c r="BF110" s="4">
        <f t="shared" si="30"/>
        <v>0</v>
      </c>
      <c r="BG110" s="4"/>
      <c r="BH110" s="4">
        <f t="shared" si="31"/>
        <v>0</v>
      </c>
      <c r="BI110" s="4"/>
      <c r="BJ110" s="4"/>
      <c r="BK110" s="4"/>
      <c r="BL110" s="112">
        <v>50000</v>
      </c>
      <c r="BM110" s="523"/>
      <c r="BN110" s="523"/>
    </row>
    <row r="111" spans="1:66" s="5" customFormat="1" ht="30" customHeight="1">
      <c r="A111" s="3">
        <f t="shared" si="23"/>
        <v>106</v>
      </c>
      <c r="B111" s="3">
        <v>20119</v>
      </c>
      <c r="C111" s="127" t="s">
        <v>624</v>
      </c>
      <c r="D111" s="112">
        <v>152000</v>
      </c>
      <c r="E111" s="112"/>
      <c r="F111" s="112">
        <f t="shared" si="32"/>
        <v>152000</v>
      </c>
      <c r="G111" s="112">
        <v>0</v>
      </c>
      <c r="H111" s="112"/>
      <c r="I111" s="112"/>
      <c r="J111" s="112"/>
      <c r="K111" s="112">
        <f t="shared" si="33"/>
        <v>0</v>
      </c>
      <c r="L111" s="112">
        <f t="shared" si="34"/>
        <v>0</v>
      </c>
      <c r="M111" s="112">
        <f t="shared" si="43"/>
        <v>0</v>
      </c>
      <c r="N111" s="112">
        <v>152000</v>
      </c>
      <c r="O111" s="112">
        <f t="shared" si="35"/>
        <v>0</v>
      </c>
      <c r="P111" s="112">
        <f t="shared" si="36"/>
        <v>0</v>
      </c>
      <c r="Q111" s="112"/>
      <c r="R111" s="112"/>
      <c r="S111" s="112">
        <f t="shared" si="44"/>
        <v>0</v>
      </c>
      <c r="T111" s="112">
        <f t="shared" si="37"/>
        <v>0</v>
      </c>
      <c r="U111" s="4">
        <f t="shared" si="38"/>
        <v>152000</v>
      </c>
      <c r="V111" s="112"/>
      <c r="W111" s="4">
        <f t="shared" si="40"/>
        <v>0</v>
      </c>
      <c r="X111" s="112"/>
      <c r="Y111" s="112"/>
      <c r="Z111" s="112"/>
      <c r="AA111" s="112">
        <v>152000</v>
      </c>
      <c r="AB111" s="3" t="s">
        <v>360</v>
      </c>
      <c r="AC111" s="3">
        <v>747000</v>
      </c>
      <c r="AD111" s="4"/>
      <c r="AE111" s="4">
        <v>152000</v>
      </c>
      <c r="AF111" s="4"/>
      <c r="AG111" s="4"/>
      <c r="AH111" s="4"/>
      <c r="AI111" s="4"/>
      <c r="AJ111" s="4">
        <f t="shared" si="41"/>
        <v>152000</v>
      </c>
      <c r="AK111" s="4">
        <f t="shared" si="26"/>
        <v>0</v>
      </c>
      <c r="AL111" s="112"/>
      <c r="AM111" s="130"/>
      <c r="AN111" s="4">
        <f t="shared" si="42"/>
        <v>0</v>
      </c>
      <c r="AO111" s="4"/>
      <c r="AP111" s="4">
        <f t="shared" si="39"/>
        <v>0</v>
      </c>
      <c r="AQ111" s="4"/>
      <c r="AR111" s="4"/>
      <c r="AS111" s="4"/>
      <c r="AT111" s="4"/>
      <c r="AU111" s="4"/>
      <c r="AV111" s="4"/>
      <c r="AW111" s="4"/>
      <c r="AX111" s="4">
        <f t="shared" si="27"/>
        <v>0</v>
      </c>
      <c r="AY111" s="4"/>
      <c r="AZ111" s="4">
        <f t="shared" si="28"/>
        <v>0</v>
      </c>
      <c r="BA111" s="4"/>
      <c r="BB111" s="4"/>
      <c r="BC111" s="4"/>
      <c r="BD111" s="4"/>
      <c r="BE111" s="4">
        <f t="shared" si="29"/>
        <v>152000</v>
      </c>
      <c r="BF111" s="4">
        <f t="shared" si="30"/>
        <v>0</v>
      </c>
      <c r="BG111" s="4"/>
      <c r="BH111" s="4">
        <f t="shared" si="31"/>
        <v>0</v>
      </c>
      <c r="BI111" s="4"/>
      <c r="BJ111" s="4"/>
      <c r="BK111" s="4"/>
      <c r="BL111" s="112">
        <v>152000</v>
      </c>
      <c r="BM111" s="523"/>
      <c r="BN111" s="523"/>
    </row>
    <row r="112" spans="1:66" s="5" customFormat="1" ht="30" customHeight="1">
      <c r="A112" s="3">
        <f t="shared" si="23"/>
        <v>107</v>
      </c>
      <c r="B112" s="3">
        <v>20120</v>
      </c>
      <c r="C112" s="127" t="s">
        <v>753</v>
      </c>
      <c r="D112" s="112">
        <v>263395</v>
      </c>
      <c r="E112" s="112"/>
      <c r="F112" s="112">
        <f t="shared" si="32"/>
        <v>263395</v>
      </c>
      <c r="G112" s="112">
        <v>0</v>
      </c>
      <c r="H112" s="112"/>
      <c r="I112" s="112"/>
      <c r="J112" s="112"/>
      <c r="K112" s="112">
        <f t="shared" si="33"/>
        <v>0</v>
      </c>
      <c r="L112" s="112">
        <f t="shared" si="34"/>
        <v>0</v>
      </c>
      <c r="M112" s="112">
        <f t="shared" si="43"/>
        <v>0</v>
      </c>
      <c r="N112" s="112">
        <v>263395</v>
      </c>
      <c r="O112" s="112">
        <f t="shared" si="35"/>
        <v>0</v>
      </c>
      <c r="P112" s="112">
        <f t="shared" si="36"/>
        <v>0</v>
      </c>
      <c r="Q112" s="112"/>
      <c r="R112" s="112"/>
      <c r="S112" s="112">
        <f t="shared" si="44"/>
        <v>0</v>
      </c>
      <c r="T112" s="112">
        <f t="shared" si="37"/>
        <v>0</v>
      </c>
      <c r="U112" s="4">
        <f t="shared" si="38"/>
        <v>263395</v>
      </c>
      <c r="V112" s="112"/>
      <c r="W112" s="4">
        <f t="shared" si="40"/>
        <v>0</v>
      </c>
      <c r="X112" s="112"/>
      <c r="Y112" s="112"/>
      <c r="Z112" s="112"/>
      <c r="AA112" s="112">
        <v>263395</v>
      </c>
      <c r="AB112" s="3" t="s">
        <v>360</v>
      </c>
      <c r="AC112" s="3">
        <v>747000</v>
      </c>
      <c r="AD112" s="4"/>
      <c r="AE112" s="4">
        <v>263395</v>
      </c>
      <c r="AF112" s="4"/>
      <c r="AG112" s="4"/>
      <c r="AH112" s="4"/>
      <c r="AI112" s="4"/>
      <c r="AJ112" s="4">
        <f t="shared" si="41"/>
        <v>263395</v>
      </c>
      <c r="AK112" s="4">
        <f t="shared" si="26"/>
        <v>0</v>
      </c>
      <c r="AL112" s="112"/>
      <c r="AM112" s="130"/>
      <c r="AN112" s="4">
        <f t="shared" si="42"/>
        <v>0</v>
      </c>
      <c r="AO112" s="4"/>
      <c r="AP112" s="4">
        <f t="shared" si="39"/>
        <v>0</v>
      </c>
      <c r="AQ112" s="4"/>
      <c r="AR112" s="4"/>
      <c r="AS112" s="4"/>
      <c r="AT112" s="4"/>
      <c r="AU112" s="4"/>
      <c r="AV112" s="4"/>
      <c r="AW112" s="4"/>
      <c r="AX112" s="4">
        <f t="shared" si="27"/>
        <v>0</v>
      </c>
      <c r="AY112" s="4"/>
      <c r="AZ112" s="4">
        <f t="shared" si="28"/>
        <v>0</v>
      </c>
      <c r="BA112" s="4"/>
      <c r="BB112" s="4"/>
      <c r="BC112" s="4"/>
      <c r="BD112" s="4"/>
      <c r="BE112" s="4">
        <f t="shared" si="29"/>
        <v>263395</v>
      </c>
      <c r="BF112" s="4">
        <f t="shared" si="30"/>
        <v>0</v>
      </c>
      <c r="BG112" s="4"/>
      <c r="BH112" s="4">
        <f t="shared" si="31"/>
        <v>0</v>
      </c>
      <c r="BI112" s="4"/>
      <c r="BJ112" s="4"/>
      <c r="BK112" s="4"/>
      <c r="BL112" s="112">
        <v>263395</v>
      </c>
      <c r="BM112" s="523"/>
      <c r="BN112" s="523"/>
    </row>
    <row r="113" spans="1:66" s="5" customFormat="1" ht="30" customHeight="1">
      <c r="A113" s="3">
        <f t="shared" si="23"/>
        <v>108</v>
      </c>
      <c r="B113" s="3">
        <v>20121</v>
      </c>
      <c r="C113" s="127" t="s">
        <v>1017</v>
      </c>
      <c r="D113" s="112">
        <f>1800000-100000</f>
        <v>1700000</v>
      </c>
      <c r="E113" s="112"/>
      <c r="F113" s="112">
        <f t="shared" si="32"/>
        <v>1700000</v>
      </c>
      <c r="G113" s="112">
        <v>0</v>
      </c>
      <c r="H113" s="112"/>
      <c r="I113" s="112"/>
      <c r="J113" s="112"/>
      <c r="K113" s="112">
        <f t="shared" si="33"/>
        <v>0</v>
      </c>
      <c r="L113" s="112">
        <f t="shared" si="34"/>
        <v>0</v>
      </c>
      <c r="M113" s="112">
        <f t="shared" si="43"/>
        <v>0</v>
      </c>
      <c r="N113" s="112">
        <f>1800000-100000-1200000</f>
        <v>500000</v>
      </c>
      <c r="O113" s="112">
        <f t="shared" si="35"/>
        <v>1200000</v>
      </c>
      <c r="P113" s="112">
        <f t="shared" si="36"/>
        <v>0</v>
      </c>
      <c r="Q113" s="112"/>
      <c r="R113" s="112"/>
      <c r="S113" s="112">
        <f t="shared" si="44"/>
        <v>0</v>
      </c>
      <c r="T113" s="112">
        <f t="shared" si="37"/>
        <v>0</v>
      </c>
      <c r="U113" s="4">
        <f t="shared" si="38"/>
        <v>500000</v>
      </c>
      <c r="V113" s="112">
        <v>500000</v>
      </c>
      <c r="W113" s="4">
        <f t="shared" si="40"/>
        <v>0</v>
      </c>
      <c r="X113" s="112"/>
      <c r="Y113" s="112"/>
      <c r="Z113" s="112"/>
      <c r="AA113" s="112"/>
      <c r="AB113" s="3" t="s">
        <v>621</v>
      </c>
      <c r="AC113" s="3">
        <v>743000</v>
      </c>
      <c r="AD113" s="4"/>
      <c r="AE113" s="4"/>
      <c r="AF113" s="4"/>
      <c r="AG113" s="4"/>
      <c r="AH113" s="4"/>
      <c r="AI113" s="4"/>
      <c r="AJ113" s="4">
        <f t="shared" si="41"/>
        <v>0</v>
      </c>
      <c r="AK113" s="8">
        <f t="shared" si="26"/>
        <v>500000</v>
      </c>
      <c r="AL113" s="112"/>
      <c r="AM113" s="130">
        <v>-400000</v>
      </c>
      <c r="AN113" s="4">
        <f t="shared" si="42"/>
        <v>100000</v>
      </c>
      <c r="AO113" s="4">
        <v>100000</v>
      </c>
      <c r="AP113" s="4">
        <f t="shared" si="39"/>
        <v>0</v>
      </c>
      <c r="AQ113" s="4"/>
      <c r="AR113" s="4"/>
      <c r="AS113" s="4"/>
      <c r="AT113" s="4"/>
      <c r="AU113" s="4"/>
      <c r="AV113" s="4"/>
      <c r="AW113" s="4">
        <v>100000</v>
      </c>
      <c r="AX113" s="4">
        <f t="shared" si="27"/>
        <v>0</v>
      </c>
      <c r="AY113" s="4"/>
      <c r="AZ113" s="4">
        <f t="shared" si="28"/>
        <v>0</v>
      </c>
      <c r="BA113" s="4"/>
      <c r="BB113" s="4"/>
      <c r="BC113" s="4"/>
      <c r="BD113" s="4"/>
      <c r="BE113" s="4">
        <f t="shared" si="29"/>
        <v>0</v>
      </c>
      <c r="BF113" s="4">
        <f t="shared" si="30"/>
        <v>500000</v>
      </c>
      <c r="BG113" s="4"/>
      <c r="BH113" s="4">
        <f t="shared" si="31"/>
        <v>0</v>
      </c>
      <c r="BI113" s="4"/>
      <c r="BJ113" s="4"/>
      <c r="BK113" s="4"/>
      <c r="BL113" s="4"/>
      <c r="BM113" s="523"/>
      <c r="BN113" s="523"/>
    </row>
    <row r="114" spans="1:66" s="5" customFormat="1" ht="30" customHeight="1">
      <c r="A114" s="3">
        <f t="shared" si="23"/>
        <v>109</v>
      </c>
      <c r="B114" s="3">
        <v>20122</v>
      </c>
      <c r="C114" s="127" t="s">
        <v>676</v>
      </c>
      <c r="D114" s="112">
        <f>850000-250000</f>
        <v>600000</v>
      </c>
      <c r="E114" s="112"/>
      <c r="F114" s="112">
        <f t="shared" si="32"/>
        <v>600000</v>
      </c>
      <c r="G114" s="112">
        <v>0</v>
      </c>
      <c r="H114" s="112"/>
      <c r="I114" s="112"/>
      <c r="J114" s="112"/>
      <c r="K114" s="112">
        <f t="shared" si="33"/>
        <v>0</v>
      </c>
      <c r="L114" s="112">
        <f t="shared" si="34"/>
        <v>0</v>
      </c>
      <c r="M114" s="112">
        <f t="shared" si="43"/>
        <v>0</v>
      </c>
      <c r="N114" s="112">
        <f>850000-250000</f>
        <v>600000</v>
      </c>
      <c r="O114" s="112">
        <f t="shared" si="35"/>
        <v>0</v>
      </c>
      <c r="P114" s="112">
        <f t="shared" si="36"/>
        <v>0</v>
      </c>
      <c r="Q114" s="112"/>
      <c r="R114" s="112"/>
      <c r="S114" s="112">
        <f t="shared" si="44"/>
        <v>0</v>
      </c>
      <c r="T114" s="112">
        <f t="shared" si="37"/>
        <v>0</v>
      </c>
      <c r="U114" s="4">
        <f t="shared" si="38"/>
        <v>600000</v>
      </c>
      <c r="V114" s="112"/>
      <c r="W114" s="4">
        <f t="shared" si="40"/>
        <v>600000</v>
      </c>
      <c r="X114" s="112"/>
      <c r="Y114" s="112"/>
      <c r="Z114" s="112"/>
      <c r="AA114" s="112"/>
      <c r="AB114" s="3" t="s">
        <v>687</v>
      </c>
      <c r="AC114" s="3">
        <v>826000</v>
      </c>
      <c r="AD114" s="4"/>
      <c r="AE114" s="4"/>
      <c r="AF114" s="4"/>
      <c r="AG114" s="4"/>
      <c r="AH114" s="4"/>
      <c r="AI114" s="4"/>
      <c r="AJ114" s="4">
        <f t="shared" si="41"/>
        <v>0</v>
      </c>
      <c r="AK114" s="8">
        <f t="shared" si="26"/>
        <v>600000</v>
      </c>
      <c r="AL114" s="112"/>
      <c r="AM114" s="130">
        <v>-500000</v>
      </c>
      <c r="AN114" s="4">
        <f t="shared" si="42"/>
        <v>100000</v>
      </c>
      <c r="AO114" s="4"/>
      <c r="AP114" s="4">
        <f t="shared" si="39"/>
        <v>100000</v>
      </c>
      <c r="AQ114" s="4"/>
      <c r="AR114" s="4"/>
      <c r="AS114" s="4"/>
      <c r="AT114" s="4"/>
      <c r="AU114" s="4"/>
      <c r="AV114" s="4"/>
      <c r="AW114" s="4">
        <v>100000</v>
      </c>
      <c r="AX114" s="4">
        <f t="shared" si="27"/>
        <v>0</v>
      </c>
      <c r="AY114" s="4"/>
      <c r="AZ114" s="4">
        <f t="shared" si="28"/>
        <v>0</v>
      </c>
      <c r="BA114" s="4"/>
      <c r="BB114" s="4"/>
      <c r="BC114" s="4"/>
      <c r="BD114" s="4"/>
      <c r="BE114" s="4">
        <f t="shared" si="29"/>
        <v>0</v>
      </c>
      <c r="BF114" s="4">
        <f t="shared" si="30"/>
        <v>600000</v>
      </c>
      <c r="BG114" s="4"/>
      <c r="BH114" s="4">
        <f t="shared" si="31"/>
        <v>0</v>
      </c>
      <c r="BI114" s="4"/>
      <c r="BJ114" s="4"/>
      <c r="BK114" s="4"/>
      <c r="BL114" s="4"/>
      <c r="BM114" s="523"/>
      <c r="BN114" s="523"/>
    </row>
    <row r="115" spans="1:66" s="5" customFormat="1" ht="30" customHeight="1">
      <c r="A115" s="3">
        <f t="shared" si="23"/>
        <v>110</v>
      </c>
      <c r="B115" s="3">
        <v>20123</v>
      </c>
      <c r="C115" s="127" t="s">
        <v>685</v>
      </c>
      <c r="D115" s="112">
        <f>600000-250000</f>
        <v>350000</v>
      </c>
      <c r="E115" s="112"/>
      <c r="F115" s="112">
        <f>D115-E115</f>
        <v>350000</v>
      </c>
      <c r="G115" s="112">
        <v>0</v>
      </c>
      <c r="H115" s="112"/>
      <c r="I115" s="112"/>
      <c r="J115" s="112"/>
      <c r="K115" s="112">
        <f>I115+J115</f>
        <v>0</v>
      </c>
      <c r="L115" s="112">
        <f>H115+K115</f>
        <v>0</v>
      </c>
      <c r="M115" s="112">
        <f>P115+S115</f>
        <v>0</v>
      </c>
      <c r="N115" s="112">
        <f>600000-250000</f>
        <v>350000</v>
      </c>
      <c r="O115" s="112">
        <f>D115-L115-M115-N115</f>
        <v>0</v>
      </c>
      <c r="P115" s="112">
        <f>G115-L115</f>
        <v>0</v>
      </c>
      <c r="Q115" s="112"/>
      <c r="R115" s="112"/>
      <c r="S115" s="112">
        <f>SUM(Q115:R115)</f>
        <v>0</v>
      </c>
      <c r="T115" s="112">
        <f>P115-M115+S115</f>
        <v>0</v>
      </c>
      <c r="U115" s="4">
        <f>N115-T115</f>
        <v>350000</v>
      </c>
      <c r="V115" s="112"/>
      <c r="W115" s="4">
        <f t="shared" si="40"/>
        <v>350000</v>
      </c>
      <c r="X115" s="112"/>
      <c r="Y115" s="112"/>
      <c r="Z115" s="112"/>
      <c r="AA115" s="112"/>
      <c r="AB115" s="3" t="s">
        <v>752</v>
      </c>
      <c r="AC115" s="3">
        <v>930000</v>
      </c>
      <c r="AD115" s="4"/>
      <c r="AE115" s="4"/>
      <c r="AF115" s="4">
        <f>200000+120000+30000</f>
        <v>350000</v>
      </c>
      <c r="AG115" s="4"/>
      <c r="AH115" s="4"/>
      <c r="AI115" s="4"/>
      <c r="AJ115" s="4">
        <f t="shared" si="41"/>
        <v>350000</v>
      </c>
      <c r="AK115" s="4">
        <f t="shared" si="26"/>
        <v>0</v>
      </c>
      <c r="AL115" s="112"/>
      <c r="AM115" s="130"/>
      <c r="AN115" s="4">
        <f t="shared" si="42"/>
        <v>0</v>
      </c>
      <c r="AO115" s="4"/>
      <c r="AP115" s="4">
        <f t="shared" si="39"/>
        <v>0</v>
      </c>
      <c r="AQ115" s="4"/>
      <c r="AR115" s="4"/>
      <c r="AS115" s="4"/>
      <c r="AT115" s="4"/>
      <c r="AU115" s="4"/>
      <c r="AV115" s="4"/>
      <c r="AW115" s="4"/>
      <c r="AX115" s="4">
        <f t="shared" si="27"/>
        <v>0</v>
      </c>
      <c r="AY115" s="4"/>
      <c r="AZ115" s="4">
        <f t="shared" si="28"/>
        <v>0</v>
      </c>
      <c r="BA115" s="4"/>
      <c r="BB115" s="4"/>
      <c r="BC115" s="4"/>
      <c r="BD115" s="4"/>
      <c r="BE115" s="4">
        <f t="shared" si="29"/>
        <v>350000</v>
      </c>
      <c r="BF115" s="4">
        <f t="shared" si="30"/>
        <v>0</v>
      </c>
      <c r="BG115" s="4"/>
      <c r="BH115" s="4">
        <f t="shared" si="31"/>
        <v>350000</v>
      </c>
      <c r="BI115" s="4"/>
      <c r="BJ115" s="4"/>
      <c r="BK115" s="4"/>
      <c r="BL115" s="4"/>
      <c r="BM115" s="523"/>
      <c r="BN115" s="523"/>
    </row>
    <row r="116" spans="1:66" s="6" customFormat="1" ht="30" customHeight="1">
      <c r="A116" s="130">
        <f>COUNT(A6:A115)</f>
        <v>110</v>
      </c>
      <c r="B116" s="7"/>
      <c r="C116" s="129" t="s">
        <v>461</v>
      </c>
      <c r="D116" s="130">
        <f t="shared" ref="D116:BL116" si="45">SUM(D6:D115)</f>
        <v>940096894</v>
      </c>
      <c r="E116" s="130">
        <f t="shared" si="45"/>
        <v>823808906</v>
      </c>
      <c r="F116" s="130">
        <f t="shared" si="45"/>
        <v>116287988</v>
      </c>
      <c r="G116" s="130">
        <f t="shared" si="45"/>
        <v>659925203</v>
      </c>
      <c r="H116" s="130">
        <f t="shared" si="45"/>
        <v>596264862</v>
      </c>
      <c r="I116" s="130">
        <f t="shared" si="45"/>
        <v>4044440</v>
      </c>
      <c r="J116" s="130">
        <f t="shared" si="45"/>
        <v>33517082</v>
      </c>
      <c r="K116" s="130">
        <f t="shared" si="45"/>
        <v>37561522</v>
      </c>
      <c r="L116" s="130">
        <f t="shared" si="45"/>
        <v>633826384</v>
      </c>
      <c r="M116" s="130">
        <f t="shared" si="45"/>
        <v>295768</v>
      </c>
      <c r="N116" s="130">
        <f t="shared" si="45"/>
        <v>103786594</v>
      </c>
      <c r="O116" s="130">
        <f t="shared" si="45"/>
        <v>202188148</v>
      </c>
      <c r="P116" s="130">
        <f t="shared" si="45"/>
        <v>26098819</v>
      </c>
      <c r="Q116" s="130">
        <f t="shared" si="45"/>
        <v>700000</v>
      </c>
      <c r="R116" s="130">
        <f t="shared" si="45"/>
        <v>10200000</v>
      </c>
      <c r="S116" s="130">
        <f t="shared" si="45"/>
        <v>10900000</v>
      </c>
      <c r="T116" s="130">
        <f t="shared" si="45"/>
        <v>36703051</v>
      </c>
      <c r="U116" s="130">
        <f t="shared" si="45"/>
        <v>67083543</v>
      </c>
      <c r="V116" s="130">
        <f t="shared" si="45"/>
        <v>8775568</v>
      </c>
      <c r="W116" s="130">
        <f t="shared" si="45"/>
        <v>22573844</v>
      </c>
      <c r="X116" s="130">
        <f t="shared" si="45"/>
        <v>0</v>
      </c>
      <c r="Y116" s="130">
        <f t="shared" si="45"/>
        <v>23905000</v>
      </c>
      <c r="Z116" s="130">
        <f t="shared" si="45"/>
        <v>0</v>
      </c>
      <c r="AA116" s="130">
        <f t="shared" si="45"/>
        <v>11829131</v>
      </c>
      <c r="AB116" s="130">
        <f t="shared" si="45"/>
        <v>0</v>
      </c>
      <c r="AC116" s="130">
        <f t="shared" si="45"/>
        <v>87448000</v>
      </c>
      <c r="AD116" s="130">
        <f t="shared" si="45"/>
        <v>-10266852</v>
      </c>
      <c r="AE116" s="130">
        <f t="shared" si="45"/>
        <v>17430395</v>
      </c>
      <c r="AF116" s="130">
        <f>SUM(AF6:AF115)</f>
        <v>7665000</v>
      </c>
      <c r="AG116" s="130">
        <f>SUM(AG6:AG115)</f>
        <v>5619500</v>
      </c>
      <c r="AH116" s="130">
        <f>SUM(AH6:AH115)</f>
        <v>7609500</v>
      </c>
      <c r="AI116" s="130">
        <f>SUM(AI6:AI115)</f>
        <v>0</v>
      </c>
      <c r="AJ116" s="130">
        <f t="shared" si="45"/>
        <v>46257543</v>
      </c>
      <c r="AK116" s="130">
        <f t="shared" si="45"/>
        <v>20826000</v>
      </c>
      <c r="AL116" s="130">
        <f t="shared" si="45"/>
        <v>18200000</v>
      </c>
      <c r="AM116" s="130">
        <f t="shared" si="45"/>
        <v>-6290000</v>
      </c>
      <c r="AN116" s="130">
        <f t="shared" si="45"/>
        <v>14536000</v>
      </c>
      <c r="AO116" s="130">
        <f t="shared" si="45"/>
        <v>600000</v>
      </c>
      <c r="AP116" s="130">
        <f t="shared" si="45"/>
        <v>3720000</v>
      </c>
      <c r="AQ116" s="130">
        <f t="shared" si="45"/>
        <v>0</v>
      </c>
      <c r="AR116" s="130">
        <f t="shared" si="45"/>
        <v>705000</v>
      </c>
      <c r="AS116" s="130">
        <f t="shared" si="45"/>
        <v>0</v>
      </c>
      <c r="AT116" s="130">
        <f t="shared" si="45"/>
        <v>9511000</v>
      </c>
      <c r="AU116" s="130">
        <f t="shared" si="45"/>
        <v>1130000</v>
      </c>
      <c r="AV116" s="130">
        <f t="shared" si="45"/>
        <v>500000</v>
      </c>
      <c r="AW116" s="130">
        <f t="shared" si="45"/>
        <v>11661000</v>
      </c>
      <c r="AX116" s="130">
        <f t="shared" si="45"/>
        <v>2875000</v>
      </c>
      <c r="AY116" s="130">
        <f t="shared" si="45"/>
        <v>150000</v>
      </c>
      <c r="AZ116" s="130">
        <f t="shared" si="45"/>
        <v>2020000</v>
      </c>
      <c r="BA116" s="130">
        <f t="shared" si="45"/>
        <v>0</v>
      </c>
      <c r="BB116" s="130">
        <f t="shared" si="45"/>
        <v>705000</v>
      </c>
      <c r="BC116" s="130">
        <f t="shared" si="45"/>
        <v>0</v>
      </c>
      <c r="BD116" s="130">
        <f t="shared" si="45"/>
        <v>0</v>
      </c>
      <c r="BE116" s="130">
        <f t="shared" si="45"/>
        <v>49132543</v>
      </c>
      <c r="BF116" s="130">
        <f t="shared" si="45"/>
        <v>17951000</v>
      </c>
      <c r="BG116" s="130">
        <f t="shared" si="45"/>
        <v>1745068</v>
      </c>
      <c r="BH116" s="130">
        <f t="shared" si="45"/>
        <v>21164344</v>
      </c>
      <c r="BI116" s="130">
        <f t="shared" si="45"/>
        <v>0</v>
      </c>
      <c r="BJ116" s="130">
        <f t="shared" si="45"/>
        <v>23905000</v>
      </c>
      <c r="BK116" s="130">
        <f t="shared" si="45"/>
        <v>0</v>
      </c>
      <c r="BL116" s="130">
        <f t="shared" si="45"/>
        <v>2318131</v>
      </c>
      <c r="BM116" s="523"/>
      <c r="BN116" s="523"/>
    </row>
    <row r="117" spans="1:66" s="6" customFormat="1" ht="25.15" customHeight="1">
      <c r="A117" s="503"/>
      <c r="C117" s="128"/>
      <c r="D117" s="306">
        <f>SUM(L116:O116)</f>
        <v>940096894</v>
      </c>
      <c r="E117" s="124"/>
      <c r="F117" s="124">
        <f>D116-E116</f>
        <v>116287988</v>
      </c>
      <c r="G117" s="124"/>
      <c r="H117" s="124"/>
      <c r="I117" s="124"/>
      <c r="J117" s="124"/>
      <c r="K117" s="124"/>
      <c r="L117" s="306">
        <f>H116+K116</f>
        <v>633826384</v>
      </c>
      <c r="M117" s="124"/>
      <c r="N117" s="124"/>
      <c r="O117" s="124"/>
      <c r="P117" s="306">
        <f>G116-L117</f>
        <v>26098819</v>
      </c>
      <c r="Q117" s="124"/>
      <c r="R117" s="124"/>
      <c r="S117" s="124"/>
      <c r="T117" s="306">
        <f>P117+S116-M116</f>
        <v>36703051</v>
      </c>
      <c r="U117" s="306">
        <f>N116-T117</f>
        <v>67083543</v>
      </c>
      <c r="V117" s="503"/>
      <c r="W117" s="503"/>
      <c r="X117" s="503"/>
      <c r="Y117" s="503"/>
      <c r="Z117" s="503"/>
      <c r="AA117" s="503"/>
      <c r="AD117" s="531"/>
      <c r="AE117" s="531"/>
      <c r="AF117" s="531"/>
      <c r="AG117" s="531"/>
      <c r="AH117" s="531"/>
      <c r="AI117" s="531"/>
      <c r="AJ117" s="531"/>
      <c r="AK117" s="531"/>
      <c r="AL117" s="531"/>
      <c r="AM117" s="523"/>
      <c r="AN117" s="531"/>
      <c r="AO117" s="531"/>
      <c r="AP117" s="569"/>
      <c r="AQ117" s="212"/>
      <c r="AR117" s="212"/>
      <c r="AS117" s="212"/>
      <c r="AT117" s="212"/>
      <c r="AU117" s="212"/>
      <c r="AV117" s="531"/>
      <c r="AW117" s="531"/>
      <c r="AX117" s="531"/>
      <c r="AY117" s="531"/>
      <c r="AZ117" s="531"/>
      <c r="BA117" s="531"/>
      <c r="BB117" s="531"/>
      <c r="BC117" s="531"/>
      <c r="BD117" s="531"/>
      <c r="BE117" s="531"/>
      <c r="BF117" s="531"/>
      <c r="BG117" s="531"/>
      <c r="BH117" s="531"/>
      <c r="BI117" s="531"/>
      <c r="BJ117" s="531"/>
      <c r="BK117" s="531"/>
      <c r="BL117" s="531"/>
      <c r="BM117" s="523"/>
      <c r="BN117" s="523"/>
    </row>
    <row r="118" spans="1:66" s="6" customFormat="1" ht="25.15" customHeight="1">
      <c r="A118" s="503"/>
      <c r="C118" s="128"/>
      <c r="D118" s="306">
        <f>D116-D117</f>
        <v>0</v>
      </c>
      <c r="E118" s="124"/>
      <c r="F118" s="124"/>
      <c r="G118" s="124"/>
      <c r="H118" s="124"/>
      <c r="I118" s="124"/>
      <c r="J118" s="124"/>
      <c r="K118" s="124"/>
      <c r="L118" s="306">
        <f>L116-L117</f>
        <v>0</v>
      </c>
      <c r="M118" s="124"/>
      <c r="N118" s="124"/>
      <c r="O118" s="124"/>
      <c r="P118" s="306">
        <f>P116-P117</f>
        <v>0</v>
      </c>
      <c r="Q118" s="124"/>
      <c r="R118" s="124"/>
      <c r="S118" s="124"/>
      <c r="T118" s="306">
        <f>T116-T117</f>
        <v>0</v>
      </c>
      <c r="U118" s="306">
        <f>U116-U117</f>
        <v>0</v>
      </c>
      <c r="V118" s="503"/>
      <c r="W118" s="503"/>
      <c r="X118" s="503"/>
      <c r="Y118" s="503"/>
      <c r="Z118" s="503"/>
      <c r="AA118" s="503"/>
      <c r="AD118" s="531"/>
      <c r="AE118" s="531"/>
      <c r="AF118" s="531"/>
      <c r="AG118" s="531"/>
      <c r="AH118" s="531"/>
      <c r="AI118" s="531"/>
      <c r="AJ118" s="531"/>
      <c r="AK118" s="531"/>
      <c r="AL118" s="531"/>
      <c r="AM118" s="523"/>
      <c r="AN118" s="531"/>
      <c r="AO118" s="531"/>
      <c r="AP118" s="569"/>
      <c r="AQ118" s="212"/>
      <c r="AR118" s="212"/>
      <c r="AS118" s="212"/>
      <c r="AT118" s="212"/>
      <c r="AU118" s="212"/>
      <c r="AV118" s="531"/>
      <c r="AW118" s="531"/>
      <c r="AX118" s="531"/>
      <c r="AY118" s="531"/>
      <c r="AZ118" s="531"/>
      <c r="BA118" s="531"/>
      <c r="BB118" s="531"/>
      <c r="BC118" s="531"/>
      <c r="BD118" s="531"/>
      <c r="BE118" s="531"/>
      <c r="BF118" s="531"/>
      <c r="BG118" s="531"/>
      <c r="BH118" s="531"/>
      <c r="BI118" s="531"/>
      <c r="BJ118" s="531"/>
      <c r="BK118" s="531"/>
      <c r="BL118" s="531"/>
      <c r="BM118" s="523"/>
      <c r="BN118" s="523"/>
    </row>
    <row r="119" spans="1:66" s="5" customFormat="1" ht="16.899999999999999" customHeight="1">
      <c r="D119" s="531"/>
      <c r="E119" s="531"/>
      <c r="F119" s="531"/>
      <c r="G119" s="531"/>
      <c r="H119" s="531"/>
      <c r="I119" s="531"/>
      <c r="J119" s="531"/>
      <c r="K119" s="531"/>
      <c r="L119" s="531"/>
      <c r="M119" s="531"/>
      <c r="N119" s="531"/>
      <c r="O119" s="531"/>
      <c r="P119" s="531"/>
      <c r="Q119" s="531"/>
      <c r="R119" s="531"/>
      <c r="S119" s="531"/>
      <c r="T119" s="531"/>
      <c r="U119" s="531"/>
      <c r="V119" s="531"/>
      <c r="W119" s="531"/>
      <c r="X119" s="531"/>
      <c r="Y119" s="531"/>
      <c r="Z119" s="531"/>
      <c r="AA119" s="405"/>
      <c r="AD119" s="531"/>
      <c r="AE119" s="531"/>
      <c r="AF119" s="531"/>
      <c r="AG119" s="531"/>
      <c r="AH119" s="531"/>
      <c r="AI119" s="531"/>
      <c r="AJ119" s="531"/>
      <c r="AK119" s="531"/>
      <c r="AL119" s="531"/>
      <c r="AM119" s="18" t="s">
        <v>814</v>
      </c>
      <c r="AN119" s="531"/>
      <c r="AO119" s="531"/>
      <c r="AP119" s="569"/>
      <c r="AQ119" s="16"/>
      <c r="AR119" s="16"/>
      <c r="AS119" s="16"/>
      <c r="AT119" s="531" t="s">
        <v>1018</v>
      </c>
      <c r="AU119" s="4">
        <f>2150000+850000</f>
        <v>3000000</v>
      </c>
      <c r="AV119" s="531"/>
      <c r="AX119" s="206" t="s">
        <v>814</v>
      </c>
      <c r="AY119" s="531"/>
      <c r="AZ119" s="531"/>
      <c r="BA119" s="531"/>
      <c r="BB119" s="531"/>
      <c r="BC119" s="531"/>
      <c r="BD119" s="531"/>
      <c r="BE119" s="531"/>
      <c r="BF119" s="531"/>
      <c r="BG119" s="531"/>
      <c r="BH119" s="531"/>
      <c r="BI119" s="531"/>
      <c r="BJ119" s="531"/>
      <c r="BK119" s="531"/>
      <c r="BL119" s="531"/>
      <c r="BM119" s="523"/>
      <c r="BN119" s="523"/>
    </row>
    <row r="120" spans="1:66">
      <c r="AT120" s="531" t="s">
        <v>1019</v>
      </c>
      <c r="AV120" s="531">
        <v>990000</v>
      </c>
    </row>
    <row r="121" spans="1:66">
      <c r="AV121" s="523">
        <f>AV116+AV120</f>
        <v>1490000</v>
      </c>
    </row>
    <row r="123" spans="1:66" ht="37.9" customHeight="1"/>
    <row r="126" spans="1:66" ht="70.900000000000006" customHeight="1"/>
    <row r="129" ht="72" customHeight="1"/>
    <row r="131" ht="43.9" customHeight="1"/>
    <row r="133" ht="30" customHeight="1"/>
  </sheetData>
  <mergeCells count="7">
    <mergeCell ref="BG4:BL4"/>
    <mergeCell ref="A4:C4"/>
    <mergeCell ref="AD4:AK4"/>
    <mergeCell ref="AO4:AT4"/>
    <mergeCell ref="T4:U4"/>
    <mergeCell ref="V4:AA4"/>
    <mergeCell ref="BE4:BF4"/>
  </mergeCells>
  <conditionalFormatting sqref="AB5 AO1:AO4 AO117:AO1048576">
    <cfRule type="cellIs" dxfId="182" priority="4" operator="equal">
      <formula>0</formula>
    </cfRule>
  </conditionalFormatting>
  <conditionalFormatting sqref="AJ5">
    <cfRule type="cellIs" dxfId="181" priority="3" operator="equal">
      <formula>0</formula>
    </cfRule>
  </conditionalFormatting>
  <conditionalFormatting sqref="AN5">
    <cfRule type="cellIs" dxfId="180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5E52-E274-42D5-9A92-4693F25B0AB8}">
  <dimension ref="A1:BO146"/>
  <sheetViews>
    <sheetView showZeros="0" rightToLeft="1" zoomScaleNormal="100" workbookViewId="0">
      <pane xSplit="3" ySplit="5" topLeftCell="V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7.7109375" defaultRowHeight="15"/>
  <cols>
    <col min="1" max="1" width="3.5703125" style="10" customWidth="1"/>
    <col min="2" max="2" width="7.140625" style="10" customWidth="1"/>
    <col min="3" max="3" width="25.28515625" style="14" customWidth="1"/>
    <col min="4" max="4" width="10.140625" style="11" hidden="1" customWidth="1"/>
    <col min="5" max="5" width="10.28515625" style="11" hidden="1" customWidth="1"/>
    <col min="6" max="6" width="8.85546875" style="11" hidden="1" customWidth="1"/>
    <col min="7" max="7" width="9.5703125" style="11" hidden="1" customWidth="1"/>
    <col min="8" max="8" width="10.7109375" style="11" hidden="1" customWidth="1"/>
    <col min="9" max="9" width="8.85546875" style="11" hidden="1" customWidth="1"/>
    <col min="10" max="10" width="9.5703125" style="11" hidden="1" customWidth="1"/>
    <col min="11" max="11" width="8.85546875" style="11" hidden="1" customWidth="1"/>
    <col min="12" max="12" width="10" style="11" hidden="1" customWidth="1"/>
    <col min="13" max="14" width="8.85546875" style="11" hidden="1" customWidth="1"/>
    <col min="15" max="15" width="9.85546875" style="11" hidden="1" customWidth="1"/>
    <col min="16" max="16" width="10.7109375" style="11" hidden="1" customWidth="1"/>
    <col min="17" max="17" width="9.42578125" style="11" hidden="1" customWidth="1"/>
    <col min="18" max="19" width="13.28515625" style="11" hidden="1" customWidth="1"/>
    <col min="20" max="20" width="10.7109375" style="11" customWidth="1"/>
    <col min="21" max="23" width="10.7109375" style="10" customWidth="1"/>
    <col min="24" max="24" width="13.28515625" style="10" hidden="1" customWidth="1"/>
    <col min="25" max="25" width="10.7109375" style="10" customWidth="1"/>
    <col min="26" max="26" width="13.28515625" style="10" hidden="1" customWidth="1"/>
    <col min="27" max="27" width="9.5703125" style="10" customWidth="1"/>
    <col min="28" max="28" width="31" style="14" hidden="1" customWidth="1"/>
    <col min="29" max="29" width="6.85546875" style="10" hidden="1" customWidth="1"/>
    <col min="30" max="36" width="9.28515625" style="16" hidden="1" customWidth="1"/>
    <col min="37" max="37" width="10.5703125" style="16" hidden="1" customWidth="1"/>
    <col min="38" max="38" width="12.42578125" style="16" hidden="1" customWidth="1"/>
    <col min="39" max="39" width="13.28515625" style="16" hidden="1" customWidth="1"/>
    <col min="40" max="40" width="11.28515625" style="10" hidden="1" customWidth="1"/>
    <col min="41" max="46" width="10.42578125" style="16" hidden="1" customWidth="1"/>
    <col min="47" max="48" width="11.140625" style="10" hidden="1" customWidth="1"/>
    <col min="49" max="56" width="10.42578125" style="16" hidden="1" customWidth="1"/>
    <col min="57" max="57" width="13.85546875" style="16" customWidth="1"/>
    <col min="58" max="60" width="10.7109375" style="16" customWidth="1"/>
    <col min="61" max="61" width="10.42578125" style="16" hidden="1" customWidth="1"/>
    <col min="62" max="62" width="10.7109375" style="16" customWidth="1"/>
    <col min="63" max="63" width="10.42578125" style="16" hidden="1" customWidth="1"/>
    <col min="64" max="64" width="10.42578125" style="16" customWidth="1"/>
    <col min="65" max="67" width="9.28515625" style="16" customWidth="1"/>
    <col min="68" max="16384" width="7.7109375" style="10"/>
  </cols>
  <sheetData>
    <row r="1" spans="1:67" s="571" customFormat="1" ht="13.15" customHeight="1">
      <c r="A1" s="537"/>
      <c r="B1" s="537"/>
      <c r="C1" s="538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9"/>
      <c r="Y1" s="539"/>
      <c r="Z1" s="539"/>
      <c r="AA1" s="540"/>
      <c r="AB1" s="541"/>
      <c r="AC1" s="540"/>
      <c r="AD1" s="16"/>
      <c r="AE1" s="16"/>
      <c r="AF1" s="16"/>
      <c r="AG1" s="16"/>
      <c r="AH1" s="16"/>
      <c r="AI1" s="16"/>
      <c r="AJ1" s="16"/>
      <c r="AK1" s="16"/>
      <c r="AL1" s="16"/>
      <c r="AM1" s="16"/>
      <c r="AO1" s="16"/>
      <c r="AP1" s="16"/>
      <c r="AQ1" s="16"/>
      <c r="AR1" s="16"/>
      <c r="AS1" s="16"/>
      <c r="AT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</row>
    <row r="2" spans="1:67" s="571" customFormat="1" ht="18.75">
      <c r="A2" s="537" t="s">
        <v>1384</v>
      </c>
      <c r="B2" s="537"/>
      <c r="C2" s="538"/>
      <c r="D2" s="537"/>
      <c r="E2" s="542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43"/>
      <c r="Y2" s="543"/>
      <c r="Z2" s="543"/>
      <c r="AA2" s="543"/>
      <c r="AB2" s="543"/>
      <c r="AC2" s="543"/>
      <c r="AD2" s="16"/>
      <c r="AE2" s="16"/>
      <c r="AF2" s="16"/>
      <c r="AG2" s="16"/>
      <c r="AH2" s="16"/>
      <c r="AI2" s="16"/>
      <c r="AJ2" s="16"/>
      <c r="AK2" s="16"/>
      <c r="AL2" s="16"/>
      <c r="AM2" s="16"/>
      <c r="AO2" s="16"/>
      <c r="AP2" s="16"/>
      <c r="AQ2" s="16"/>
      <c r="AR2" s="16"/>
      <c r="AS2" s="16"/>
      <c r="AT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</row>
    <row r="3" spans="1:67" s="571" customFormat="1" ht="20.100000000000001" customHeight="1">
      <c r="A3" s="537"/>
      <c r="B3" s="537"/>
      <c r="C3" s="538"/>
      <c r="D3" s="537"/>
      <c r="E3" s="542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43"/>
      <c r="Y3" s="543"/>
      <c r="Z3" s="543"/>
      <c r="AA3" s="543"/>
      <c r="AB3" s="543"/>
      <c r="AC3" s="543"/>
      <c r="AD3" s="16"/>
      <c r="AE3" s="16"/>
      <c r="AF3" s="16"/>
      <c r="AG3" s="16"/>
      <c r="AH3" s="16"/>
      <c r="AI3" s="16"/>
      <c r="AJ3" s="16"/>
      <c r="AK3" s="16"/>
      <c r="AL3" s="16"/>
      <c r="AM3" s="16"/>
      <c r="AO3" s="16"/>
      <c r="AP3" s="16"/>
      <c r="AQ3" s="16"/>
      <c r="AR3" s="16"/>
      <c r="AS3" s="16"/>
      <c r="AT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</row>
    <row r="4" spans="1:67" ht="20.100000000000001" customHeight="1">
      <c r="A4" s="815"/>
      <c r="B4" s="816"/>
      <c r="C4" s="817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B4" s="677"/>
      <c r="AC4" s="606"/>
      <c r="AD4" s="818" t="s">
        <v>902</v>
      </c>
      <c r="AE4" s="819"/>
      <c r="AF4" s="819"/>
      <c r="AG4" s="819"/>
      <c r="AH4" s="819"/>
      <c r="AI4" s="819"/>
      <c r="AJ4" s="819"/>
      <c r="AK4" s="820"/>
      <c r="AL4" s="677"/>
      <c r="AM4" s="677"/>
      <c r="AN4" s="606"/>
      <c r="AO4" s="818" t="s">
        <v>904</v>
      </c>
      <c r="AP4" s="819"/>
      <c r="AQ4" s="819"/>
      <c r="AR4" s="819"/>
      <c r="AS4" s="819"/>
      <c r="AT4" s="820"/>
      <c r="AU4" s="606"/>
      <c r="AV4" s="606"/>
      <c r="AW4" s="606"/>
      <c r="AX4" s="606"/>
      <c r="AY4" s="606"/>
      <c r="AZ4" s="606"/>
      <c r="BA4" s="606"/>
      <c r="BB4" s="606"/>
      <c r="BC4" s="606"/>
      <c r="BD4" s="606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</row>
    <row r="5" spans="1:67" s="16" customFormat="1" ht="60" customHeight="1">
      <c r="A5" s="270" t="s">
        <v>0</v>
      </c>
      <c r="B5" s="263" t="s">
        <v>1</v>
      </c>
      <c r="C5" s="263" t="s">
        <v>2</v>
      </c>
      <c r="D5" s="263" t="s">
        <v>3</v>
      </c>
      <c r="E5" s="263" t="s">
        <v>4</v>
      </c>
      <c r="F5" s="263" t="s">
        <v>5</v>
      </c>
      <c r="G5" s="263" t="s">
        <v>6</v>
      </c>
      <c r="H5" s="263" t="s">
        <v>7</v>
      </c>
      <c r="I5" s="263" t="s">
        <v>9</v>
      </c>
      <c r="J5" s="263" t="s">
        <v>101</v>
      </c>
      <c r="K5" s="263" t="s">
        <v>10</v>
      </c>
      <c r="L5" s="263" t="s">
        <v>11</v>
      </c>
      <c r="M5" s="263" t="s">
        <v>568</v>
      </c>
      <c r="N5" s="263" t="s">
        <v>569</v>
      </c>
      <c r="O5" s="494" t="s">
        <v>570</v>
      </c>
      <c r="P5" s="494" t="s">
        <v>12</v>
      </c>
      <c r="Q5" s="494" t="s">
        <v>571</v>
      </c>
      <c r="R5" s="494" t="s">
        <v>572</v>
      </c>
      <c r="S5" s="494" t="s">
        <v>573</v>
      </c>
      <c r="T5" s="494" t="s">
        <v>574</v>
      </c>
      <c r="U5" s="494" t="s">
        <v>575</v>
      </c>
      <c r="V5" s="263" t="s">
        <v>13</v>
      </c>
      <c r="W5" s="263" t="s">
        <v>14</v>
      </c>
      <c r="X5" s="263" t="s">
        <v>15</v>
      </c>
      <c r="Y5" s="263" t="s">
        <v>185</v>
      </c>
      <c r="Z5" s="263" t="s">
        <v>385</v>
      </c>
      <c r="AA5" s="263" t="s">
        <v>67</v>
      </c>
      <c r="AB5" s="764" t="s">
        <v>207</v>
      </c>
      <c r="AC5" s="263" t="s">
        <v>16</v>
      </c>
      <c r="AD5" s="568" t="s">
        <v>905</v>
      </c>
      <c r="AE5" s="568" t="s">
        <v>906</v>
      </c>
      <c r="AF5" s="568" t="s">
        <v>907</v>
      </c>
      <c r="AG5" s="568" t="s">
        <v>908</v>
      </c>
      <c r="AH5" s="568" t="s">
        <v>909</v>
      </c>
      <c r="AI5" s="568" t="s">
        <v>910</v>
      </c>
      <c r="AJ5" s="568" t="s">
        <v>911</v>
      </c>
      <c r="AK5" s="568" t="s">
        <v>912</v>
      </c>
      <c r="AL5" s="568" t="s">
        <v>913</v>
      </c>
      <c r="AM5" s="568" t="s">
        <v>914</v>
      </c>
      <c r="AN5" s="568" t="s">
        <v>915</v>
      </c>
      <c r="AO5" s="494" t="s">
        <v>13</v>
      </c>
      <c r="AP5" s="494" t="s">
        <v>14</v>
      </c>
      <c r="AQ5" s="494" t="s">
        <v>15</v>
      </c>
      <c r="AR5" s="494" t="s">
        <v>185</v>
      </c>
      <c r="AS5" s="494" t="s">
        <v>385</v>
      </c>
      <c r="AT5" s="494" t="s">
        <v>67</v>
      </c>
      <c r="AU5" s="568" t="s">
        <v>947</v>
      </c>
      <c r="AV5" s="568" t="s">
        <v>917</v>
      </c>
      <c r="AW5" s="494" t="s">
        <v>918</v>
      </c>
      <c r="AX5" s="494" t="s">
        <v>919</v>
      </c>
      <c r="AY5" s="494" t="s">
        <v>13</v>
      </c>
      <c r="AZ5" s="494" t="s">
        <v>14</v>
      </c>
      <c r="BA5" s="494" t="s">
        <v>15</v>
      </c>
      <c r="BB5" s="494" t="s">
        <v>185</v>
      </c>
      <c r="BC5" s="494" t="s">
        <v>385</v>
      </c>
      <c r="BD5" s="494" t="s">
        <v>67</v>
      </c>
      <c r="BE5" s="494" t="s">
        <v>1355</v>
      </c>
      <c r="BF5" s="494" t="s">
        <v>1350</v>
      </c>
      <c r="BG5" s="494" t="s">
        <v>13</v>
      </c>
      <c r="BH5" s="494" t="s">
        <v>14</v>
      </c>
      <c r="BI5" s="494" t="s">
        <v>15</v>
      </c>
      <c r="BJ5" s="494" t="s">
        <v>185</v>
      </c>
      <c r="BK5" s="494" t="s">
        <v>385</v>
      </c>
      <c r="BL5" s="494" t="s">
        <v>67</v>
      </c>
    </row>
    <row r="6" spans="1:67" s="5" customFormat="1" ht="30" customHeight="1">
      <c r="A6" s="19">
        <v>1</v>
      </c>
      <c r="B6" s="19">
        <v>1776</v>
      </c>
      <c r="C6" s="19" t="s">
        <v>44</v>
      </c>
      <c r="D6" s="495">
        <f>5056000-50000-9000</f>
        <v>4997000</v>
      </c>
      <c r="E6" s="495">
        <v>3347000</v>
      </c>
      <c r="F6" s="495">
        <f t="shared" ref="F6:F17" si="0">D6-E6</f>
        <v>1650000</v>
      </c>
      <c r="G6" s="495">
        <v>3297000</v>
      </c>
      <c r="H6" s="495">
        <v>3079137</v>
      </c>
      <c r="I6" s="495"/>
      <c r="J6" s="495">
        <f>16656+135250</f>
        <v>151906</v>
      </c>
      <c r="K6" s="495">
        <f t="shared" ref="K6:K17" si="1">I6+J6</f>
        <v>151906</v>
      </c>
      <c r="L6" s="495">
        <f t="shared" ref="L6:L17" si="2">H6+K6</f>
        <v>3231043</v>
      </c>
      <c r="M6" s="495">
        <f>P6+S6-60000</f>
        <v>5957</v>
      </c>
      <c r="N6" s="495">
        <f>1709000-9000-100000-400000-500000+60000</f>
        <v>760000</v>
      </c>
      <c r="O6" s="495">
        <f>D6-M6-N6-L6</f>
        <v>1000000</v>
      </c>
      <c r="P6" s="495">
        <f>G6-L6</f>
        <v>65957</v>
      </c>
      <c r="Q6" s="495"/>
      <c r="R6" s="495"/>
      <c r="S6" s="495">
        <f>SUM(Q6:R6)</f>
        <v>0</v>
      </c>
      <c r="T6" s="495">
        <f t="shared" ref="T6:T17" si="3">P6-M6+S6</f>
        <v>60000</v>
      </c>
      <c r="U6" s="495">
        <f t="shared" ref="U6:U17" si="4">N6-T6</f>
        <v>700000</v>
      </c>
      <c r="V6" s="495"/>
      <c r="W6" s="495">
        <f t="shared" ref="W6:W17" si="5">U6-V6-Z6-AA6</f>
        <v>700000</v>
      </c>
      <c r="X6" s="495"/>
      <c r="Y6" s="495"/>
      <c r="Z6" s="495"/>
      <c r="AA6" s="765"/>
      <c r="AB6" s="19" t="s">
        <v>660</v>
      </c>
      <c r="AC6" s="19">
        <v>810000</v>
      </c>
      <c r="AD6" s="495"/>
      <c r="AE6" s="495"/>
      <c r="AF6" s="495">
        <v>600000</v>
      </c>
      <c r="AG6" s="495">
        <v>100000</v>
      </c>
      <c r="AH6" s="495"/>
      <c r="AI6" s="495"/>
      <c r="AJ6" s="495">
        <f t="shared" ref="AJ6:AJ17" si="6">SUM(AD6:AI6)+AL6</f>
        <v>700000</v>
      </c>
      <c r="AK6" s="495">
        <f>U6-AJ6</f>
        <v>0</v>
      </c>
      <c r="AL6" s="495"/>
      <c r="AM6" s="495"/>
      <c r="AN6" s="495">
        <f t="shared" ref="AN6:AN17" si="7">AK6+AM6</f>
        <v>0</v>
      </c>
      <c r="AO6" s="495"/>
      <c r="AP6" s="495">
        <f t="shared" ref="AP6:AP17" si="8">AN6-AO6-AQ6-AR6-AS6-AT6</f>
        <v>0</v>
      </c>
      <c r="AQ6" s="495"/>
      <c r="AR6" s="495"/>
      <c r="AS6" s="495"/>
      <c r="AT6" s="495"/>
      <c r="AU6" s="495">
        <v>600000</v>
      </c>
      <c r="AV6" s="495"/>
      <c r="AW6" s="495"/>
      <c r="AX6" s="495">
        <f>AN6-AW6</f>
        <v>0</v>
      </c>
      <c r="AY6" s="495"/>
      <c r="AZ6" s="495">
        <f>AX6-AY6-BA6-BB6-BC6-BD6</f>
        <v>0</v>
      </c>
      <c r="BA6" s="495"/>
      <c r="BB6" s="495"/>
      <c r="BC6" s="495"/>
      <c r="BD6" s="495"/>
      <c r="BE6" s="765">
        <f t="shared" ref="BE6:BE17" si="9">AX6+AJ6</f>
        <v>700000</v>
      </c>
      <c r="BF6" s="495">
        <f>U6-BE6</f>
        <v>0</v>
      </c>
      <c r="BG6" s="495"/>
      <c r="BH6" s="495">
        <f>BE6</f>
        <v>700000</v>
      </c>
      <c r="BI6" s="495"/>
      <c r="BJ6" s="495"/>
      <c r="BK6" s="495"/>
      <c r="BL6" s="495"/>
      <c r="BM6" s="16"/>
      <c r="BN6" s="16"/>
      <c r="BO6" s="16"/>
    </row>
    <row r="7" spans="1:67" s="5" customFormat="1" ht="30" customHeight="1">
      <c r="A7" s="19">
        <f t="shared" ref="A7:A17" si="10">A6+1</f>
        <v>2</v>
      </c>
      <c r="B7" s="19">
        <v>1930</v>
      </c>
      <c r="C7" s="19" t="s">
        <v>1188</v>
      </c>
      <c r="D7" s="495">
        <v>1676000</v>
      </c>
      <c r="E7" s="495">
        <v>1676000</v>
      </c>
      <c r="F7" s="495">
        <f t="shared" si="0"/>
        <v>0</v>
      </c>
      <c r="G7" s="495">
        <v>1676000</v>
      </c>
      <c r="H7" s="495">
        <v>1669608</v>
      </c>
      <c r="I7" s="495"/>
      <c r="J7" s="495">
        <v>5978</v>
      </c>
      <c r="K7" s="495">
        <f t="shared" si="1"/>
        <v>5978</v>
      </c>
      <c r="L7" s="495">
        <f t="shared" si="2"/>
        <v>1675586</v>
      </c>
      <c r="M7" s="495">
        <f>P7+S7</f>
        <v>414</v>
      </c>
      <c r="N7" s="495"/>
      <c r="O7" s="495">
        <f t="shared" ref="O7:O17" si="11">D7-M7-N7-L7</f>
        <v>0</v>
      </c>
      <c r="P7" s="495">
        <f t="shared" ref="P7:P17" si="12">G7-L7</f>
        <v>414</v>
      </c>
      <c r="Q7" s="495"/>
      <c r="R7" s="495"/>
      <c r="S7" s="495">
        <f t="shared" ref="S7:S17" si="13">SUM(Q7:R7)</f>
        <v>0</v>
      </c>
      <c r="T7" s="495">
        <f t="shared" si="3"/>
        <v>0</v>
      </c>
      <c r="U7" s="495">
        <f t="shared" si="4"/>
        <v>0</v>
      </c>
      <c r="V7" s="495"/>
      <c r="W7" s="495">
        <f t="shared" si="5"/>
        <v>0</v>
      </c>
      <c r="X7" s="495"/>
      <c r="Y7" s="495"/>
      <c r="Z7" s="495"/>
      <c r="AA7" s="765"/>
      <c r="AB7" s="19" t="s">
        <v>1020</v>
      </c>
      <c r="AC7" s="19">
        <v>810000</v>
      </c>
      <c r="AD7" s="495"/>
      <c r="AE7" s="495"/>
      <c r="AF7" s="495"/>
      <c r="AG7" s="495"/>
      <c r="AH7" s="495"/>
      <c r="AI7" s="495"/>
      <c r="AJ7" s="495">
        <f t="shared" si="6"/>
        <v>0</v>
      </c>
      <c r="AK7" s="495">
        <f t="shared" ref="AK7:AK17" si="14">U7-AJ7</f>
        <v>0</v>
      </c>
      <c r="AL7" s="495"/>
      <c r="AM7" s="495"/>
      <c r="AN7" s="495">
        <f t="shared" si="7"/>
        <v>0</v>
      </c>
      <c r="AO7" s="495"/>
      <c r="AP7" s="495">
        <f t="shared" si="8"/>
        <v>0</v>
      </c>
      <c r="AQ7" s="495"/>
      <c r="AR7" s="495"/>
      <c r="AS7" s="495"/>
      <c r="AT7" s="495"/>
      <c r="AU7" s="495"/>
      <c r="AV7" s="495"/>
      <c r="AW7" s="495"/>
      <c r="AX7" s="495">
        <f t="shared" ref="AX7:AX17" si="15">AN7-AW7</f>
        <v>0</v>
      </c>
      <c r="AY7" s="495"/>
      <c r="AZ7" s="495"/>
      <c r="BA7" s="495"/>
      <c r="BB7" s="495"/>
      <c r="BC7" s="495"/>
      <c r="BD7" s="495"/>
      <c r="BE7" s="765">
        <f t="shared" si="9"/>
        <v>0</v>
      </c>
      <c r="BF7" s="495">
        <f t="shared" ref="BF7:BF17" si="16">U7-BE7</f>
        <v>0</v>
      </c>
      <c r="BG7" s="495"/>
      <c r="BH7" s="495">
        <f t="shared" ref="BH7:BH17" si="17">BE7</f>
        <v>0</v>
      </c>
      <c r="BI7" s="495"/>
      <c r="BJ7" s="495"/>
      <c r="BK7" s="495"/>
      <c r="BL7" s="495"/>
      <c r="BM7" s="16"/>
      <c r="BN7" s="16"/>
      <c r="BO7" s="16"/>
    </row>
    <row r="8" spans="1:67" s="5" customFormat="1" ht="30" customHeight="1">
      <c r="A8" s="19">
        <f t="shared" si="10"/>
        <v>3</v>
      </c>
      <c r="B8" s="19">
        <v>2090</v>
      </c>
      <c r="C8" s="19" t="s">
        <v>1189</v>
      </c>
      <c r="D8" s="495">
        <f>350000-7945</f>
        <v>342055</v>
      </c>
      <c r="E8" s="495">
        <v>350000</v>
      </c>
      <c r="F8" s="495">
        <f t="shared" si="0"/>
        <v>-7945</v>
      </c>
      <c r="G8" s="495">
        <v>350000</v>
      </c>
      <c r="H8" s="495">
        <v>342055</v>
      </c>
      <c r="I8" s="495"/>
      <c r="J8" s="495"/>
      <c r="K8" s="495">
        <f t="shared" si="1"/>
        <v>0</v>
      </c>
      <c r="L8" s="495">
        <f t="shared" si="2"/>
        <v>342055</v>
      </c>
      <c r="M8" s="495">
        <f>P8+S8-7945</f>
        <v>0</v>
      </c>
      <c r="N8" s="495"/>
      <c r="O8" s="495">
        <f t="shared" si="11"/>
        <v>0</v>
      </c>
      <c r="P8" s="495">
        <f t="shared" si="12"/>
        <v>7945</v>
      </c>
      <c r="Q8" s="495"/>
      <c r="R8" s="495"/>
      <c r="S8" s="495">
        <f t="shared" si="13"/>
        <v>0</v>
      </c>
      <c r="T8" s="495">
        <f t="shared" si="3"/>
        <v>7945</v>
      </c>
      <c r="U8" s="495">
        <f t="shared" si="4"/>
        <v>-7945</v>
      </c>
      <c r="V8" s="495"/>
      <c r="W8" s="495">
        <f t="shared" si="5"/>
        <v>-7945</v>
      </c>
      <c r="X8" s="495"/>
      <c r="Y8" s="495"/>
      <c r="Z8" s="495"/>
      <c r="AA8" s="765"/>
      <c r="AB8" s="19" t="s">
        <v>1021</v>
      </c>
      <c r="AC8" s="19">
        <v>810000</v>
      </c>
      <c r="AD8" s="495">
        <v>-7945</v>
      </c>
      <c r="AE8" s="495"/>
      <c r="AF8" s="495"/>
      <c r="AG8" s="495"/>
      <c r="AH8" s="495"/>
      <c r="AI8" s="495"/>
      <c r="AJ8" s="495">
        <f t="shared" si="6"/>
        <v>-7945</v>
      </c>
      <c r="AK8" s="495">
        <f t="shared" si="14"/>
        <v>0</v>
      </c>
      <c r="AL8" s="495"/>
      <c r="AM8" s="495"/>
      <c r="AN8" s="495">
        <f t="shared" si="7"/>
        <v>0</v>
      </c>
      <c r="AO8" s="495"/>
      <c r="AP8" s="495">
        <f t="shared" si="8"/>
        <v>0</v>
      </c>
      <c r="AQ8" s="495"/>
      <c r="AR8" s="495"/>
      <c r="AS8" s="495"/>
      <c r="AT8" s="495"/>
      <c r="AU8" s="495"/>
      <c r="AV8" s="495"/>
      <c r="AW8" s="495"/>
      <c r="AX8" s="495">
        <f t="shared" si="15"/>
        <v>0</v>
      </c>
      <c r="AY8" s="495"/>
      <c r="AZ8" s="495"/>
      <c r="BA8" s="495"/>
      <c r="BB8" s="495"/>
      <c r="BC8" s="495"/>
      <c r="BD8" s="495"/>
      <c r="BE8" s="765">
        <f t="shared" si="9"/>
        <v>-7945</v>
      </c>
      <c r="BF8" s="495">
        <f t="shared" si="16"/>
        <v>0</v>
      </c>
      <c r="BG8" s="495"/>
      <c r="BH8" s="495">
        <f t="shared" si="17"/>
        <v>-7945</v>
      </c>
      <c r="BI8" s="495"/>
      <c r="BJ8" s="495"/>
      <c r="BK8" s="495"/>
      <c r="BL8" s="495"/>
      <c r="BM8" s="16"/>
      <c r="BN8" s="16"/>
      <c r="BO8" s="16"/>
    </row>
    <row r="9" spans="1:67" s="5" customFormat="1" ht="30" customHeight="1">
      <c r="A9" s="19">
        <f t="shared" si="10"/>
        <v>4</v>
      </c>
      <c r="B9" s="19">
        <v>2092</v>
      </c>
      <c r="C9" s="19" t="s">
        <v>1469</v>
      </c>
      <c r="D9" s="495">
        <f>4050720-782837</f>
        <v>3267883</v>
      </c>
      <c r="E9" s="495">
        <v>4050720</v>
      </c>
      <c r="F9" s="495">
        <f t="shared" si="0"/>
        <v>-782837</v>
      </c>
      <c r="G9" s="495">
        <v>4050720</v>
      </c>
      <c r="H9" s="495">
        <v>3267883</v>
      </c>
      <c r="I9" s="495"/>
      <c r="J9" s="495"/>
      <c r="K9" s="495">
        <f t="shared" si="1"/>
        <v>0</v>
      </c>
      <c r="L9" s="495">
        <f t="shared" si="2"/>
        <v>3267883</v>
      </c>
      <c r="M9" s="495">
        <f>P9+S9-782837</f>
        <v>0</v>
      </c>
      <c r="N9" s="495"/>
      <c r="O9" s="495">
        <f t="shared" si="11"/>
        <v>0</v>
      </c>
      <c r="P9" s="495">
        <f t="shared" si="12"/>
        <v>782837</v>
      </c>
      <c r="Q9" s="495"/>
      <c r="R9" s="495"/>
      <c r="S9" s="495">
        <f t="shared" si="13"/>
        <v>0</v>
      </c>
      <c r="T9" s="495">
        <f t="shared" si="3"/>
        <v>782837</v>
      </c>
      <c r="U9" s="495">
        <f t="shared" si="4"/>
        <v>-782837</v>
      </c>
      <c r="V9" s="495"/>
      <c r="W9" s="495">
        <f t="shared" si="5"/>
        <v>0</v>
      </c>
      <c r="X9" s="495"/>
      <c r="Y9" s="495"/>
      <c r="Z9" s="495"/>
      <c r="AA9" s="765">
        <v>-782837</v>
      </c>
      <c r="AB9" s="19" t="s">
        <v>490</v>
      </c>
      <c r="AC9" s="19">
        <v>810000</v>
      </c>
      <c r="AD9" s="495"/>
      <c r="AE9" s="495"/>
      <c r="AF9" s="495"/>
      <c r="AG9" s="495"/>
      <c r="AH9" s="495"/>
      <c r="AI9" s="495"/>
      <c r="AJ9" s="495">
        <f t="shared" si="6"/>
        <v>0</v>
      </c>
      <c r="AK9" s="495">
        <f t="shared" si="14"/>
        <v>-782837</v>
      </c>
      <c r="AL9" s="495"/>
      <c r="AM9" s="495"/>
      <c r="AN9" s="495">
        <f t="shared" si="7"/>
        <v>-782837</v>
      </c>
      <c r="AO9" s="495"/>
      <c r="AP9" s="495">
        <f t="shared" si="8"/>
        <v>0</v>
      </c>
      <c r="AQ9" s="495"/>
      <c r="AR9" s="495"/>
      <c r="AS9" s="495"/>
      <c r="AT9" s="765">
        <v>-782837</v>
      </c>
      <c r="AU9" s="495"/>
      <c r="AV9" s="495"/>
      <c r="AW9" s="765">
        <f>-782837+782837</f>
        <v>0</v>
      </c>
      <c r="AX9" s="495">
        <f t="shared" si="15"/>
        <v>-782837</v>
      </c>
      <c r="AY9" s="765"/>
      <c r="AZ9" s="765"/>
      <c r="BA9" s="765"/>
      <c r="BB9" s="765"/>
      <c r="BC9" s="765"/>
      <c r="BD9" s="765">
        <f>-782837</f>
        <v>-782837</v>
      </c>
      <c r="BE9" s="765">
        <f t="shared" si="9"/>
        <v>-782837</v>
      </c>
      <c r="BF9" s="495">
        <f t="shared" si="16"/>
        <v>0</v>
      </c>
      <c r="BG9" s="765"/>
      <c r="BH9" s="495">
        <f>BE9-BL9</f>
        <v>0</v>
      </c>
      <c r="BI9" s="765"/>
      <c r="BJ9" s="765"/>
      <c r="BK9" s="765"/>
      <c r="BL9" s="765">
        <v>-782837</v>
      </c>
      <c r="BM9" s="16"/>
      <c r="BN9" s="16"/>
      <c r="BO9" s="16"/>
    </row>
    <row r="10" spans="1:67" s="5" customFormat="1" ht="30" customHeight="1">
      <c r="A10" s="19">
        <f t="shared" si="10"/>
        <v>5</v>
      </c>
      <c r="B10" s="19">
        <v>2135</v>
      </c>
      <c r="C10" s="19" t="s">
        <v>1190</v>
      </c>
      <c r="D10" s="495">
        <f>23000000</f>
        <v>23000000</v>
      </c>
      <c r="E10" s="495">
        <v>23000000</v>
      </c>
      <c r="F10" s="495">
        <f t="shared" si="0"/>
        <v>0</v>
      </c>
      <c r="G10" s="495">
        <v>1000000</v>
      </c>
      <c r="H10" s="495">
        <v>996845</v>
      </c>
      <c r="I10" s="495"/>
      <c r="J10" s="495"/>
      <c r="K10" s="495">
        <f t="shared" si="1"/>
        <v>0</v>
      </c>
      <c r="L10" s="495">
        <f t="shared" si="2"/>
        <v>996845</v>
      </c>
      <c r="M10" s="495">
        <f>P10+S10-3155</f>
        <v>0</v>
      </c>
      <c r="N10" s="495">
        <f>17*50000-850000</f>
        <v>0</v>
      </c>
      <c r="O10" s="495">
        <f t="shared" si="11"/>
        <v>22003155</v>
      </c>
      <c r="P10" s="495">
        <f t="shared" si="12"/>
        <v>3155</v>
      </c>
      <c r="Q10" s="495"/>
      <c r="R10" s="495"/>
      <c r="S10" s="495">
        <f t="shared" si="13"/>
        <v>0</v>
      </c>
      <c r="T10" s="495">
        <f t="shared" si="3"/>
        <v>3155</v>
      </c>
      <c r="U10" s="495">
        <f t="shared" si="4"/>
        <v>-3155</v>
      </c>
      <c r="V10" s="495"/>
      <c r="W10" s="495">
        <f t="shared" si="5"/>
        <v>-3155</v>
      </c>
      <c r="X10" s="495"/>
      <c r="Y10" s="495"/>
      <c r="Z10" s="495"/>
      <c r="AA10" s="765"/>
      <c r="AB10" s="19" t="s">
        <v>1022</v>
      </c>
      <c r="AC10" s="19">
        <v>810000</v>
      </c>
      <c r="AD10" s="495">
        <v>-3155</v>
      </c>
      <c r="AE10" s="495"/>
      <c r="AF10" s="495"/>
      <c r="AG10" s="495"/>
      <c r="AH10" s="495"/>
      <c r="AI10" s="495"/>
      <c r="AJ10" s="495">
        <f t="shared" si="6"/>
        <v>-3155</v>
      </c>
      <c r="AK10" s="495">
        <f t="shared" si="14"/>
        <v>0</v>
      </c>
      <c r="AL10" s="495"/>
      <c r="AM10" s="495"/>
      <c r="AN10" s="495">
        <f t="shared" si="7"/>
        <v>0</v>
      </c>
      <c r="AO10" s="495"/>
      <c r="AP10" s="495">
        <f t="shared" si="8"/>
        <v>0</v>
      </c>
      <c r="AQ10" s="495"/>
      <c r="AR10" s="495"/>
      <c r="AS10" s="495"/>
      <c r="AT10" s="495"/>
      <c r="AU10" s="495"/>
      <c r="AV10" s="495"/>
      <c r="AW10" s="495"/>
      <c r="AX10" s="495">
        <f t="shared" si="15"/>
        <v>0</v>
      </c>
      <c r="AY10" s="495"/>
      <c r="AZ10" s="495"/>
      <c r="BA10" s="495"/>
      <c r="BB10" s="495"/>
      <c r="BC10" s="495"/>
      <c r="BD10" s="495"/>
      <c r="BE10" s="765">
        <f t="shared" si="9"/>
        <v>-3155</v>
      </c>
      <c r="BF10" s="495">
        <f t="shared" si="16"/>
        <v>0</v>
      </c>
      <c r="BG10" s="495"/>
      <c r="BH10" s="495">
        <f t="shared" si="17"/>
        <v>-3155</v>
      </c>
      <c r="BI10" s="495"/>
      <c r="BJ10" s="495"/>
      <c r="BK10" s="495"/>
      <c r="BL10" s="495"/>
      <c r="BM10" s="16"/>
      <c r="BN10" s="16"/>
      <c r="BO10" s="16"/>
    </row>
    <row r="11" spans="1:67" s="5" customFormat="1" ht="30" customHeight="1">
      <c r="A11" s="19">
        <f t="shared" si="10"/>
        <v>6</v>
      </c>
      <c r="B11" s="19">
        <v>2179</v>
      </c>
      <c r="C11" s="19" t="s">
        <v>361</v>
      </c>
      <c r="D11" s="495">
        <f>390000-100000</f>
        <v>290000</v>
      </c>
      <c r="E11" s="495">
        <v>390000</v>
      </c>
      <c r="F11" s="495">
        <f t="shared" si="0"/>
        <v>-100000</v>
      </c>
      <c r="G11" s="495">
        <v>390000</v>
      </c>
      <c r="H11" s="495">
        <v>286987</v>
      </c>
      <c r="I11" s="495"/>
      <c r="J11" s="495"/>
      <c r="K11" s="495">
        <f t="shared" si="1"/>
        <v>0</v>
      </c>
      <c r="L11" s="495">
        <f t="shared" si="2"/>
        <v>286987</v>
      </c>
      <c r="M11" s="495">
        <f>P11+S11</f>
        <v>3013</v>
      </c>
      <c r="N11" s="495"/>
      <c r="O11" s="495">
        <f t="shared" si="11"/>
        <v>0</v>
      </c>
      <c r="P11" s="495">
        <f t="shared" si="12"/>
        <v>103013</v>
      </c>
      <c r="Q11" s="495">
        <v>-100000</v>
      </c>
      <c r="R11" s="495"/>
      <c r="S11" s="495">
        <f t="shared" si="13"/>
        <v>-100000</v>
      </c>
      <c r="T11" s="495">
        <f t="shared" si="3"/>
        <v>0</v>
      </c>
      <c r="U11" s="495">
        <f t="shared" si="4"/>
        <v>0</v>
      </c>
      <c r="V11" s="495"/>
      <c r="W11" s="495">
        <f t="shared" si="5"/>
        <v>0</v>
      </c>
      <c r="X11" s="495"/>
      <c r="Y11" s="495"/>
      <c r="Z11" s="495"/>
      <c r="AA11" s="765"/>
      <c r="AB11" s="19" t="s">
        <v>666</v>
      </c>
      <c r="AC11" s="19">
        <v>810000</v>
      </c>
      <c r="AD11" s="495"/>
      <c r="AE11" s="495"/>
      <c r="AF11" s="495"/>
      <c r="AG11" s="495"/>
      <c r="AH11" s="495"/>
      <c r="AI11" s="495"/>
      <c r="AJ11" s="495">
        <f t="shared" si="6"/>
        <v>0</v>
      </c>
      <c r="AK11" s="495">
        <f t="shared" si="14"/>
        <v>0</v>
      </c>
      <c r="AL11" s="495"/>
      <c r="AM11" s="495"/>
      <c r="AN11" s="495">
        <f t="shared" si="7"/>
        <v>0</v>
      </c>
      <c r="AO11" s="495"/>
      <c r="AP11" s="495">
        <f t="shared" si="8"/>
        <v>0</v>
      </c>
      <c r="AQ11" s="495"/>
      <c r="AR11" s="495"/>
      <c r="AS11" s="495"/>
      <c r="AT11" s="495"/>
      <c r="AU11" s="495"/>
      <c r="AV11" s="495"/>
      <c r="AW11" s="495"/>
      <c r="AX11" s="495">
        <f t="shared" si="15"/>
        <v>0</v>
      </c>
      <c r="AY11" s="495"/>
      <c r="AZ11" s="495"/>
      <c r="BA11" s="495"/>
      <c r="BB11" s="495"/>
      <c r="BC11" s="495"/>
      <c r="BD11" s="495"/>
      <c r="BE11" s="765">
        <f t="shared" si="9"/>
        <v>0</v>
      </c>
      <c r="BF11" s="495">
        <f t="shared" si="16"/>
        <v>0</v>
      </c>
      <c r="BG11" s="495"/>
      <c r="BH11" s="495">
        <f t="shared" si="17"/>
        <v>0</v>
      </c>
      <c r="BI11" s="495"/>
      <c r="BJ11" s="495"/>
      <c r="BK11" s="495"/>
      <c r="BL11" s="495"/>
      <c r="BM11" s="16"/>
      <c r="BN11" s="16"/>
      <c r="BO11" s="16"/>
    </row>
    <row r="12" spans="1:67" s="5" customFormat="1" ht="45">
      <c r="A12" s="19">
        <f t="shared" si="10"/>
        <v>7</v>
      </c>
      <c r="B12" s="19">
        <v>2217</v>
      </c>
      <c r="C12" s="19" t="s">
        <v>1385</v>
      </c>
      <c r="D12" s="495">
        <f>1990000-1231</f>
        <v>1988769</v>
      </c>
      <c r="E12" s="495">
        <v>1990000</v>
      </c>
      <c r="F12" s="495">
        <f t="shared" si="0"/>
        <v>-1231</v>
      </c>
      <c r="G12" s="495">
        <v>1990000</v>
      </c>
      <c r="H12" s="495">
        <v>1988769</v>
      </c>
      <c r="I12" s="495"/>
      <c r="J12" s="495"/>
      <c r="K12" s="495">
        <f t="shared" si="1"/>
        <v>0</v>
      </c>
      <c r="L12" s="495">
        <f t="shared" si="2"/>
        <v>1988769</v>
      </c>
      <c r="M12" s="495">
        <f>P12+S12-1231</f>
        <v>0</v>
      </c>
      <c r="N12" s="495"/>
      <c r="O12" s="495">
        <f t="shared" si="11"/>
        <v>0</v>
      </c>
      <c r="P12" s="495">
        <f t="shared" si="12"/>
        <v>1231</v>
      </c>
      <c r="Q12" s="495"/>
      <c r="R12" s="495"/>
      <c r="S12" s="495">
        <f t="shared" si="13"/>
        <v>0</v>
      </c>
      <c r="T12" s="495">
        <f t="shared" si="3"/>
        <v>1231</v>
      </c>
      <c r="U12" s="495">
        <f t="shared" si="4"/>
        <v>-1231</v>
      </c>
      <c r="V12" s="495"/>
      <c r="W12" s="495">
        <f t="shared" si="5"/>
        <v>-1231</v>
      </c>
      <c r="X12" s="495"/>
      <c r="Y12" s="495"/>
      <c r="Z12" s="495"/>
      <c r="AA12" s="765"/>
      <c r="AB12" s="19" t="s">
        <v>1023</v>
      </c>
      <c r="AC12" s="19">
        <v>810000</v>
      </c>
      <c r="AD12" s="495">
        <v>-1231</v>
      </c>
      <c r="AE12" s="495"/>
      <c r="AF12" s="495"/>
      <c r="AG12" s="495"/>
      <c r="AH12" s="495"/>
      <c r="AI12" s="495"/>
      <c r="AJ12" s="495">
        <f t="shared" si="6"/>
        <v>-1231</v>
      </c>
      <c r="AK12" s="495">
        <f t="shared" si="14"/>
        <v>0</v>
      </c>
      <c r="AL12" s="495"/>
      <c r="AM12" s="495"/>
      <c r="AN12" s="495">
        <f t="shared" si="7"/>
        <v>0</v>
      </c>
      <c r="AO12" s="495"/>
      <c r="AP12" s="495">
        <f t="shared" si="8"/>
        <v>0</v>
      </c>
      <c r="AQ12" s="495"/>
      <c r="AR12" s="495"/>
      <c r="AS12" s="495"/>
      <c r="AT12" s="495"/>
      <c r="AU12" s="495"/>
      <c r="AV12" s="495"/>
      <c r="AW12" s="495"/>
      <c r="AX12" s="495">
        <f t="shared" si="15"/>
        <v>0</v>
      </c>
      <c r="AY12" s="495"/>
      <c r="AZ12" s="495"/>
      <c r="BA12" s="495"/>
      <c r="BB12" s="495"/>
      <c r="BC12" s="495"/>
      <c r="BD12" s="495"/>
      <c r="BE12" s="765">
        <f t="shared" si="9"/>
        <v>-1231</v>
      </c>
      <c r="BF12" s="495">
        <f t="shared" si="16"/>
        <v>0</v>
      </c>
      <c r="BG12" s="495"/>
      <c r="BH12" s="495">
        <f t="shared" si="17"/>
        <v>-1231</v>
      </c>
      <c r="BI12" s="495"/>
      <c r="BJ12" s="495"/>
      <c r="BK12" s="495"/>
      <c r="BL12" s="495"/>
      <c r="BM12" s="16"/>
      <c r="BN12" s="16"/>
      <c r="BO12" s="16"/>
    </row>
    <row r="13" spans="1:67" s="5" customFormat="1" ht="30" customHeight="1">
      <c r="A13" s="19">
        <f t="shared" si="10"/>
        <v>8</v>
      </c>
      <c r="B13" s="19">
        <v>2219</v>
      </c>
      <c r="C13" s="19" t="s">
        <v>363</v>
      </c>
      <c r="D13" s="495">
        <v>440000</v>
      </c>
      <c r="E13" s="495">
        <v>440000</v>
      </c>
      <c r="F13" s="495">
        <f t="shared" si="0"/>
        <v>0</v>
      </c>
      <c r="G13" s="495">
        <v>440000</v>
      </c>
      <c r="H13" s="495">
        <v>296769</v>
      </c>
      <c r="I13" s="495"/>
      <c r="J13" s="495"/>
      <c r="K13" s="495">
        <f t="shared" si="1"/>
        <v>0</v>
      </c>
      <c r="L13" s="495">
        <f t="shared" si="2"/>
        <v>296769</v>
      </c>
      <c r="M13" s="495">
        <f>P13+S13-140000</f>
        <v>3231</v>
      </c>
      <c r="N13" s="495">
        <f>150000-10000</f>
        <v>140000</v>
      </c>
      <c r="O13" s="495">
        <f t="shared" si="11"/>
        <v>0</v>
      </c>
      <c r="P13" s="495">
        <f t="shared" si="12"/>
        <v>143231</v>
      </c>
      <c r="Q13" s="495"/>
      <c r="R13" s="495"/>
      <c r="S13" s="495">
        <f t="shared" si="13"/>
        <v>0</v>
      </c>
      <c r="T13" s="495">
        <f t="shared" si="3"/>
        <v>140000</v>
      </c>
      <c r="U13" s="495">
        <f t="shared" si="4"/>
        <v>0</v>
      </c>
      <c r="V13" s="495"/>
      <c r="W13" s="495">
        <f t="shared" si="5"/>
        <v>0</v>
      </c>
      <c r="X13" s="495"/>
      <c r="Y13" s="495"/>
      <c r="Z13" s="495"/>
      <c r="AA13" s="765"/>
      <c r="AB13" s="19" t="s">
        <v>651</v>
      </c>
      <c r="AC13" s="19">
        <v>810000</v>
      </c>
      <c r="AD13" s="495"/>
      <c r="AE13" s="495"/>
      <c r="AF13" s="495"/>
      <c r="AG13" s="495"/>
      <c r="AH13" s="495"/>
      <c r="AI13" s="495"/>
      <c r="AJ13" s="495">
        <f t="shared" si="6"/>
        <v>0</v>
      </c>
      <c r="AK13" s="495">
        <f t="shared" si="14"/>
        <v>0</v>
      </c>
      <c r="AL13" s="495"/>
      <c r="AM13" s="495"/>
      <c r="AN13" s="495">
        <f t="shared" si="7"/>
        <v>0</v>
      </c>
      <c r="AO13" s="495"/>
      <c r="AP13" s="495">
        <f t="shared" si="8"/>
        <v>0</v>
      </c>
      <c r="AQ13" s="495"/>
      <c r="AR13" s="495"/>
      <c r="AS13" s="495"/>
      <c r="AT13" s="495"/>
      <c r="AU13" s="495"/>
      <c r="AV13" s="495"/>
      <c r="AW13" s="495"/>
      <c r="AX13" s="495">
        <f t="shared" si="15"/>
        <v>0</v>
      </c>
      <c r="AY13" s="495"/>
      <c r="AZ13" s="495"/>
      <c r="BA13" s="495"/>
      <c r="BB13" s="495"/>
      <c r="BC13" s="495"/>
      <c r="BD13" s="495"/>
      <c r="BE13" s="765">
        <f t="shared" si="9"/>
        <v>0</v>
      </c>
      <c r="BF13" s="495">
        <f t="shared" si="16"/>
        <v>0</v>
      </c>
      <c r="BG13" s="495"/>
      <c r="BH13" s="495">
        <f t="shared" si="17"/>
        <v>0</v>
      </c>
      <c r="BI13" s="495"/>
      <c r="BJ13" s="495"/>
      <c r="BK13" s="495"/>
      <c r="BL13" s="495"/>
      <c r="BM13" s="16"/>
      <c r="BN13" s="16"/>
      <c r="BO13" s="16"/>
    </row>
    <row r="14" spans="1:67" s="5" customFormat="1" ht="30" customHeight="1">
      <c r="A14" s="19">
        <f t="shared" si="10"/>
        <v>9</v>
      </c>
      <c r="B14" s="19">
        <v>2227</v>
      </c>
      <c r="C14" s="19" t="s">
        <v>406</v>
      </c>
      <c r="D14" s="495">
        <v>100000</v>
      </c>
      <c r="E14" s="495">
        <v>100000</v>
      </c>
      <c r="F14" s="495">
        <f t="shared" si="0"/>
        <v>0</v>
      </c>
      <c r="G14" s="495">
        <v>100000</v>
      </c>
      <c r="H14" s="495">
        <v>0</v>
      </c>
      <c r="I14" s="495"/>
      <c r="J14" s="495">
        <v>0</v>
      </c>
      <c r="K14" s="495">
        <f t="shared" si="1"/>
        <v>0</v>
      </c>
      <c r="L14" s="495">
        <f t="shared" si="2"/>
        <v>0</v>
      </c>
      <c r="M14" s="495">
        <f>P14+S14-100000</f>
        <v>0</v>
      </c>
      <c r="N14" s="495"/>
      <c r="O14" s="495">
        <f t="shared" si="11"/>
        <v>100000</v>
      </c>
      <c r="P14" s="495">
        <f t="shared" si="12"/>
        <v>100000</v>
      </c>
      <c r="Q14" s="495"/>
      <c r="R14" s="495"/>
      <c r="S14" s="495">
        <f t="shared" si="13"/>
        <v>0</v>
      </c>
      <c r="T14" s="495">
        <f t="shared" si="3"/>
        <v>100000</v>
      </c>
      <c r="U14" s="495">
        <f t="shared" si="4"/>
        <v>-100000</v>
      </c>
      <c r="V14" s="495"/>
      <c r="W14" s="495">
        <f t="shared" si="5"/>
        <v>0</v>
      </c>
      <c r="X14" s="495"/>
      <c r="Y14" s="495"/>
      <c r="Z14" s="495"/>
      <c r="AA14" s="765">
        <v>-100000</v>
      </c>
      <c r="AB14" s="19" t="s">
        <v>667</v>
      </c>
      <c r="AC14" s="19">
        <v>810000</v>
      </c>
      <c r="AD14" s="495">
        <v>-100000</v>
      </c>
      <c r="AE14" s="495">
        <v>100000</v>
      </c>
      <c r="AF14" s="495"/>
      <c r="AG14" s="495"/>
      <c r="AH14" s="495"/>
      <c r="AI14" s="495"/>
      <c r="AJ14" s="495">
        <f t="shared" si="6"/>
        <v>0</v>
      </c>
      <c r="AK14" s="495">
        <f t="shared" si="14"/>
        <v>-100000</v>
      </c>
      <c r="AL14" s="495"/>
      <c r="AM14" s="495"/>
      <c r="AN14" s="495">
        <f t="shared" si="7"/>
        <v>-100000</v>
      </c>
      <c r="AO14" s="495"/>
      <c r="AP14" s="495">
        <f t="shared" si="8"/>
        <v>0</v>
      </c>
      <c r="AQ14" s="495"/>
      <c r="AR14" s="495"/>
      <c r="AS14" s="495"/>
      <c r="AT14" s="765">
        <v>-100000</v>
      </c>
      <c r="AU14" s="495"/>
      <c r="AV14" s="495"/>
      <c r="AW14" s="495">
        <v>-100000</v>
      </c>
      <c r="AX14" s="495">
        <f t="shared" si="15"/>
        <v>0</v>
      </c>
      <c r="AY14" s="765"/>
      <c r="AZ14" s="765"/>
      <c r="BA14" s="765"/>
      <c r="BB14" s="765"/>
      <c r="BC14" s="765"/>
      <c r="BD14" s="765">
        <f>-100000+100000</f>
        <v>0</v>
      </c>
      <c r="BE14" s="765">
        <f t="shared" si="9"/>
        <v>0</v>
      </c>
      <c r="BF14" s="495">
        <f t="shared" si="16"/>
        <v>-100000</v>
      </c>
      <c r="BG14" s="765"/>
      <c r="BH14" s="495">
        <f t="shared" si="17"/>
        <v>0</v>
      </c>
      <c r="BI14" s="765"/>
      <c r="BJ14" s="765"/>
      <c r="BK14" s="765"/>
      <c r="BL14" s="765"/>
      <c r="BM14" s="16"/>
      <c r="BN14" s="16"/>
      <c r="BO14" s="16"/>
    </row>
    <row r="15" spans="1:67" s="5" customFormat="1" ht="30" customHeight="1">
      <c r="A15" s="19">
        <f t="shared" si="10"/>
        <v>10</v>
      </c>
      <c r="B15" s="19">
        <v>20042</v>
      </c>
      <c r="C15" s="19" t="s">
        <v>447</v>
      </c>
      <c r="D15" s="495">
        <v>1300000</v>
      </c>
      <c r="E15" s="495">
        <v>1300000</v>
      </c>
      <c r="F15" s="495">
        <f t="shared" si="0"/>
        <v>0</v>
      </c>
      <c r="G15" s="495">
        <v>950000</v>
      </c>
      <c r="H15" s="495">
        <v>790305</v>
      </c>
      <c r="I15" s="495"/>
      <c r="J15" s="495">
        <f>1216+77725</f>
        <v>78941</v>
      </c>
      <c r="K15" s="495">
        <f t="shared" si="1"/>
        <v>78941</v>
      </c>
      <c r="L15" s="495">
        <f t="shared" si="2"/>
        <v>869246</v>
      </c>
      <c r="M15" s="495">
        <f>P15+S15-80000</f>
        <v>754</v>
      </c>
      <c r="N15" s="495">
        <f>308700+1300+40000+80000-100000</f>
        <v>330000</v>
      </c>
      <c r="O15" s="495">
        <f t="shared" si="11"/>
        <v>100000</v>
      </c>
      <c r="P15" s="495">
        <f t="shared" si="12"/>
        <v>80754</v>
      </c>
      <c r="Q15" s="495"/>
      <c r="R15" s="495"/>
      <c r="S15" s="495">
        <f t="shared" si="13"/>
        <v>0</v>
      </c>
      <c r="T15" s="495">
        <f t="shared" si="3"/>
        <v>80000</v>
      </c>
      <c r="U15" s="495">
        <f t="shared" si="4"/>
        <v>250000</v>
      </c>
      <c r="V15" s="495"/>
      <c r="W15" s="495">
        <f t="shared" si="5"/>
        <v>250000</v>
      </c>
      <c r="X15" s="495"/>
      <c r="Y15" s="495"/>
      <c r="Z15" s="495"/>
      <c r="AA15" s="765"/>
      <c r="AB15" s="19" t="s">
        <v>668</v>
      </c>
      <c r="AC15" s="19">
        <v>810000</v>
      </c>
      <c r="AD15" s="495"/>
      <c r="AE15" s="495"/>
      <c r="AF15" s="495"/>
      <c r="AG15" s="495"/>
      <c r="AH15" s="495">
        <v>250000</v>
      </c>
      <c r="AI15" s="495"/>
      <c r="AJ15" s="495">
        <f t="shared" si="6"/>
        <v>250000</v>
      </c>
      <c r="AK15" s="495">
        <f t="shared" si="14"/>
        <v>0</v>
      </c>
      <c r="AL15" s="495"/>
      <c r="AM15" s="495"/>
      <c r="AN15" s="495">
        <f t="shared" si="7"/>
        <v>0</v>
      </c>
      <c r="AO15" s="495"/>
      <c r="AP15" s="495">
        <f t="shared" si="8"/>
        <v>0</v>
      </c>
      <c r="AQ15" s="495"/>
      <c r="AR15" s="495"/>
      <c r="AS15" s="495"/>
      <c r="AT15" s="495"/>
      <c r="AU15" s="495"/>
      <c r="AV15" s="495"/>
      <c r="AW15" s="495"/>
      <c r="AX15" s="495">
        <f t="shared" si="15"/>
        <v>0</v>
      </c>
      <c r="AY15" s="495"/>
      <c r="AZ15" s="495"/>
      <c r="BA15" s="495"/>
      <c r="BB15" s="495"/>
      <c r="BC15" s="495"/>
      <c r="BD15" s="495"/>
      <c r="BE15" s="765">
        <f t="shared" si="9"/>
        <v>250000</v>
      </c>
      <c r="BF15" s="495">
        <f t="shared" si="16"/>
        <v>0</v>
      </c>
      <c r="BG15" s="495"/>
      <c r="BH15" s="495">
        <f t="shared" si="17"/>
        <v>250000</v>
      </c>
      <c r="BI15" s="495"/>
      <c r="BJ15" s="495"/>
      <c r="BK15" s="495"/>
      <c r="BL15" s="495"/>
      <c r="BM15" s="16"/>
      <c r="BN15" s="16"/>
      <c r="BO15" s="16"/>
    </row>
    <row r="16" spans="1:67" s="5" customFormat="1" ht="30" customHeight="1">
      <c r="A16" s="19">
        <f t="shared" si="10"/>
        <v>11</v>
      </c>
      <c r="B16" s="19">
        <v>20043</v>
      </c>
      <c r="C16" s="19" t="s">
        <v>448</v>
      </c>
      <c r="D16" s="495">
        <v>800000</v>
      </c>
      <c r="E16" s="495">
        <v>1300000</v>
      </c>
      <c r="F16" s="495">
        <f t="shared" si="0"/>
        <v>-500000</v>
      </c>
      <c r="G16" s="495">
        <v>800000</v>
      </c>
      <c r="H16" s="495">
        <v>532407</v>
      </c>
      <c r="I16" s="495"/>
      <c r="J16" s="495"/>
      <c r="K16" s="495">
        <f t="shared" si="1"/>
        <v>0</v>
      </c>
      <c r="L16" s="495">
        <f t="shared" si="2"/>
        <v>532407</v>
      </c>
      <c r="M16" s="495">
        <f>P16+S16-250000-15000</f>
        <v>2593</v>
      </c>
      <c r="N16" s="495">
        <f>250000+15000-150000</f>
        <v>115000</v>
      </c>
      <c r="O16" s="495">
        <f t="shared" si="11"/>
        <v>150000</v>
      </c>
      <c r="P16" s="495">
        <f t="shared" si="12"/>
        <v>267593</v>
      </c>
      <c r="Q16" s="495"/>
      <c r="R16" s="257"/>
      <c r="S16" s="495">
        <f t="shared" si="13"/>
        <v>0</v>
      </c>
      <c r="T16" s="495">
        <f t="shared" si="3"/>
        <v>265000</v>
      </c>
      <c r="U16" s="495">
        <f t="shared" si="4"/>
        <v>-150000</v>
      </c>
      <c r="V16" s="495"/>
      <c r="W16" s="495">
        <f t="shared" si="5"/>
        <v>-150000</v>
      </c>
      <c r="X16" s="495"/>
      <c r="Y16" s="495"/>
      <c r="Z16" s="495"/>
      <c r="AA16" s="765"/>
      <c r="AB16" s="19" t="s">
        <v>741</v>
      </c>
      <c r="AC16" s="19">
        <v>810000</v>
      </c>
      <c r="AD16" s="495">
        <v>-150000</v>
      </c>
      <c r="AE16" s="495"/>
      <c r="AF16" s="495"/>
      <c r="AG16" s="495"/>
      <c r="AH16" s="495"/>
      <c r="AI16" s="495"/>
      <c r="AJ16" s="495">
        <f t="shared" si="6"/>
        <v>-150000</v>
      </c>
      <c r="AK16" s="495">
        <f t="shared" si="14"/>
        <v>0</v>
      </c>
      <c r="AL16" s="495"/>
      <c r="AM16" s="495"/>
      <c r="AN16" s="495">
        <f t="shared" si="7"/>
        <v>0</v>
      </c>
      <c r="AO16" s="495"/>
      <c r="AP16" s="495">
        <f t="shared" si="8"/>
        <v>0</v>
      </c>
      <c r="AQ16" s="495"/>
      <c r="AR16" s="495"/>
      <c r="AS16" s="495"/>
      <c r="AT16" s="495"/>
      <c r="AU16" s="495"/>
      <c r="AV16" s="495"/>
      <c r="AW16" s="495"/>
      <c r="AX16" s="495">
        <f t="shared" si="15"/>
        <v>0</v>
      </c>
      <c r="AY16" s="495"/>
      <c r="AZ16" s="495"/>
      <c r="BA16" s="495"/>
      <c r="BB16" s="495"/>
      <c r="BC16" s="495"/>
      <c r="BD16" s="495"/>
      <c r="BE16" s="765">
        <f t="shared" si="9"/>
        <v>-150000</v>
      </c>
      <c r="BF16" s="495">
        <f t="shared" si="16"/>
        <v>0</v>
      </c>
      <c r="BG16" s="495"/>
      <c r="BH16" s="495">
        <f t="shared" si="17"/>
        <v>-150000</v>
      </c>
      <c r="BI16" s="495"/>
      <c r="BJ16" s="495"/>
      <c r="BK16" s="495"/>
      <c r="BL16" s="495"/>
      <c r="BM16" s="16"/>
      <c r="BN16" s="16"/>
      <c r="BO16" s="16"/>
    </row>
    <row r="17" spans="1:67" s="5" customFormat="1" ht="30" customHeight="1">
      <c r="A17" s="19">
        <f t="shared" si="10"/>
        <v>12</v>
      </c>
      <c r="B17" s="19">
        <v>20044</v>
      </c>
      <c r="C17" s="19" t="s">
        <v>92</v>
      </c>
      <c r="D17" s="495">
        <f>2926000-78000</f>
        <v>2848000</v>
      </c>
      <c r="E17" s="495">
        <v>1476000</v>
      </c>
      <c r="F17" s="495">
        <f t="shared" si="0"/>
        <v>1372000</v>
      </c>
      <c r="G17" s="495">
        <v>1398000</v>
      </c>
      <c r="H17" s="495">
        <v>1377007</v>
      </c>
      <c r="I17" s="495"/>
      <c r="J17" s="495">
        <v>17269</v>
      </c>
      <c r="K17" s="495">
        <f t="shared" si="1"/>
        <v>17269</v>
      </c>
      <c r="L17" s="495">
        <f t="shared" si="2"/>
        <v>1394276</v>
      </c>
      <c r="M17" s="495">
        <f>P17+S17</f>
        <v>3724</v>
      </c>
      <c r="N17" s="495">
        <f>1450000-450000-200000-100000</f>
        <v>700000</v>
      </c>
      <c r="O17" s="495">
        <f t="shared" si="11"/>
        <v>750000</v>
      </c>
      <c r="P17" s="495">
        <f t="shared" si="12"/>
        <v>3724</v>
      </c>
      <c r="Q17" s="495"/>
      <c r="R17" s="495"/>
      <c r="S17" s="495">
        <f t="shared" si="13"/>
        <v>0</v>
      </c>
      <c r="T17" s="495">
        <f t="shared" si="3"/>
        <v>0</v>
      </c>
      <c r="U17" s="495">
        <f t="shared" si="4"/>
        <v>700000</v>
      </c>
      <c r="V17" s="495"/>
      <c r="W17" s="495">
        <f t="shared" si="5"/>
        <v>700000</v>
      </c>
      <c r="X17" s="495"/>
      <c r="Y17" s="495"/>
      <c r="Z17" s="495"/>
      <c r="AA17" s="765"/>
      <c r="AB17" s="19" t="s">
        <v>1386</v>
      </c>
      <c r="AC17" s="19">
        <v>810000</v>
      </c>
      <c r="AD17" s="495"/>
      <c r="AE17" s="495"/>
      <c r="AF17" s="495">
        <v>600000</v>
      </c>
      <c r="AG17" s="495">
        <v>100000</v>
      </c>
      <c r="AH17" s="495"/>
      <c r="AI17" s="495"/>
      <c r="AJ17" s="495">
        <f t="shared" si="6"/>
        <v>700000</v>
      </c>
      <c r="AK17" s="495">
        <f t="shared" si="14"/>
        <v>0</v>
      </c>
      <c r="AL17" s="495"/>
      <c r="AM17" s="495"/>
      <c r="AN17" s="495">
        <f t="shared" si="7"/>
        <v>0</v>
      </c>
      <c r="AO17" s="495"/>
      <c r="AP17" s="495">
        <f t="shared" si="8"/>
        <v>0</v>
      </c>
      <c r="AQ17" s="495"/>
      <c r="AR17" s="495"/>
      <c r="AS17" s="495"/>
      <c r="AT17" s="495"/>
      <c r="AU17" s="495"/>
      <c r="AV17" s="495"/>
      <c r="AW17" s="495"/>
      <c r="AX17" s="495">
        <f t="shared" si="15"/>
        <v>0</v>
      </c>
      <c r="AY17" s="495"/>
      <c r="AZ17" s="495"/>
      <c r="BA17" s="495"/>
      <c r="BB17" s="495"/>
      <c r="BC17" s="495"/>
      <c r="BD17" s="495"/>
      <c r="BE17" s="765">
        <f t="shared" si="9"/>
        <v>700000</v>
      </c>
      <c r="BF17" s="495">
        <f t="shared" si="16"/>
        <v>0</v>
      </c>
      <c r="BG17" s="495"/>
      <c r="BH17" s="495">
        <f t="shared" si="17"/>
        <v>700000</v>
      </c>
      <c r="BI17" s="495"/>
      <c r="BJ17" s="495"/>
      <c r="BK17" s="495"/>
      <c r="BL17" s="495"/>
      <c r="BM17" s="16"/>
      <c r="BN17" s="16"/>
      <c r="BO17" s="16"/>
    </row>
    <row r="18" spans="1:67" s="40" customFormat="1" ht="30" customHeight="1">
      <c r="A18" s="236">
        <f>COUNT(A6:A17)</f>
        <v>12</v>
      </c>
      <c r="B18" s="20"/>
      <c r="C18" s="208" t="s">
        <v>491</v>
      </c>
      <c r="D18" s="236">
        <f t="shared" ref="D18:BN18" si="18">SUM(D6:D17)</f>
        <v>41049707</v>
      </c>
      <c r="E18" s="236">
        <f t="shared" si="18"/>
        <v>39419720</v>
      </c>
      <c r="F18" s="236">
        <f t="shared" si="18"/>
        <v>1629987</v>
      </c>
      <c r="G18" s="236">
        <f t="shared" si="18"/>
        <v>16441720</v>
      </c>
      <c r="H18" s="236">
        <f t="shared" si="18"/>
        <v>14627772</v>
      </c>
      <c r="I18" s="236">
        <f t="shared" si="18"/>
        <v>0</v>
      </c>
      <c r="J18" s="236">
        <f t="shared" si="18"/>
        <v>254094</v>
      </c>
      <c r="K18" s="236">
        <f t="shared" si="18"/>
        <v>254094</v>
      </c>
      <c r="L18" s="236">
        <f t="shared" si="18"/>
        <v>14881866</v>
      </c>
      <c r="M18" s="236">
        <f t="shared" si="18"/>
        <v>19686</v>
      </c>
      <c r="N18" s="236">
        <f t="shared" si="18"/>
        <v>2045000</v>
      </c>
      <c r="O18" s="236">
        <f t="shared" si="18"/>
        <v>24103155</v>
      </c>
      <c r="P18" s="236">
        <f t="shared" si="18"/>
        <v>1559854</v>
      </c>
      <c r="Q18" s="236">
        <f t="shared" si="18"/>
        <v>-100000</v>
      </c>
      <c r="R18" s="236">
        <f t="shared" si="18"/>
        <v>0</v>
      </c>
      <c r="S18" s="236">
        <f t="shared" si="18"/>
        <v>-100000</v>
      </c>
      <c r="T18" s="236">
        <f t="shared" si="18"/>
        <v>1440168</v>
      </c>
      <c r="U18" s="236">
        <f t="shared" si="18"/>
        <v>604832</v>
      </c>
      <c r="V18" s="236">
        <f t="shared" si="18"/>
        <v>0</v>
      </c>
      <c r="W18" s="236">
        <f t="shared" si="18"/>
        <v>1487669</v>
      </c>
      <c r="X18" s="236">
        <f t="shared" si="18"/>
        <v>0</v>
      </c>
      <c r="Y18" s="236">
        <f t="shared" si="18"/>
        <v>0</v>
      </c>
      <c r="Z18" s="236">
        <f t="shared" si="18"/>
        <v>0</v>
      </c>
      <c r="AA18" s="236">
        <f t="shared" si="18"/>
        <v>-882837</v>
      </c>
      <c r="AB18" s="236">
        <f t="shared" si="18"/>
        <v>0</v>
      </c>
      <c r="AC18" s="236">
        <f t="shared" si="18"/>
        <v>9720000</v>
      </c>
      <c r="AD18" s="236">
        <f t="shared" si="18"/>
        <v>-262331</v>
      </c>
      <c r="AE18" s="236">
        <f>SUM(AE6:AE17)</f>
        <v>100000</v>
      </c>
      <c r="AF18" s="236">
        <f>SUM(AF6:AF17)</f>
        <v>1200000</v>
      </c>
      <c r="AG18" s="236">
        <f t="shared" ref="AG18:AH18" si="19">SUM(AG6:AG17)</f>
        <v>200000</v>
      </c>
      <c r="AH18" s="236">
        <f t="shared" si="19"/>
        <v>250000</v>
      </c>
      <c r="AI18" s="236">
        <f t="shared" si="18"/>
        <v>0</v>
      </c>
      <c r="AJ18" s="236">
        <f t="shared" si="18"/>
        <v>1487669</v>
      </c>
      <c r="AK18" s="236">
        <f t="shared" si="18"/>
        <v>-882837</v>
      </c>
      <c r="AL18" s="236">
        <f t="shared" si="18"/>
        <v>0</v>
      </c>
      <c r="AM18" s="236">
        <f t="shared" si="18"/>
        <v>0</v>
      </c>
      <c r="AN18" s="236">
        <f t="shared" si="18"/>
        <v>-882837</v>
      </c>
      <c r="AO18" s="236">
        <f t="shared" si="18"/>
        <v>0</v>
      </c>
      <c r="AP18" s="236">
        <f t="shared" si="18"/>
        <v>0</v>
      </c>
      <c r="AQ18" s="236">
        <f t="shared" si="18"/>
        <v>0</v>
      </c>
      <c r="AR18" s="236">
        <f t="shared" si="18"/>
        <v>0</v>
      </c>
      <c r="AS18" s="236">
        <f t="shared" si="18"/>
        <v>0</v>
      </c>
      <c r="AT18" s="236">
        <f t="shared" si="18"/>
        <v>-882837</v>
      </c>
      <c r="AU18" s="236">
        <f t="shared" si="18"/>
        <v>600000</v>
      </c>
      <c r="AV18" s="236">
        <f t="shared" ref="AV18" si="20">SUM(AV6:AV17)</f>
        <v>0</v>
      </c>
      <c r="AW18" s="236">
        <f t="shared" si="18"/>
        <v>-100000</v>
      </c>
      <c r="AX18" s="236">
        <f t="shared" si="18"/>
        <v>-782837</v>
      </c>
      <c r="AY18" s="236">
        <f t="shared" si="18"/>
        <v>0</v>
      </c>
      <c r="AZ18" s="236">
        <f t="shared" si="18"/>
        <v>0</v>
      </c>
      <c r="BA18" s="236">
        <f t="shared" si="18"/>
        <v>0</v>
      </c>
      <c r="BB18" s="236">
        <f t="shared" si="18"/>
        <v>0</v>
      </c>
      <c r="BC18" s="236">
        <f t="shared" si="18"/>
        <v>0</v>
      </c>
      <c r="BD18" s="236">
        <f t="shared" si="18"/>
        <v>-782837</v>
      </c>
      <c r="BE18" s="236">
        <f t="shared" si="18"/>
        <v>704832</v>
      </c>
      <c r="BF18" s="236">
        <f t="shared" ref="BF18" si="21">SUM(BF6:BF17)</f>
        <v>-100000</v>
      </c>
      <c r="BG18" s="236">
        <f t="shared" si="18"/>
        <v>0</v>
      </c>
      <c r="BH18" s="236">
        <f t="shared" si="18"/>
        <v>1487669</v>
      </c>
      <c r="BI18" s="236">
        <f t="shared" si="18"/>
        <v>0</v>
      </c>
      <c r="BJ18" s="236">
        <f t="shared" si="18"/>
        <v>0</v>
      </c>
      <c r="BK18" s="236">
        <f t="shared" si="18"/>
        <v>0</v>
      </c>
      <c r="BL18" s="236">
        <f t="shared" si="18"/>
        <v>-782837</v>
      </c>
      <c r="BM18" s="16">
        <f t="shared" si="18"/>
        <v>0</v>
      </c>
      <c r="BN18" s="16">
        <f t="shared" si="18"/>
        <v>0</v>
      </c>
      <c r="BO18" s="16"/>
    </row>
    <row r="19" spans="1:67" s="40" customFormat="1" ht="25.15" customHeight="1">
      <c r="C19" s="225"/>
      <c r="D19" s="4">
        <f>SUM(L18:O18)</f>
        <v>41049707</v>
      </c>
      <c r="E19" s="124"/>
      <c r="F19" s="124">
        <f>D18-E18</f>
        <v>1629987</v>
      </c>
      <c r="G19" s="124"/>
      <c r="H19" s="124"/>
      <c r="I19" s="124"/>
      <c r="J19" s="124"/>
      <c r="K19" s="124"/>
      <c r="L19" s="306">
        <f>H18+K18</f>
        <v>14881866</v>
      </c>
      <c r="M19" s="124"/>
      <c r="N19" s="124"/>
      <c r="O19" s="124"/>
      <c r="P19" s="306">
        <f>G18-L19</f>
        <v>1559854</v>
      </c>
      <c r="Q19" s="124"/>
      <c r="R19" s="124"/>
      <c r="S19" s="124"/>
      <c r="T19" s="306">
        <f>P19+S18-M18</f>
        <v>1440168</v>
      </c>
      <c r="U19" s="306">
        <f>N18-T19</f>
        <v>604832</v>
      </c>
      <c r="V19" s="500"/>
      <c r="W19" s="500"/>
      <c r="X19" s="500"/>
      <c r="Y19" s="500"/>
      <c r="Z19" s="500"/>
      <c r="AA19" s="50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312"/>
      <c r="AO19" s="232"/>
      <c r="AP19" s="232"/>
      <c r="AQ19" s="232"/>
      <c r="AR19" s="232"/>
      <c r="AS19" s="232"/>
      <c r="AT19" s="232"/>
      <c r="AU19" s="312"/>
      <c r="AV19" s="31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16"/>
      <c r="BN19" s="16"/>
      <c r="BO19" s="16"/>
    </row>
    <row r="20" spans="1:67" s="40" customFormat="1" ht="25.15" customHeight="1">
      <c r="C20" s="225"/>
      <c r="D20" s="4">
        <f>D18-D19</f>
        <v>0</v>
      </c>
      <c r="E20" s="124"/>
      <c r="F20" s="124"/>
      <c r="G20" s="124"/>
      <c r="H20" s="124"/>
      <c r="I20" s="124"/>
      <c r="J20" s="124"/>
      <c r="K20" s="124"/>
      <c r="L20" s="306">
        <f>L18-L19</f>
        <v>0</v>
      </c>
      <c r="M20" s="124"/>
      <c r="N20" s="124"/>
      <c r="O20" s="124"/>
      <c r="P20" s="306">
        <f>P18-P19</f>
        <v>0</v>
      </c>
      <c r="Q20" s="124"/>
      <c r="R20" s="124"/>
      <c r="S20" s="124"/>
      <c r="T20" s="306">
        <f>T18-T19</f>
        <v>0</v>
      </c>
      <c r="U20" s="306">
        <f>U18-U19</f>
        <v>0</v>
      </c>
      <c r="V20" s="500"/>
      <c r="W20" s="500"/>
      <c r="X20" s="500"/>
      <c r="Y20" s="500"/>
      <c r="Z20" s="500"/>
      <c r="AA20" s="50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312"/>
      <c r="AO20" s="232"/>
      <c r="AP20" s="232"/>
      <c r="AQ20" s="232"/>
      <c r="AR20" s="232"/>
      <c r="AS20" s="232"/>
      <c r="AT20" s="232"/>
      <c r="AU20" s="312"/>
      <c r="AV20" s="312"/>
      <c r="AW20" s="232"/>
      <c r="AX20" s="232"/>
      <c r="AY20" s="232"/>
      <c r="AZ20" s="232"/>
      <c r="BA20" s="232"/>
      <c r="BB20" s="232"/>
      <c r="BC20" s="232"/>
      <c r="BD20" s="232"/>
      <c r="BE20" s="232"/>
      <c r="BF20" s="232"/>
      <c r="BG20" s="232"/>
      <c r="BH20" s="232"/>
      <c r="BI20" s="232"/>
      <c r="BJ20" s="232"/>
      <c r="BK20" s="232"/>
      <c r="BL20" s="232"/>
      <c r="BM20" s="16"/>
      <c r="BN20" s="16"/>
      <c r="BO20" s="16"/>
    </row>
    <row r="21" spans="1:67" ht="15" customHeight="1"/>
    <row r="22" spans="1:67" s="399" customFormat="1" ht="15.75">
      <c r="A22" s="504"/>
      <c r="C22" s="400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AB22" s="40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O22" s="402"/>
      <c r="AP22" s="402"/>
      <c r="AQ22" s="402"/>
      <c r="AR22" s="402"/>
      <c r="AS22" s="402"/>
      <c r="AT22" s="402"/>
      <c r="AW22" s="402"/>
      <c r="AX22" s="402"/>
      <c r="AY22" s="402"/>
      <c r="AZ22" s="402"/>
      <c r="BA22" s="402"/>
      <c r="BB22" s="402"/>
      <c r="BC22" s="402"/>
      <c r="BD22" s="402"/>
      <c r="BE22" s="402"/>
      <c r="BF22" s="402"/>
      <c r="BG22" s="402"/>
      <c r="BH22" s="402"/>
      <c r="BI22" s="402"/>
      <c r="BJ22" s="402"/>
      <c r="BK22" s="402"/>
      <c r="BL22" s="402"/>
      <c r="BM22" s="16"/>
      <c r="BN22" s="16"/>
      <c r="BO22" s="16"/>
    </row>
    <row r="23" spans="1:67" ht="15.75">
      <c r="A23" s="504"/>
    </row>
    <row r="24" spans="1:67" ht="15.75">
      <c r="A24" s="504"/>
      <c r="J24" s="364"/>
    </row>
    <row r="25" spans="1:67" ht="15.75">
      <c r="A25" s="504"/>
      <c r="U25" s="11"/>
      <c r="V25" s="11"/>
      <c r="W25" s="11"/>
      <c r="X25" s="11"/>
      <c r="Y25" s="11"/>
      <c r="Z25" s="11"/>
      <c r="AA25" s="11"/>
    </row>
    <row r="26" spans="1:67">
      <c r="U26" s="11"/>
      <c r="V26" s="11"/>
      <c r="W26" s="11"/>
      <c r="X26" s="11"/>
      <c r="Y26" s="11"/>
      <c r="Z26" s="11"/>
      <c r="AA26" s="11"/>
    </row>
    <row r="27" spans="1:67">
      <c r="U27" s="11"/>
      <c r="V27" s="11"/>
      <c r="W27" s="11"/>
      <c r="X27" s="11"/>
      <c r="Y27" s="11"/>
      <c r="Z27" s="11"/>
      <c r="AA27" s="11"/>
    </row>
    <row r="28" spans="1:67">
      <c r="U28" s="11"/>
      <c r="V28" s="11"/>
      <c r="W28" s="11"/>
      <c r="X28" s="11"/>
      <c r="Y28" s="11"/>
      <c r="Z28" s="11"/>
      <c r="AA28" s="11"/>
    </row>
    <row r="29" spans="1:67">
      <c r="U29" s="11"/>
      <c r="V29" s="11"/>
      <c r="W29" s="11"/>
      <c r="X29" s="11"/>
      <c r="Y29" s="11"/>
      <c r="Z29" s="11"/>
      <c r="AA29" s="11"/>
    </row>
    <row r="31" spans="1:67">
      <c r="N31" s="365"/>
      <c r="R31" s="365"/>
    </row>
    <row r="32" spans="1:67" ht="13.9" hidden="1" customHeight="1">
      <c r="C32" s="527" t="s">
        <v>1024</v>
      </c>
    </row>
    <row r="33" spans="2:3" ht="13.9" hidden="1" customHeight="1"/>
    <row r="34" spans="2:3" ht="13.9" hidden="1" customHeight="1">
      <c r="B34" s="10" t="s">
        <v>1025</v>
      </c>
      <c r="C34" s="14" t="s">
        <v>1026</v>
      </c>
    </row>
    <row r="35" spans="2:3" ht="13.9" hidden="1" customHeight="1">
      <c r="C35" s="10" t="s">
        <v>1027</v>
      </c>
    </row>
    <row r="130" spans="1:1">
      <c r="A130" s="10">
        <f>COUNT(A6:A129)</f>
        <v>13</v>
      </c>
    </row>
    <row r="133" spans="1:1">
      <c r="A133" s="10">
        <f>A130+1</f>
        <v>14</v>
      </c>
    </row>
    <row r="136" spans="1:1" ht="37.9" customHeight="1"/>
    <row r="139" spans="1:1" ht="70.900000000000006" customHeight="1"/>
    <row r="142" spans="1:1" ht="72" customHeight="1"/>
    <row r="144" spans="1:1" ht="43.9" customHeight="1"/>
    <row r="146" ht="30" customHeight="1"/>
  </sheetData>
  <sheetProtection formatCells="0" formatColumns="0" formatRows="0" insertColumns="0" insertRows="0" insertHyperlinks="0" deleteColumns="0" deleteRows="0" sort="0" autoFilter="0" pivotTables="0"/>
  <mergeCells count="7">
    <mergeCell ref="BG4:BL4"/>
    <mergeCell ref="A4:C4"/>
    <mergeCell ref="AD4:AK4"/>
    <mergeCell ref="AO4:AT4"/>
    <mergeCell ref="T4:U4"/>
    <mergeCell ref="V4:AA4"/>
    <mergeCell ref="BE4:BF4"/>
  </mergeCells>
  <conditionalFormatting sqref="A1:AC3">
    <cfRule type="cellIs" dxfId="179" priority="9" operator="equal">
      <formula>0</formula>
    </cfRule>
  </conditionalFormatting>
  <conditionalFormatting sqref="AB5">
    <cfRule type="cellIs" dxfId="178" priority="10" operator="equal">
      <formula>0</formula>
    </cfRule>
  </conditionalFormatting>
  <conditionalFormatting sqref="AU1:AU3 BM1:XFD3">
    <cfRule type="cellIs" dxfId="177" priority="11" operator="equal">
      <formula>0</formula>
    </cfRule>
  </conditionalFormatting>
  <conditionalFormatting sqref="AJ5">
    <cfRule type="cellIs" dxfId="176" priority="8" operator="equal">
      <formula>0</formula>
    </cfRule>
  </conditionalFormatting>
  <conditionalFormatting sqref="AN1:AN3">
    <cfRule type="cellIs" dxfId="175" priority="6" operator="equal">
      <formula>0</formula>
    </cfRule>
  </conditionalFormatting>
  <conditionalFormatting sqref="AN5">
    <cfRule type="cellIs" dxfId="174" priority="5" operator="equal">
      <formula>0</formula>
    </cfRule>
  </conditionalFormatting>
  <conditionalFormatting sqref="AV5">
    <cfRule type="cellIs" dxfId="173" priority="2" operator="equal">
      <formula>0</formula>
    </cfRule>
  </conditionalFormatting>
  <conditionalFormatting sqref="AV1:AV3">
    <cfRule type="cellIs" dxfId="172" priority="3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28"/>
  <sheetViews>
    <sheetView showZeros="0" rightToLeft="1" workbookViewId="0">
      <selection activeCell="U4" sqref="U4"/>
    </sheetView>
  </sheetViews>
  <sheetFormatPr defaultColWidth="9.140625" defaultRowHeight="14.25"/>
  <cols>
    <col min="1" max="2" width="4.140625" style="63" customWidth="1"/>
    <col min="3" max="3" width="34" style="63" customWidth="1"/>
    <col min="4" max="4" width="9.85546875" style="63" customWidth="1"/>
    <col min="5" max="7" width="12.140625" style="63" customWidth="1"/>
    <col min="8" max="8" width="12.140625" style="63" hidden="1" customWidth="1"/>
    <col min="9" max="9" width="7.85546875" style="63" customWidth="1"/>
    <col min="10" max="16384" width="9.140625" style="63"/>
  </cols>
  <sheetData>
    <row r="3" spans="1:16" ht="20.25">
      <c r="D3" s="64"/>
    </row>
    <row r="4" spans="1:16" ht="15.75">
      <c r="A4" s="65"/>
      <c r="C4" s="65"/>
      <c r="D4" s="65"/>
      <c r="E4" s="65"/>
      <c r="F4" s="65"/>
      <c r="G4" s="65"/>
      <c r="H4" s="65"/>
      <c r="I4" s="65"/>
      <c r="J4" s="65"/>
      <c r="K4" s="65"/>
      <c r="N4" s="65"/>
      <c r="O4" s="65"/>
      <c r="P4" s="65"/>
    </row>
    <row r="5" spans="1:16" ht="15.75">
      <c r="A5" s="65">
        <v>3.3</v>
      </c>
      <c r="C5" s="65" t="s">
        <v>401</v>
      </c>
      <c r="D5" s="65"/>
      <c r="E5" s="65"/>
      <c r="F5" s="65"/>
      <c r="G5" s="65"/>
      <c r="H5" s="65"/>
      <c r="I5" s="65"/>
      <c r="J5" s="65"/>
      <c r="K5" s="65"/>
      <c r="N5" s="65"/>
      <c r="O5" s="65"/>
      <c r="P5" s="65"/>
    </row>
    <row r="6" spans="1:16" ht="16.5" thickBot="1">
      <c r="A6" s="65"/>
      <c r="C6" s="65"/>
      <c r="D6" s="65"/>
      <c r="E6" s="65"/>
      <c r="F6" s="65"/>
      <c r="G6" s="65"/>
      <c r="H6" s="65"/>
      <c r="I6" s="65"/>
      <c r="J6" s="65"/>
      <c r="K6" s="65"/>
      <c r="N6" s="65"/>
      <c r="O6" s="65"/>
      <c r="P6" s="65"/>
    </row>
    <row r="7" spans="1:16" ht="20.100000000000001" customHeight="1">
      <c r="A7" s="65"/>
      <c r="C7" s="83" t="s">
        <v>144</v>
      </c>
      <c r="D7" s="250" t="s">
        <v>280</v>
      </c>
      <c r="E7" s="86" t="s">
        <v>877</v>
      </c>
      <c r="F7" s="87" t="s">
        <v>645</v>
      </c>
      <c r="N7" s="65"/>
      <c r="O7" s="65"/>
      <c r="P7" s="65"/>
    </row>
    <row r="8" spans="1:16" ht="20.100000000000001" customHeight="1">
      <c r="A8" s="65"/>
      <c r="C8" s="88" t="s">
        <v>172</v>
      </c>
      <c r="D8" s="147">
        <v>74</v>
      </c>
      <c r="E8" s="147">
        <f>'ריכוז פרקים'!S8/1000</f>
        <v>131123.42499999999</v>
      </c>
      <c r="F8" s="255">
        <f>106756-0.5</f>
        <v>106755.5</v>
      </c>
      <c r="H8" s="198">
        <f>E8/$E$22</f>
        <v>0.32972913330982118</v>
      </c>
      <c r="N8" s="65"/>
      <c r="O8" s="65"/>
      <c r="P8" s="65"/>
    </row>
    <row r="9" spans="1:16" ht="20.100000000000001" customHeight="1">
      <c r="A9" s="65"/>
      <c r="C9" s="88" t="s">
        <v>298</v>
      </c>
      <c r="D9" s="147">
        <v>81</v>
      </c>
      <c r="E9" s="147">
        <f>'ריכוז פרקים'!S11/1000</f>
        <v>108887.583</v>
      </c>
      <c r="F9" s="134">
        <f>203150-0.5</f>
        <v>203149.5</v>
      </c>
      <c r="H9" s="198">
        <f>E9/$E$22</f>
        <v>0.27381383891391808</v>
      </c>
      <c r="N9" s="65"/>
      <c r="O9" s="65"/>
      <c r="P9" s="65"/>
    </row>
    <row r="10" spans="1:16" ht="20.100000000000001" customHeight="1">
      <c r="A10" s="65"/>
      <c r="C10" s="88" t="s">
        <v>299</v>
      </c>
      <c r="D10" s="147">
        <v>82</v>
      </c>
      <c r="E10" s="147">
        <f>'ריכוז פרקים'!S12/1000</f>
        <v>49672</v>
      </c>
      <c r="F10" s="134">
        <v>69237</v>
      </c>
      <c r="H10" s="198">
        <f>E10/$E$22</f>
        <v>0.12490754805836897</v>
      </c>
      <c r="N10" s="65"/>
      <c r="O10" s="65"/>
      <c r="P10" s="65"/>
    </row>
    <row r="11" spans="1:16" ht="20.100000000000001" customHeight="1">
      <c r="A11" s="65"/>
      <c r="C11" s="88" t="s">
        <v>775</v>
      </c>
      <c r="D11" s="147">
        <v>99</v>
      </c>
      <c r="E11" s="147">
        <f>'ריכוז פרקים'!S19/1000</f>
        <v>28500</v>
      </c>
      <c r="F11" s="134">
        <v>5450</v>
      </c>
      <c r="H11" s="198"/>
      <c r="N11" s="65"/>
      <c r="O11" s="65"/>
      <c r="P11" s="65"/>
    </row>
    <row r="12" spans="1:16" ht="20.100000000000001" customHeight="1">
      <c r="A12" s="65"/>
      <c r="C12" s="95" t="s">
        <v>173</v>
      </c>
      <c r="D12" s="147">
        <v>93</v>
      </c>
      <c r="E12" s="147">
        <f>'ריכוז פרקים'!S18/1000</f>
        <v>25579</v>
      </c>
      <c r="F12" s="134">
        <v>14020</v>
      </c>
      <c r="H12" s="198">
        <f t="shared" ref="H12:H21" si="0">E12/$E$22</f>
        <v>6.4322156784204776E-2</v>
      </c>
      <c r="N12" s="65"/>
      <c r="O12" s="65"/>
      <c r="P12" s="65"/>
    </row>
    <row r="13" spans="1:16" ht="20.100000000000001" customHeight="1">
      <c r="A13" s="65"/>
      <c r="C13" s="88" t="s">
        <v>286</v>
      </c>
      <c r="D13" s="147">
        <v>764</v>
      </c>
      <c r="E13" s="147">
        <f>'ריכוז פרקים'!S17/1000</f>
        <v>15000</v>
      </c>
      <c r="F13" s="134">
        <v>12000</v>
      </c>
      <c r="H13" s="198">
        <f t="shared" si="0"/>
        <v>3.77197056868162E-2</v>
      </c>
      <c r="N13" s="65"/>
      <c r="O13" s="65"/>
      <c r="P13" s="65"/>
    </row>
    <row r="14" spans="1:16" ht="20.100000000000001" customHeight="1">
      <c r="A14" s="65"/>
      <c r="C14" s="95" t="s">
        <v>174</v>
      </c>
      <c r="D14" s="147">
        <v>73</v>
      </c>
      <c r="E14" s="147">
        <f>'ריכוז פרקים'!S7/1000</f>
        <v>10720.753000000001</v>
      </c>
      <c r="F14" s="134">
        <v>-4167</v>
      </c>
      <c r="H14" s="198">
        <f t="shared" si="0"/>
        <v>2.6958909860070126E-2</v>
      </c>
      <c r="N14" s="65"/>
      <c r="O14" s="65"/>
      <c r="P14" s="65"/>
    </row>
    <row r="15" spans="1:16" ht="20.100000000000001" customHeight="1">
      <c r="A15" s="65"/>
      <c r="C15" s="88" t="s">
        <v>176</v>
      </c>
      <c r="D15" s="147" t="s">
        <v>465</v>
      </c>
      <c r="E15" s="147">
        <f>'ריכוז פרקים'!S10/1000</f>
        <v>9515</v>
      </c>
      <c r="F15" s="134">
        <v>27715</v>
      </c>
      <c r="H15" s="198">
        <f t="shared" si="0"/>
        <v>2.3926866640670411E-2</v>
      </c>
      <c r="N15" s="65"/>
      <c r="O15" s="65"/>
      <c r="P15" s="65"/>
    </row>
    <row r="16" spans="1:16" ht="20.100000000000001" customHeight="1">
      <c r="A16" s="65"/>
      <c r="C16" s="88" t="s">
        <v>300</v>
      </c>
      <c r="D16" s="147">
        <v>84</v>
      </c>
      <c r="E16" s="147">
        <f>'ריכוז פרקים'!S13/1000</f>
        <v>6600</v>
      </c>
      <c r="F16" s="134">
        <v>9200</v>
      </c>
      <c r="H16" s="198">
        <f t="shared" si="0"/>
        <v>1.659667050219913E-2</v>
      </c>
      <c r="N16" s="65"/>
      <c r="O16" s="65"/>
      <c r="P16" s="65"/>
    </row>
    <row r="17" spans="1:16" ht="20.100000000000001" customHeight="1">
      <c r="A17" s="65"/>
      <c r="C17" s="88" t="s">
        <v>285</v>
      </c>
      <c r="D17" s="147">
        <v>848</v>
      </c>
      <c r="E17" s="147">
        <f>'ריכוז פרקים'!S16/1000</f>
        <v>3200</v>
      </c>
      <c r="F17" s="134">
        <v>1570</v>
      </c>
      <c r="H17" s="198">
        <f t="shared" si="0"/>
        <v>8.0468705465207898E-3</v>
      </c>
      <c r="M17" s="98"/>
      <c r="N17" s="65"/>
      <c r="O17" s="65"/>
      <c r="P17" s="65"/>
    </row>
    <row r="18" spans="1:16" ht="20.100000000000001" customHeight="1">
      <c r="A18" s="65"/>
      <c r="C18" s="88" t="s">
        <v>69</v>
      </c>
      <c r="D18" s="147">
        <v>87</v>
      </c>
      <c r="E18" s="147">
        <f>'ריכוז פרקים'!S15/1000</f>
        <v>2750</v>
      </c>
      <c r="F18" s="134">
        <v>2519</v>
      </c>
      <c r="H18" s="198">
        <f t="shared" si="0"/>
        <v>6.915279375916304E-3</v>
      </c>
      <c r="N18" s="65"/>
      <c r="O18" s="65"/>
      <c r="P18" s="65"/>
    </row>
    <row r="19" spans="1:16" ht="20.100000000000001" customHeight="1">
      <c r="A19" s="65"/>
      <c r="C19" s="88" t="s">
        <v>175</v>
      </c>
      <c r="D19" s="147">
        <v>61</v>
      </c>
      <c r="E19" s="147">
        <f>'ריכוז פרקים'!S6/1000</f>
        <v>2625</v>
      </c>
      <c r="F19" s="134">
        <v>1370</v>
      </c>
      <c r="H19" s="198">
        <f t="shared" si="0"/>
        <v>6.6009484951928352E-3</v>
      </c>
      <c r="N19" s="65"/>
      <c r="O19" s="65"/>
      <c r="P19" s="65"/>
    </row>
    <row r="20" spans="1:16" ht="20.100000000000001" customHeight="1">
      <c r="A20" s="65"/>
      <c r="C20" s="88" t="s">
        <v>68</v>
      </c>
      <c r="D20" s="147">
        <v>747</v>
      </c>
      <c r="E20" s="147">
        <f>'ריכוז פרקים'!S9/1000</f>
        <v>2547.3620000000001</v>
      </c>
      <c r="F20" s="134">
        <v>3043</v>
      </c>
      <c r="H20" s="198">
        <f t="shared" si="0"/>
        <v>6.4057163278519666E-3</v>
      </c>
      <c r="N20" s="65"/>
      <c r="O20" s="65"/>
      <c r="P20" s="65"/>
    </row>
    <row r="21" spans="1:16" ht="20.100000000000001" customHeight="1">
      <c r="A21" s="65"/>
      <c r="C21" s="88" t="s">
        <v>177</v>
      </c>
      <c r="D21" s="147">
        <v>85</v>
      </c>
      <c r="E21" s="147">
        <f>'ריכוז פרקים'!S14/1000</f>
        <v>950</v>
      </c>
      <c r="F21" s="134">
        <v>802</v>
      </c>
      <c r="H21" s="198">
        <f t="shared" si="0"/>
        <v>2.3889146934983597E-3</v>
      </c>
      <c r="N21" s="65"/>
      <c r="O21" s="65"/>
      <c r="P21" s="65"/>
    </row>
    <row r="22" spans="1:16" ht="20.100000000000001" customHeight="1" thickBot="1">
      <c r="A22" s="65"/>
      <c r="C22" s="135" t="s">
        <v>75</v>
      </c>
      <c r="D22" s="136"/>
      <c r="E22" s="139">
        <f>SUM(E8:E21)</f>
        <v>397670.12300000002</v>
      </c>
      <c r="F22" s="140">
        <f>SUM(F8:F21)</f>
        <v>452664</v>
      </c>
      <c r="H22" s="137">
        <f>SUM(H8:H21)</f>
        <v>0.92833255919504909</v>
      </c>
      <c r="N22" s="65"/>
      <c r="O22" s="65"/>
      <c r="P22" s="65"/>
    </row>
    <row r="23" spans="1:16" ht="15.75">
      <c r="A23" s="65"/>
      <c r="M23" s="65"/>
      <c r="N23" s="65"/>
      <c r="O23" s="65"/>
      <c r="P23" s="65"/>
    </row>
    <row r="24" spans="1:16" s="253" customFormat="1" ht="15.75">
      <c r="A24" s="252"/>
      <c r="C24" s="254"/>
      <c r="M24" s="252"/>
      <c r="N24" s="252"/>
      <c r="O24" s="252"/>
      <c r="P24" s="252"/>
    </row>
    <row r="25" spans="1:16" ht="15.75">
      <c r="A25" s="65"/>
      <c r="B25" s="70"/>
      <c r="C25" s="70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</row>
    <row r="26" spans="1:16" ht="15.75">
      <c r="A26" s="70"/>
      <c r="B26" s="70"/>
      <c r="C26" s="70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1:16" ht="15.75"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</row>
    <row r="28" spans="1:16" ht="15.75"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</row>
  </sheetData>
  <sortState xmlns:xlrd2="http://schemas.microsoft.com/office/spreadsheetml/2017/richdata2" ref="A8:P21">
    <sortCondition descending="1" ref="E8:E21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95D3-D3EA-4C66-B75F-238BF7DF9CB4}">
  <dimension ref="A1:BN146"/>
  <sheetViews>
    <sheetView showZeros="0" rightToLeft="1" zoomScaleNormal="100" workbookViewId="0">
      <pane xSplit="3" ySplit="5" topLeftCell="Y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"/>
  <cols>
    <col min="1" max="1" width="3.7109375" style="10" customWidth="1"/>
    <col min="2" max="2" width="5.7109375" style="10" customWidth="1"/>
    <col min="3" max="3" width="25.5703125" style="10" customWidth="1"/>
    <col min="4" max="5" width="10.7109375" style="11" hidden="1" customWidth="1"/>
    <col min="6" max="6" width="9.7109375" style="11" hidden="1" customWidth="1"/>
    <col min="7" max="8" width="10.140625" style="11" hidden="1" customWidth="1"/>
    <col min="9" max="11" width="9.7109375" style="11" hidden="1" customWidth="1"/>
    <col min="12" max="12" width="10.7109375" style="11" hidden="1" customWidth="1"/>
    <col min="13" max="13" width="8.42578125" style="11" hidden="1" customWidth="1"/>
    <col min="14" max="14" width="9.7109375" style="11" hidden="1" customWidth="1"/>
    <col min="15" max="15" width="8.85546875" style="11" hidden="1" customWidth="1"/>
    <col min="16" max="18" width="9.7109375" style="11" hidden="1" customWidth="1"/>
    <col min="19" max="19" width="8.85546875" style="11" hidden="1" customWidth="1"/>
    <col min="20" max="20" width="10.7109375" style="11" customWidth="1"/>
    <col min="21" max="23" width="10.7109375" style="10" customWidth="1"/>
    <col min="24" max="24" width="8.5703125" style="10" hidden="1" customWidth="1"/>
    <col min="25" max="25" width="10.7109375" style="10" customWidth="1"/>
    <col min="26" max="26" width="8.5703125" style="10" hidden="1" customWidth="1"/>
    <col min="27" max="27" width="10.7109375" style="10" customWidth="1"/>
    <col min="28" max="28" width="34.42578125" style="10" hidden="1" customWidth="1"/>
    <col min="29" max="29" width="7.85546875" style="10" hidden="1" customWidth="1"/>
    <col min="30" max="37" width="9.28515625" style="572" hidden="1" customWidth="1"/>
    <col min="38" max="38" width="9.28515625" style="573" hidden="1" customWidth="1"/>
    <col min="39" max="39" width="10.5703125" style="573" hidden="1" customWidth="1"/>
    <col min="40" max="40" width="9.140625" style="10" hidden="1" customWidth="1"/>
    <col min="41" max="41" width="9.28515625" style="573" hidden="1" customWidth="1"/>
    <col min="42" max="42" width="10.42578125" style="573" hidden="1" customWidth="1"/>
    <col min="43" max="43" width="9.28515625" style="573" hidden="1" customWidth="1"/>
    <col min="44" max="46" width="9.28515625" style="16" hidden="1" customWidth="1"/>
    <col min="47" max="47" width="10.5703125" style="573" hidden="1" customWidth="1"/>
    <col min="48" max="56" width="9.28515625" style="16" hidden="1" customWidth="1"/>
    <col min="57" max="57" width="14.28515625" style="16" customWidth="1"/>
    <col min="58" max="60" width="10.7109375" style="16" customWidth="1"/>
    <col min="61" max="61" width="9.28515625" style="16" hidden="1" customWidth="1"/>
    <col min="62" max="62" width="10.7109375" style="16" customWidth="1"/>
    <col min="63" max="63" width="9.28515625" style="16" hidden="1" customWidth="1"/>
    <col min="64" max="64" width="10.7109375" style="16" customWidth="1"/>
    <col min="65" max="66" width="9.28515625" style="572" customWidth="1"/>
    <col min="67" max="16384" width="9.140625" style="10"/>
  </cols>
  <sheetData>
    <row r="1" spans="1:66" s="573" customFormat="1" ht="18.75">
      <c r="A1" s="544"/>
      <c r="B1" s="544"/>
      <c r="C1" s="544"/>
      <c r="D1" s="545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72"/>
      <c r="AE1" s="572"/>
      <c r="AF1" s="572"/>
      <c r="AG1" s="572"/>
      <c r="AH1" s="572"/>
      <c r="AI1" s="572"/>
      <c r="AJ1" s="572"/>
      <c r="AK1" s="572"/>
      <c r="AR1" s="16"/>
      <c r="AS1" s="16"/>
      <c r="AT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572"/>
      <c r="BN1" s="572"/>
    </row>
    <row r="2" spans="1:66" s="573" customFormat="1" ht="18.75">
      <c r="A2" s="544" t="s">
        <v>1387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  <c r="X2" s="544"/>
      <c r="Y2" s="544"/>
      <c r="Z2" s="544"/>
      <c r="AA2" s="544"/>
      <c r="AB2" s="544"/>
      <c r="AC2" s="544"/>
      <c r="AD2" s="572"/>
      <c r="AE2" s="572"/>
      <c r="AF2" s="572"/>
      <c r="AG2" s="572"/>
      <c r="AH2" s="572"/>
      <c r="AI2" s="572"/>
      <c r="AJ2" s="572"/>
      <c r="AK2" s="572"/>
      <c r="AR2" s="16"/>
      <c r="AS2" s="16"/>
      <c r="AT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572"/>
      <c r="BN2" s="572"/>
    </row>
    <row r="3" spans="1:66" s="573" customFormat="1" ht="20.100000000000001" customHeight="1">
      <c r="A3" s="544"/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544"/>
      <c r="X3" s="544"/>
      <c r="Y3" s="544"/>
      <c r="Z3" s="544"/>
      <c r="AA3" s="544"/>
      <c r="AB3" s="544"/>
      <c r="AC3" s="544"/>
      <c r="AD3" s="572"/>
      <c r="AE3" s="572"/>
      <c r="AF3" s="572"/>
      <c r="AG3" s="572"/>
      <c r="AH3" s="572"/>
      <c r="AI3" s="572"/>
      <c r="AJ3" s="572"/>
      <c r="AK3" s="572"/>
      <c r="AR3" s="16"/>
      <c r="AS3" s="16"/>
      <c r="AT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572"/>
      <c r="BN3" s="572"/>
    </row>
    <row r="4" spans="1:66" ht="20.100000000000001" customHeight="1">
      <c r="A4" s="821"/>
      <c r="B4" s="821"/>
      <c r="C4" s="821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D4" s="807" t="s">
        <v>902</v>
      </c>
      <c r="AE4" s="808"/>
      <c r="AF4" s="808"/>
      <c r="AG4" s="808"/>
      <c r="AH4" s="808"/>
      <c r="AI4" s="808"/>
      <c r="AJ4" s="808"/>
      <c r="AK4" s="809"/>
      <c r="AO4" s="807" t="s">
        <v>904</v>
      </c>
      <c r="AP4" s="808"/>
      <c r="AQ4" s="808"/>
      <c r="AR4" s="808"/>
      <c r="AS4" s="808"/>
      <c r="AT4" s="809"/>
      <c r="AV4" s="10"/>
      <c r="AW4" s="10"/>
      <c r="AX4" s="10"/>
      <c r="AY4" s="10"/>
      <c r="AZ4" s="10"/>
      <c r="BA4" s="10"/>
      <c r="BB4" s="10"/>
      <c r="BC4" s="10"/>
      <c r="BD4" s="10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</row>
    <row r="5" spans="1:66" s="16" customFormat="1" ht="63.75" customHeight="1">
      <c r="A5" s="270" t="s">
        <v>0</v>
      </c>
      <c r="B5" s="263" t="s">
        <v>328</v>
      </c>
      <c r="C5" s="263" t="s">
        <v>2</v>
      </c>
      <c r="D5" s="263" t="s">
        <v>72</v>
      </c>
      <c r="E5" s="263" t="s">
        <v>4</v>
      </c>
      <c r="F5" s="263" t="s">
        <v>5</v>
      </c>
      <c r="G5" s="263" t="s">
        <v>6</v>
      </c>
      <c r="H5" s="263" t="s">
        <v>7</v>
      </c>
      <c r="I5" s="263" t="s">
        <v>9</v>
      </c>
      <c r="J5" s="263" t="s">
        <v>101</v>
      </c>
      <c r="K5" s="263" t="s">
        <v>10</v>
      </c>
      <c r="L5" s="263" t="s">
        <v>11</v>
      </c>
      <c r="M5" s="263" t="s">
        <v>568</v>
      </c>
      <c r="N5" s="263" t="s">
        <v>569</v>
      </c>
      <c r="O5" s="494" t="s">
        <v>570</v>
      </c>
      <c r="P5" s="494" t="s">
        <v>12</v>
      </c>
      <c r="Q5" s="494" t="s">
        <v>571</v>
      </c>
      <c r="R5" s="494" t="s">
        <v>572</v>
      </c>
      <c r="S5" s="494" t="s">
        <v>573</v>
      </c>
      <c r="T5" s="494" t="s">
        <v>574</v>
      </c>
      <c r="U5" s="494" t="s">
        <v>575</v>
      </c>
      <c r="V5" s="263" t="s">
        <v>13</v>
      </c>
      <c r="W5" s="263" t="s">
        <v>14</v>
      </c>
      <c r="X5" s="263" t="s">
        <v>15</v>
      </c>
      <c r="Y5" s="263" t="s">
        <v>185</v>
      </c>
      <c r="Z5" s="263" t="s">
        <v>385</v>
      </c>
      <c r="AA5" s="263" t="s">
        <v>67</v>
      </c>
      <c r="AB5" s="263" t="s">
        <v>207</v>
      </c>
      <c r="AC5" s="263" t="s">
        <v>16</v>
      </c>
      <c r="AD5" s="568" t="s">
        <v>905</v>
      </c>
      <c r="AE5" s="568" t="s">
        <v>906</v>
      </c>
      <c r="AF5" s="568" t="s">
        <v>907</v>
      </c>
      <c r="AG5" s="568" t="s">
        <v>908</v>
      </c>
      <c r="AH5" s="568" t="s">
        <v>909</v>
      </c>
      <c r="AI5" s="568" t="s">
        <v>910</v>
      </c>
      <c r="AJ5" s="568" t="s">
        <v>911</v>
      </c>
      <c r="AK5" s="568" t="s">
        <v>912</v>
      </c>
      <c r="AL5" s="568" t="s">
        <v>913</v>
      </c>
      <c r="AM5" s="568" t="s">
        <v>914</v>
      </c>
      <c r="AN5" s="568" t="s">
        <v>915</v>
      </c>
      <c r="AO5" s="494" t="s">
        <v>13</v>
      </c>
      <c r="AP5" s="494" t="s">
        <v>14</v>
      </c>
      <c r="AQ5" s="494" t="s">
        <v>15</v>
      </c>
      <c r="AR5" s="494" t="s">
        <v>185</v>
      </c>
      <c r="AS5" s="494" t="s">
        <v>385</v>
      </c>
      <c r="AT5" s="494" t="s">
        <v>67</v>
      </c>
      <c r="AU5" s="568" t="s">
        <v>947</v>
      </c>
      <c r="AV5" s="494" t="s">
        <v>917</v>
      </c>
      <c r="AW5" s="494" t="s">
        <v>918</v>
      </c>
      <c r="AX5" s="494" t="s">
        <v>919</v>
      </c>
      <c r="AY5" s="494" t="s">
        <v>13</v>
      </c>
      <c r="AZ5" s="494" t="s">
        <v>14</v>
      </c>
      <c r="BA5" s="494" t="s">
        <v>15</v>
      </c>
      <c r="BB5" s="494" t="s">
        <v>185</v>
      </c>
      <c r="BC5" s="494" t="s">
        <v>385</v>
      </c>
      <c r="BD5" s="494" t="s">
        <v>67</v>
      </c>
      <c r="BE5" s="494" t="s">
        <v>1355</v>
      </c>
      <c r="BF5" s="494" t="s">
        <v>1350</v>
      </c>
      <c r="BG5" s="494" t="s">
        <v>13</v>
      </c>
      <c r="BH5" s="494" t="s">
        <v>14</v>
      </c>
      <c r="BI5" s="494" t="s">
        <v>15</v>
      </c>
      <c r="BJ5" s="494" t="s">
        <v>185</v>
      </c>
      <c r="BK5" s="494" t="s">
        <v>385</v>
      </c>
      <c r="BL5" s="494" t="s">
        <v>67</v>
      </c>
      <c r="BM5" s="572"/>
      <c r="BN5" s="572"/>
    </row>
    <row r="6" spans="1:66" s="5" customFormat="1" ht="30" customHeight="1">
      <c r="A6" s="19">
        <v>1</v>
      </c>
      <c r="B6" s="19">
        <v>1582</v>
      </c>
      <c r="C6" s="19" t="s">
        <v>43</v>
      </c>
      <c r="D6" s="495">
        <f>2055000</f>
        <v>2055000</v>
      </c>
      <c r="E6" s="495">
        <v>2055000</v>
      </c>
      <c r="F6" s="495">
        <f>+D6-E6</f>
        <v>0</v>
      </c>
      <c r="G6" s="495">
        <v>1234000</v>
      </c>
      <c r="H6" s="495">
        <v>1233918</v>
      </c>
      <c r="I6" s="495">
        <v>0</v>
      </c>
      <c r="J6" s="495"/>
      <c r="K6" s="495">
        <f t="shared" ref="K6:K13" si="0">I6+J6</f>
        <v>0</v>
      </c>
      <c r="L6" s="495">
        <f t="shared" ref="L6:L13" si="1">H6+K6</f>
        <v>1233918</v>
      </c>
      <c r="M6" s="495">
        <f>P6+S6</f>
        <v>82</v>
      </c>
      <c r="N6" s="495">
        <f>470000-470000</f>
        <v>0</v>
      </c>
      <c r="O6" s="495">
        <f t="shared" ref="O6:O13" si="2">D6-L6-M6-N6</f>
        <v>821000</v>
      </c>
      <c r="P6" s="495">
        <f t="shared" ref="P6:P13" si="3">G6-L6</f>
        <v>82</v>
      </c>
      <c r="Q6" s="495"/>
      <c r="R6" s="495"/>
      <c r="S6" s="495">
        <f t="shared" ref="S6:S13" si="4">SUM(Q6:R6)</f>
        <v>0</v>
      </c>
      <c r="T6" s="495">
        <f t="shared" ref="T6:T13" si="5">P6-M6+S6</f>
        <v>0</v>
      </c>
      <c r="U6" s="495">
        <f t="shared" ref="U6:U13" si="6">N6-T6</f>
        <v>0</v>
      </c>
      <c r="V6" s="495"/>
      <c r="W6" s="495">
        <f t="shared" ref="W6:W13" si="7">U6-V6-Z6-AA6</f>
        <v>0</v>
      </c>
      <c r="X6" s="495"/>
      <c r="Y6" s="495"/>
      <c r="Z6" s="495"/>
      <c r="AA6" s="19"/>
      <c r="AB6" s="203" t="s">
        <v>1028</v>
      </c>
      <c r="AC6" s="19">
        <v>829000</v>
      </c>
      <c r="AD6" s="495"/>
      <c r="AE6" s="495"/>
      <c r="AF6" s="495"/>
      <c r="AG6" s="495"/>
      <c r="AH6" s="495"/>
      <c r="AI6" s="495"/>
      <c r="AJ6" s="495">
        <f t="shared" ref="AJ6:AJ16" si="8">SUM(AD6:AI6)+AL6</f>
        <v>0</v>
      </c>
      <c r="AK6" s="495">
        <f>U6-AJ6</f>
        <v>0</v>
      </c>
      <c r="AL6" s="495"/>
      <c r="AM6" s="495"/>
      <c r="AN6" s="495">
        <f t="shared" ref="AN6:AN16" si="9">AK6+AM6</f>
        <v>0</v>
      </c>
      <c r="AO6" s="495"/>
      <c r="AP6" s="495">
        <f t="shared" ref="AP6:AP16" si="10">AN6-AO6-AQ6-AR6-AS6-AT6</f>
        <v>0</v>
      </c>
      <c r="AQ6" s="495"/>
      <c r="AR6" s="495"/>
      <c r="AS6" s="495"/>
      <c r="AT6" s="495"/>
      <c r="AU6" s="495"/>
      <c r="AV6" s="495"/>
      <c r="AW6" s="495"/>
      <c r="AX6" s="495">
        <f t="shared" ref="AX6:AX16" si="11">AN6-AW6</f>
        <v>0</v>
      </c>
      <c r="AY6" s="495"/>
      <c r="AZ6" s="495">
        <f>AX6-AY6-BA6-BB6-BC6-BD6</f>
        <v>0</v>
      </c>
      <c r="BA6" s="495"/>
      <c r="BB6" s="495"/>
      <c r="BC6" s="495"/>
      <c r="BD6" s="495"/>
      <c r="BE6" s="495">
        <f>AJ6+AX6</f>
        <v>0</v>
      </c>
      <c r="BF6" s="495">
        <f>U6-BE6</f>
        <v>0</v>
      </c>
      <c r="BG6" s="495"/>
      <c r="BH6" s="495">
        <f>BE6</f>
        <v>0</v>
      </c>
      <c r="BI6" s="495"/>
      <c r="BJ6" s="495"/>
      <c r="BK6" s="495"/>
      <c r="BL6" s="495"/>
      <c r="BM6" s="572"/>
      <c r="BN6" s="572"/>
    </row>
    <row r="7" spans="1:66" s="5" customFormat="1" ht="30" customHeight="1">
      <c r="A7" s="19">
        <f>1+A6</f>
        <v>2</v>
      </c>
      <c r="B7" s="19">
        <v>1678</v>
      </c>
      <c r="C7" s="19" t="s">
        <v>269</v>
      </c>
      <c r="D7" s="495">
        <f>2285000+280000</f>
        <v>2565000</v>
      </c>
      <c r="E7" s="495">
        <v>2285000</v>
      </c>
      <c r="F7" s="495">
        <f>+D7-E7</f>
        <v>280000</v>
      </c>
      <c r="G7" s="495">
        <v>2285000</v>
      </c>
      <c r="H7" s="495">
        <v>2284551</v>
      </c>
      <c r="I7" s="495">
        <v>0</v>
      </c>
      <c r="J7" s="495"/>
      <c r="K7" s="495">
        <f t="shared" si="0"/>
        <v>0</v>
      </c>
      <c r="L7" s="495">
        <f t="shared" si="1"/>
        <v>2284551</v>
      </c>
      <c r="M7" s="495">
        <f>P7+S7</f>
        <v>449</v>
      </c>
      <c r="N7" s="495">
        <v>280000</v>
      </c>
      <c r="O7" s="495">
        <f t="shared" si="2"/>
        <v>0</v>
      </c>
      <c r="P7" s="495">
        <f t="shared" si="3"/>
        <v>449</v>
      </c>
      <c r="Q7" s="495"/>
      <c r="R7" s="495"/>
      <c r="S7" s="495">
        <f t="shared" si="4"/>
        <v>0</v>
      </c>
      <c r="T7" s="495">
        <f t="shared" si="5"/>
        <v>0</v>
      </c>
      <c r="U7" s="495">
        <f t="shared" si="6"/>
        <v>280000</v>
      </c>
      <c r="V7" s="495"/>
      <c r="W7" s="495">
        <f t="shared" si="7"/>
        <v>280000</v>
      </c>
      <c r="X7" s="495"/>
      <c r="Y7" s="495"/>
      <c r="Z7" s="495"/>
      <c r="AA7" s="19"/>
      <c r="AB7" s="19" t="s">
        <v>1029</v>
      </c>
      <c r="AC7" s="19">
        <v>829000</v>
      </c>
      <c r="AD7" s="495"/>
      <c r="AE7" s="495">
        <v>150000</v>
      </c>
      <c r="AF7" s="495">
        <v>130000</v>
      </c>
      <c r="AG7" s="495"/>
      <c r="AH7" s="495"/>
      <c r="AI7" s="495"/>
      <c r="AJ7" s="495">
        <f t="shared" si="8"/>
        <v>280000</v>
      </c>
      <c r="AK7" s="495">
        <f t="shared" ref="AK7:AK16" si="12">U7-AJ7</f>
        <v>0</v>
      </c>
      <c r="AL7" s="495"/>
      <c r="AM7" s="495"/>
      <c r="AN7" s="495">
        <f t="shared" si="9"/>
        <v>0</v>
      </c>
      <c r="AO7" s="495"/>
      <c r="AP7" s="495">
        <f t="shared" si="10"/>
        <v>0</v>
      </c>
      <c r="AQ7" s="495"/>
      <c r="AR7" s="495"/>
      <c r="AS7" s="495"/>
      <c r="AT7" s="495"/>
      <c r="AU7" s="495"/>
      <c r="AV7" s="495"/>
      <c r="AW7" s="495"/>
      <c r="AX7" s="495">
        <f t="shared" si="11"/>
        <v>0</v>
      </c>
      <c r="AY7" s="495"/>
      <c r="AZ7" s="495">
        <f t="shared" ref="AZ7:AZ16" si="13">AX7-AY7-BA7-BB7-BC7-BD7</f>
        <v>0</v>
      </c>
      <c r="BA7" s="495"/>
      <c r="BB7" s="495"/>
      <c r="BC7" s="495"/>
      <c r="BD7" s="495"/>
      <c r="BE7" s="495">
        <f t="shared" ref="BE7:BE16" si="14">AJ7+AX7</f>
        <v>280000</v>
      </c>
      <c r="BF7" s="495">
        <f t="shared" ref="BF7:BF16" si="15">U7-BE7</f>
        <v>0</v>
      </c>
      <c r="BG7" s="495"/>
      <c r="BH7" s="495">
        <f t="shared" ref="BH7:BH16" si="16">BE7</f>
        <v>280000</v>
      </c>
      <c r="BI7" s="495"/>
      <c r="BJ7" s="495"/>
      <c r="BK7" s="495"/>
      <c r="BL7" s="495"/>
      <c r="BM7" s="572"/>
      <c r="BN7" s="572"/>
    </row>
    <row r="8" spans="1:66" s="5" customFormat="1" ht="30" customHeight="1">
      <c r="A8" s="19">
        <f t="shared" ref="A8:A16" si="17">1+A7</f>
        <v>3</v>
      </c>
      <c r="B8" s="454">
        <v>2004</v>
      </c>
      <c r="C8" s="19" t="s">
        <v>103</v>
      </c>
      <c r="D8" s="495">
        <f>1425000+70000+90000</f>
        <v>1585000</v>
      </c>
      <c r="E8" s="495">
        <v>1425000</v>
      </c>
      <c r="F8" s="495">
        <f>+D8-E8</f>
        <v>160000</v>
      </c>
      <c r="G8" s="495">
        <v>1335000</v>
      </c>
      <c r="H8" s="495">
        <v>1310871</v>
      </c>
      <c r="I8" s="495">
        <v>0</v>
      </c>
      <c r="J8" s="495">
        <v>47441</v>
      </c>
      <c r="K8" s="495">
        <f t="shared" si="0"/>
        <v>47441</v>
      </c>
      <c r="L8" s="495">
        <f t="shared" si="1"/>
        <v>1358312</v>
      </c>
      <c r="M8" s="495">
        <f>P8+S8-65000</f>
        <v>1688</v>
      </c>
      <c r="N8" s="495">
        <f>160000+65000</f>
        <v>225000</v>
      </c>
      <c r="O8" s="495">
        <f t="shared" si="2"/>
        <v>0</v>
      </c>
      <c r="P8" s="495">
        <f t="shared" si="3"/>
        <v>-23312</v>
      </c>
      <c r="Q8" s="495">
        <v>90000</v>
      </c>
      <c r="R8" s="495"/>
      <c r="S8" s="495">
        <f t="shared" si="4"/>
        <v>90000</v>
      </c>
      <c r="T8" s="495">
        <f t="shared" si="5"/>
        <v>65000</v>
      </c>
      <c r="U8" s="495">
        <f t="shared" si="6"/>
        <v>160000</v>
      </c>
      <c r="V8" s="495"/>
      <c r="W8" s="495">
        <f t="shared" si="7"/>
        <v>160000</v>
      </c>
      <c r="X8" s="495"/>
      <c r="Y8" s="495"/>
      <c r="Z8" s="495"/>
      <c r="AA8" s="19"/>
      <c r="AB8" s="19" t="s">
        <v>1030</v>
      </c>
      <c r="AC8" s="19">
        <v>829000</v>
      </c>
      <c r="AD8" s="495"/>
      <c r="AE8" s="495">
        <v>90000</v>
      </c>
      <c r="AF8" s="495"/>
      <c r="AG8" s="495">
        <v>30000</v>
      </c>
      <c r="AH8" s="495">
        <v>40000</v>
      </c>
      <c r="AI8" s="495"/>
      <c r="AJ8" s="495">
        <f t="shared" si="8"/>
        <v>160000</v>
      </c>
      <c r="AK8" s="495">
        <f t="shared" si="12"/>
        <v>0</v>
      </c>
      <c r="AL8" s="495"/>
      <c r="AM8" s="495"/>
      <c r="AN8" s="495">
        <f t="shared" si="9"/>
        <v>0</v>
      </c>
      <c r="AO8" s="495"/>
      <c r="AP8" s="495">
        <f t="shared" si="10"/>
        <v>0</v>
      </c>
      <c r="AQ8" s="495"/>
      <c r="AR8" s="495"/>
      <c r="AS8" s="495"/>
      <c r="AT8" s="495"/>
      <c r="AU8" s="495"/>
      <c r="AV8" s="495"/>
      <c r="AW8" s="495"/>
      <c r="AX8" s="495">
        <f t="shared" si="11"/>
        <v>0</v>
      </c>
      <c r="AY8" s="495"/>
      <c r="AZ8" s="495">
        <f t="shared" si="13"/>
        <v>0</v>
      </c>
      <c r="BA8" s="495"/>
      <c r="BB8" s="495"/>
      <c r="BC8" s="495"/>
      <c r="BD8" s="495"/>
      <c r="BE8" s="495">
        <f t="shared" si="14"/>
        <v>160000</v>
      </c>
      <c r="BF8" s="495">
        <f t="shared" si="15"/>
        <v>0</v>
      </c>
      <c r="BG8" s="495"/>
      <c r="BH8" s="495">
        <f t="shared" si="16"/>
        <v>160000</v>
      </c>
      <c r="BI8" s="495"/>
      <c r="BJ8" s="495"/>
      <c r="BK8" s="495"/>
      <c r="BL8" s="495"/>
      <c r="BM8" s="572"/>
      <c r="BN8" s="572"/>
    </row>
    <row r="9" spans="1:66" s="5" customFormat="1" ht="30" customHeight="1">
      <c r="A9" s="19">
        <f t="shared" si="17"/>
        <v>4</v>
      </c>
      <c r="B9" s="454">
        <v>2060</v>
      </c>
      <c r="C9" s="19" t="s">
        <v>268</v>
      </c>
      <c r="D9" s="495">
        <f>2871000+230000</f>
        <v>3101000</v>
      </c>
      <c r="E9" s="495">
        <v>2871000</v>
      </c>
      <c r="F9" s="495">
        <f>+D9-E9</f>
        <v>230000</v>
      </c>
      <c r="G9" s="495">
        <v>2871000</v>
      </c>
      <c r="H9" s="495">
        <v>2853091</v>
      </c>
      <c r="I9" s="495">
        <v>0</v>
      </c>
      <c r="J9" s="495"/>
      <c r="K9" s="495">
        <f t="shared" si="0"/>
        <v>0</v>
      </c>
      <c r="L9" s="495">
        <f t="shared" si="1"/>
        <v>2853091</v>
      </c>
      <c r="M9" s="495">
        <f>P9+S9-15000</f>
        <v>2909</v>
      </c>
      <c r="N9" s="495">
        <f>230000-80000+15000</f>
        <v>165000</v>
      </c>
      <c r="O9" s="495">
        <f t="shared" si="2"/>
        <v>80000</v>
      </c>
      <c r="P9" s="495">
        <f t="shared" si="3"/>
        <v>17909</v>
      </c>
      <c r="Q9" s="495"/>
      <c r="R9" s="495"/>
      <c r="S9" s="495">
        <f t="shared" si="4"/>
        <v>0</v>
      </c>
      <c r="T9" s="495">
        <f t="shared" si="5"/>
        <v>15000</v>
      </c>
      <c r="U9" s="495">
        <f t="shared" si="6"/>
        <v>150000</v>
      </c>
      <c r="V9" s="495"/>
      <c r="W9" s="495">
        <f t="shared" si="7"/>
        <v>150000</v>
      </c>
      <c r="X9" s="495"/>
      <c r="Y9" s="495"/>
      <c r="Z9" s="495"/>
      <c r="AA9" s="19"/>
      <c r="AB9" s="19" t="s">
        <v>1031</v>
      </c>
      <c r="AC9" s="19">
        <v>829000</v>
      </c>
      <c r="AD9" s="495"/>
      <c r="AE9" s="495">
        <v>100000</v>
      </c>
      <c r="AF9" s="495">
        <v>50000</v>
      </c>
      <c r="AG9" s="495"/>
      <c r="AH9" s="495"/>
      <c r="AI9" s="495"/>
      <c r="AJ9" s="495">
        <f t="shared" si="8"/>
        <v>150000</v>
      </c>
      <c r="AK9" s="495">
        <f t="shared" si="12"/>
        <v>0</v>
      </c>
      <c r="AL9" s="495"/>
      <c r="AM9" s="495"/>
      <c r="AN9" s="495">
        <f t="shared" si="9"/>
        <v>0</v>
      </c>
      <c r="AO9" s="495"/>
      <c r="AP9" s="495">
        <f t="shared" si="10"/>
        <v>0</v>
      </c>
      <c r="AQ9" s="495"/>
      <c r="AR9" s="495"/>
      <c r="AS9" s="495"/>
      <c r="AT9" s="495"/>
      <c r="AU9" s="495"/>
      <c r="AV9" s="495"/>
      <c r="AW9" s="495"/>
      <c r="AX9" s="495">
        <f t="shared" si="11"/>
        <v>0</v>
      </c>
      <c r="AY9" s="495"/>
      <c r="AZ9" s="495">
        <f t="shared" si="13"/>
        <v>0</v>
      </c>
      <c r="BA9" s="495"/>
      <c r="BB9" s="495"/>
      <c r="BC9" s="495"/>
      <c r="BD9" s="495"/>
      <c r="BE9" s="495">
        <f t="shared" si="14"/>
        <v>150000</v>
      </c>
      <c r="BF9" s="495">
        <f t="shared" si="15"/>
        <v>0</v>
      </c>
      <c r="BG9" s="495"/>
      <c r="BH9" s="495">
        <f t="shared" si="16"/>
        <v>150000</v>
      </c>
      <c r="BI9" s="495"/>
      <c r="BJ9" s="495"/>
      <c r="BK9" s="495"/>
      <c r="BL9" s="495"/>
      <c r="BM9" s="572"/>
      <c r="BN9" s="572"/>
    </row>
    <row r="10" spans="1:66" s="5" customFormat="1" ht="30" customHeight="1">
      <c r="A10" s="19">
        <f t="shared" si="17"/>
        <v>5</v>
      </c>
      <c r="B10" s="19">
        <v>20033</v>
      </c>
      <c r="C10" s="19" t="s">
        <v>492</v>
      </c>
      <c r="D10" s="495">
        <f>1485000+330000+30000</f>
        <v>1845000</v>
      </c>
      <c r="E10" s="495">
        <v>1485000</v>
      </c>
      <c r="F10" s="495">
        <f>D10-E10</f>
        <v>360000</v>
      </c>
      <c r="G10" s="495">
        <v>1485000</v>
      </c>
      <c r="H10" s="495">
        <v>1484993</v>
      </c>
      <c r="I10" s="495">
        <v>0</v>
      </c>
      <c r="J10" s="495">
        <v>0</v>
      </c>
      <c r="K10" s="495">
        <f t="shared" si="0"/>
        <v>0</v>
      </c>
      <c r="L10" s="495">
        <f t="shared" si="1"/>
        <v>1484993</v>
      </c>
      <c r="M10" s="495">
        <f>P10+S10</f>
        <v>7</v>
      </c>
      <c r="N10" s="495">
        <f>93000+37000+100000+100000+30000</f>
        <v>360000</v>
      </c>
      <c r="O10" s="495">
        <f t="shared" si="2"/>
        <v>0</v>
      </c>
      <c r="P10" s="495">
        <f t="shared" si="3"/>
        <v>7</v>
      </c>
      <c r="Q10" s="495"/>
      <c r="R10" s="495"/>
      <c r="S10" s="495">
        <f t="shared" si="4"/>
        <v>0</v>
      </c>
      <c r="T10" s="495">
        <f t="shared" si="5"/>
        <v>0</v>
      </c>
      <c r="U10" s="495">
        <f t="shared" si="6"/>
        <v>360000</v>
      </c>
      <c r="V10" s="495"/>
      <c r="W10" s="495">
        <f t="shared" si="7"/>
        <v>360000</v>
      </c>
      <c r="X10" s="495"/>
      <c r="Y10" s="495"/>
      <c r="Z10" s="495"/>
      <c r="AA10" s="19"/>
      <c r="AB10" s="19" t="s">
        <v>626</v>
      </c>
      <c r="AC10" s="19">
        <v>829000</v>
      </c>
      <c r="AD10" s="495"/>
      <c r="AE10" s="495">
        <v>360000</v>
      </c>
      <c r="AF10" s="495"/>
      <c r="AG10" s="495"/>
      <c r="AH10" s="495"/>
      <c r="AI10" s="495"/>
      <c r="AJ10" s="495">
        <f t="shared" si="8"/>
        <v>360000</v>
      </c>
      <c r="AK10" s="495">
        <f t="shared" si="12"/>
        <v>0</v>
      </c>
      <c r="AL10" s="495"/>
      <c r="AM10" s="495"/>
      <c r="AN10" s="495">
        <f t="shared" si="9"/>
        <v>0</v>
      </c>
      <c r="AO10" s="495"/>
      <c r="AP10" s="495">
        <f t="shared" si="10"/>
        <v>0</v>
      </c>
      <c r="AQ10" s="495"/>
      <c r="AR10" s="495"/>
      <c r="AS10" s="495"/>
      <c r="AT10" s="495"/>
      <c r="AU10" s="495"/>
      <c r="AV10" s="495"/>
      <c r="AW10" s="495"/>
      <c r="AX10" s="495">
        <f t="shared" si="11"/>
        <v>0</v>
      </c>
      <c r="AY10" s="495"/>
      <c r="AZ10" s="495">
        <f t="shared" si="13"/>
        <v>0</v>
      </c>
      <c r="BA10" s="495"/>
      <c r="BB10" s="495"/>
      <c r="BC10" s="495"/>
      <c r="BD10" s="495"/>
      <c r="BE10" s="495">
        <f t="shared" si="14"/>
        <v>360000</v>
      </c>
      <c r="BF10" s="495">
        <f t="shared" si="15"/>
        <v>0</v>
      </c>
      <c r="BG10" s="495"/>
      <c r="BH10" s="495">
        <f t="shared" si="16"/>
        <v>360000</v>
      </c>
      <c r="BI10" s="495"/>
      <c r="BJ10" s="495"/>
      <c r="BK10" s="495"/>
      <c r="BL10" s="495"/>
      <c r="BM10" s="572"/>
      <c r="BN10" s="572"/>
    </row>
    <row r="11" spans="1:66" s="5" customFormat="1" ht="30" customHeight="1">
      <c r="A11" s="19">
        <f t="shared" si="17"/>
        <v>6</v>
      </c>
      <c r="B11" s="19">
        <v>20045</v>
      </c>
      <c r="C11" s="19" t="s">
        <v>696</v>
      </c>
      <c r="D11" s="495">
        <f>962000+62866+149000</f>
        <v>1173866</v>
      </c>
      <c r="E11" s="495">
        <v>962000</v>
      </c>
      <c r="F11" s="495"/>
      <c r="G11" s="495">
        <v>812000</v>
      </c>
      <c r="H11" s="495">
        <v>633664</v>
      </c>
      <c r="I11" s="495">
        <v>0</v>
      </c>
      <c r="J11" s="495"/>
      <c r="K11" s="495">
        <f t="shared" si="0"/>
        <v>0</v>
      </c>
      <c r="L11" s="495">
        <f t="shared" si="1"/>
        <v>633664</v>
      </c>
      <c r="M11" s="495">
        <f>P11+S11-170000-5000</f>
        <v>3336</v>
      </c>
      <c r="N11" s="495">
        <f>149000+170000+1000+62866+5000</f>
        <v>387866</v>
      </c>
      <c r="O11" s="495">
        <f t="shared" si="2"/>
        <v>149000</v>
      </c>
      <c r="P11" s="495">
        <f t="shared" si="3"/>
        <v>178336</v>
      </c>
      <c r="Q11" s="495"/>
      <c r="R11" s="495"/>
      <c r="S11" s="495">
        <f t="shared" si="4"/>
        <v>0</v>
      </c>
      <c r="T11" s="495">
        <f t="shared" si="5"/>
        <v>175000</v>
      </c>
      <c r="U11" s="495">
        <f t="shared" si="6"/>
        <v>212866</v>
      </c>
      <c r="V11" s="495"/>
      <c r="W11" s="495">
        <f t="shared" si="7"/>
        <v>212866</v>
      </c>
      <c r="X11" s="495"/>
      <c r="Y11" s="495"/>
      <c r="Z11" s="495"/>
      <c r="AA11" s="19"/>
      <c r="AB11" s="19" t="s">
        <v>1032</v>
      </c>
      <c r="AC11" s="19">
        <v>829000</v>
      </c>
      <c r="AD11" s="495"/>
      <c r="AE11" s="495">
        <v>25000</v>
      </c>
      <c r="AF11" s="495"/>
      <c r="AG11" s="495">
        <v>187866</v>
      </c>
      <c r="AH11" s="495"/>
      <c r="AI11" s="495"/>
      <c r="AJ11" s="495">
        <f t="shared" si="8"/>
        <v>212866</v>
      </c>
      <c r="AK11" s="495">
        <f t="shared" si="12"/>
        <v>0</v>
      </c>
      <c r="AL11" s="495"/>
      <c r="AM11" s="495"/>
      <c r="AN11" s="495">
        <f t="shared" si="9"/>
        <v>0</v>
      </c>
      <c r="AO11" s="495"/>
      <c r="AP11" s="495">
        <f t="shared" si="10"/>
        <v>0</v>
      </c>
      <c r="AQ11" s="495"/>
      <c r="AR11" s="495"/>
      <c r="AS11" s="495"/>
      <c r="AT11" s="495"/>
      <c r="AU11" s="495"/>
      <c r="AV11" s="495"/>
      <c r="AW11" s="495"/>
      <c r="AX11" s="495">
        <f t="shared" si="11"/>
        <v>0</v>
      </c>
      <c r="AY11" s="495"/>
      <c r="AZ11" s="495">
        <f t="shared" si="13"/>
        <v>0</v>
      </c>
      <c r="BA11" s="495"/>
      <c r="BB11" s="495"/>
      <c r="BC11" s="495"/>
      <c r="BD11" s="495"/>
      <c r="BE11" s="495">
        <f t="shared" si="14"/>
        <v>212866</v>
      </c>
      <c r="BF11" s="495">
        <f t="shared" si="15"/>
        <v>0</v>
      </c>
      <c r="BG11" s="495"/>
      <c r="BH11" s="495">
        <f t="shared" si="16"/>
        <v>212866</v>
      </c>
      <c r="BI11" s="495"/>
      <c r="BJ11" s="495"/>
      <c r="BK11" s="495"/>
      <c r="BL11" s="495"/>
      <c r="BM11" s="572"/>
      <c r="BN11" s="572"/>
    </row>
    <row r="12" spans="1:66" s="5" customFormat="1" ht="30" customHeight="1">
      <c r="A12" s="19">
        <f t="shared" si="17"/>
        <v>7</v>
      </c>
      <c r="B12" s="19">
        <v>20046</v>
      </c>
      <c r="C12" s="19" t="s">
        <v>1191</v>
      </c>
      <c r="D12" s="495">
        <v>475000</v>
      </c>
      <c r="E12" s="495">
        <v>475000</v>
      </c>
      <c r="F12" s="495"/>
      <c r="G12" s="495">
        <v>475000</v>
      </c>
      <c r="H12" s="495">
        <v>458836</v>
      </c>
      <c r="I12" s="495">
        <v>0</v>
      </c>
      <c r="J12" s="495"/>
      <c r="K12" s="495">
        <f t="shared" si="0"/>
        <v>0</v>
      </c>
      <c r="L12" s="495">
        <f t="shared" si="1"/>
        <v>458836</v>
      </c>
      <c r="M12" s="495">
        <f>P12+S12-15968-196</f>
        <v>0</v>
      </c>
      <c r="N12" s="495">
        <v>0</v>
      </c>
      <c r="O12" s="495">
        <f t="shared" si="2"/>
        <v>16164</v>
      </c>
      <c r="P12" s="495">
        <f t="shared" si="3"/>
        <v>16164</v>
      </c>
      <c r="Q12" s="495"/>
      <c r="R12" s="495"/>
      <c r="S12" s="495">
        <f t="shared" si="4"/>
        <v>0</v>
      </c>
      <c r="T12" s="495">
        <f t="shared" si="5"/>
        <v>16164</v>
      </c>
      <c r="U12" s="495">
        <f t="shared" si="6"/>
        <v>-16164</v>
      </c>
      <c r="V12" s="495"/>
      <c r="W12" s="495">
        <f t="shared" si="7"/>
        <v>-16164</v>
      </c>
      <c r="X12" s="495"/>
      <c r="Y12" s="495"/>
      <c r="Z12" s="495"/>
      <c r="AA12" s="19"/>
      <c r="AB12" s="19" t="s">
        <v>1033</v>
      </c>
      <c r="AC12" s="19">
        <v>829000</v>
      </c>
      <c r="AD12" s="495">
        <v>-16164</v>
      </c>
      <c r="AE12" s="495"/>
      <c r="AF12" s="495"/>
      <c r="AG12" s="495"/>
      <c r="AH12" s="495"/>
      <c r="AI12" s="495"/>
      <c r="AJ12" s="495">
        <f t="shared" si="8"/>
        <v>-16164</v>
      </c>
      <c r="AK12" s="495">
        <f t="shared" si="12"/>
        <v>0</v>
      </c>
      <c r="AL12" s="495"/>
      <c r="AM12" s="495"/>
      <c r="AN12" s="495">
        <f t="shared" si="9"/>
        <v>0</v>
      </c>
      <c r="AO12" s="495"/>
      <c r="AP12" s="495">
        <f t="shared" si="10"/>
        <v>0</v>
      </c>
      <c r="AQ12" s="495"/>
      <c r="AR12" s="495"/>
      <c r="AS12" s="495"/>
      <c r="AT12" s="495"/>
      <c r="AU12" s="495"/>
      <c r="AV12" s="495"/>
      <c r="AW12" s="495"/>
      <c r="AX12" s="495">
        <f t="shared" si="11"/>
        <v>0</v>
      </c>
      <c r="AY12" s="495"/>
      <c r="AZ12" s="495">
        <f t="shared" si="13"/>
        <v>0</v>
      </c>
      <c r="BA12" s="495"/>
      <c r="BB12" s="495"/>
      <c r="BC12" s="495"/>
      <c r="BD12" s="495"/>
      <c r="BE12" s="495">
        <f t="shared" si="14"/>
        <v>-16164</v>
      </c>
      <c r="BF12" s="495">
        <f t="shared" si="15"/>
        <v>0</v>
      </c>
      <c r="BG12" s="495"/>
      <c r="BH12" s="495">
        <f t="shared" si="16"/>
        <v>-16164</v>
      </c>
      <c r="BI12" s="495"/>
      <c r="BJ12" s="495"/>
      <c r="BK12" s="495"/>
      <c r="BL12" s="495"/>
      <c r="BM12" s="572"/>
      <c r="BN12" s="572"/>
    </row>
    <row r="13" spans="1:66" s="5" customFormat="1" ht="30" customHeight="1">
      <c r="A13" s="19">
        <f t="shared" si="17"/>
        <v>8</v>
      </c>
      <c r="B13" s="19">
        <v>20099</v>
      </c>
      <c r="C13" s="19" t="s">
        <v>1192</v>
      </c>
      <c r="D13" s="495">
        <f>580000-62866+1200+5</f>
        <v>518339</v>
      </c>
      <c r="E13" s="495">
        <v>580000</v>
      </c>
      <c r="F13" s="495"/>
      <c r="G13" s="495">
        <v>580000</v>
      </c>
      <c r="H13" s="495">
        <v>512133</v>
      </c>
      <c r="I13" s="495">
        <v>0</v>
      </c>
      <c r="J13" s="495">
        <v>6206</v>
      </c>
      <c r="K13" s="495">
        <f t="shared" si="0"/>
        <v>6206</v>
      </c>
      <c r="L13" s="495">
        <f t="shared" si="1"/>
        <v>518339</v>
      </c>
      <c r="M13" s="495">
        <f>P13+S13-67866+6205</f>
        <v>0</v>
      </c>
      <c r="N13" s="495">
        <f>5000+1200-6200</f>
        <v>0</v>
      </c>
      <c r="O13" s="495">
        <f t="shared" si="2"/>
        <v>0</v>
      </c>
      <c r="P13" s="495">
        <f t="shared" si="3"/>
        <v>61661</v>
      </c>
      <c r="Q13" s="495"/>
      <c r="R13" s="495"/>
      <c r="S13" s="495">
        <f t="shared" si="4"/>
        <v>0</v>
      </c>
      <c r="T13" s="495">
        <f t="shared" si="5"/>
        <v>61661</v>
      </c>
      <c r="U13" s="495">
        <f t="shared" si="6"/>
        <v>-61661</v>
      </c>
      <c r="V13" s="495"/>
      <c r="W13" s="495">
        <f t="shared" si="7"/>
        <v>-61661</v>
      </c>
      <c r="X13" s="495"/>
      <c r="Y13" s="495"/>
      <c r="Z13" s="495"/>
      <c r="AA13" s="495">
        <f>235540-235540</f>
        <v>0</v>
      </c>
      <c r="AB13" s="19" t="s">
        <v>1034</v>
      </c>
      <c r="AC13" s="19">
        <v>829000</v>
      </c>
      <c r="AD13" s="495">
        <v>-61661</v>
      </c>
      <c r="AE13" s="495"/>
      <c r="AF13" s="495"/>
      <c r="AG13" s="495"/>
      <c r="AH13" s="495"/>
      <c r="AI13" s="495"/>
      <c r="AJ13" s="495">
        <f t="shared" si="8"/>
        <v>-61661</v>
      </c>
      <c r="AK13" s="495">
        <f t="shared" si="12"/>
        <v>0</v>
      </c>
      <c r="AL13" s="495"/>
      <c r="AM13" s="495"/>
      <c r="AN13" s="495">
        <f t="shared" si="9"/>
        <v>0</v>
      </c>
      <c r="AO13" s="495"/>
      <c r="AP13" s="495">
        <f t="shared" si="10"/>
        <v>0</v>
      </c>
      <c r="AQ13" s="495"/>
      <c r="AR13" s="495"/>
      <c r="AS13" s="495"/>
      <c r="AT13" s="495"/>
      <c r="AU13" s="495"/>
      <c r="AV13" s="495"/>
      <c r="AW13" s="495"/>
      <c r="AX13" s="495">
        <f t="shared" si="11"/>
        <v>0</v>
      </c>
      <c r="AY13" s="495"/>
      <c r="AZ13" s="495">
        <f t="shared" si="13"/>
        <v>0</v>
      </c>
      <c r="BA13" s="495"/>
      <c r="BB13" s="495"/>
      <c r="BC13" s="495"/>
      <c r="BD13" s="495"/>
      <c r="BE13" s="495">
        <f t="shared" si="14"/>
        <v>-61661</v>
      </c>
      <c r="BF13" s="495">
        <f t="shared" si="15"/>
        <v>0</v>
      </c>
      <c r="BG13" s="495"/>
      <c r="BH13" s="495">
        <f t="shared" si="16"/>
        <v>-61661</v>
      </c>
      <c r="BI13" s="495"/>
      <c r="BJ13" s="495"/>
      <c r="BK13" s="495"/>
      <c r="BL13" s="495"/>
      <c r="BM13" s="572"/>
      <c r="BN13" s="572"/>
    </row>
    <row r="14" spans="1:66" s="5" customFormat="1" ht="30" customHeight="1">
      <c r="A14" s="19">
        <f t="shared" si="17"/>
        <v>9</v>
      </c>
      <c r="B14" s="19">
        <v>20124</v>
      </c>
      <c r="C14" s="213" t="s">
        <v>627</v>
      </c>
      <c r="D14" s="257">
        <f>2560000+1500000*2</f>
        <v>5560000</v>
      </c>
      <c r="E14" s="257"/>
      <c r="F14" s="257">
        <f>D14-E14</f>
        <v>5560000</v>
      </c>
      <c r="G14" s="257">
        <v>0</v>
      </c>
      <c r="H14" s="257"/>
      <c r="I14" s="257"/>
      <c r="J14" s="257"/>
      <c r="K14" s="257">
        <f>I14+J14</f>
        <v>0</v>
      </c>
      <c r="L14" s="257">
        <f>H14+K14</f>
        <v>0</v>
      </c>
      <c r="M14" s="257">
        <f>P14+S14</f>
        <v>0</v>
      </c>
      <c r="N14" s="257">
        <f>5560000-2560000</f>
        <v>3000000</v>
      </c>
      <c r="O14" s="257">
        <f>D14-L14-M14-N14</f>
        <v>2560000</v>
      </c>
      <c r="P14" s="257">
        <f>G14-L14</f>
        <v>0</v>
      </c>
      <c r="Q14" s="257"/>
      <c r="R14" s="257"/>
      <c r="S14" s="257">
        <f>SUM(Q14:R14)</f>
        <v>0</v>
      </c>
      <c r="T14" s="257">
        <f>P14-M14+S14</f>
        <v>0</v>
      </c>
      <c r="U14" s="257">
        <f>N14-T14</f>
        <v>3000000</v>
      </c>
      <c r="V14" s="257">
        <f>U14-W14-Z14-AA14</f>
        <v>3000000</v>
      </c>
      <c r="W14" s="257"/>
      <c r="X14" s="257"/>
      <c r="Y14" s="257"/>
      <c r="Z14" s="257"/>
      <c r="AA14" s="257"/>
      <c r="AB14" s="19" t="s">
        <v>1035</v>
      </c>
      <c r="AC14" s="19">
        <v>829000</v>
      </c>
      <c r="AD14" s="495"/>
      <c r="AE14" s="495"/>
      <c r="AF14" s="495"/>
      <c r="AG14" s="495"/>
      <c r="AH14" s="495"/>
      <c r="AI14" s="495"/>
      <c r="AJ14" s="495">
        <f t="shared" si="8"/>
        <v>0</v>
      </c>
      <c r="AK14" s="42">
        <f t="shared" si="12"/>
        <v>3000000</v>
      </c>
      <c r="AL14" s="495"/>
      <c r="AM14" s="42">
        <v>-3000000</v>
      </c>
      <c r="AN14" s="495">
        <f t="shared" si="9"/>
        <v>0</v>
      </c>
      <c r="AO14" s="495"/>
      <c r="AP14" s="495"/>
      <c r="AQ14" s="495"/>
      <c r="AR14" s="495"/>
      <c r="AS14" s="495"/>
      <c r="AT14" s="495"/>
      <c r="AU14" s="42"/>
      <c r="AV14" s="495"/>
      <c r="AW14" s="495"/>
      <c r="AX14" s="495">
        <f t="shared" si="11"/>
        <v>0</v>
      </c>
      <c r="AY14" s="495"/>
      <c r="AZ14" s="495">
        <f t="shared" si="13"/>
        <v>0</v>
      </c>
      <c r="BA14" s="495"/>
      <c r="BB14" s="495"/>
      <c r="BC14" s="495"/>
      <c r="BD14" s="495"/>
      <c r="BE14" s="495">
        <f t="shared" si="14"/>
        <v>0</v>
      </c>
      <c r="BF14" s="495">
        <f t="shared" si="15"/>
        <v>3000000</v>
      </c>
      <c r="BG14" s="495"/>
      <c r="BH14" s="495">
        <f t="shared" si="16"/>
        <v>0</v>
      </c>
      <c r="BI14" s="495"/>
      <c r="BJ14" s="495"/>
      <c r="BK14" s="495"/>
      <c r="BL14" s="495"/>
      <c r="BM14" s="572"/>
      <c r="BN14" s="572"/>
    </row>
    <row r="15" spans="1:66" s="5" customFormat="1" ht="30" customHeight="1">
      <c r="A15" s="19">
        <f t="shared" si="17"/>
        <v>10</v>
      </c>
      <c r="B15" s="19">
        <v>20125</v>
      </c>
      <c r="C15" s="213" t="s">
        <v>1193</v>
      </c>
      <c r="D15" s="257">
        <v>202000</v>
      </c>
      <c r="E15" s="257"/>
      <c r="F15" s="257">
        <f>D15-E15</f>
        <v>202000</v>
      </c>
      <c r="G15" s="257">
        <v>0</v>
      </c>
      <c r="H15" s="257"/>
      <c r="I15" s="257"/>
      <c r="J15" s="257"/>
      <c r="K15" s="257">
        <f>I15+J15</f>
        <v>0</v>
      </c>
      <c r="L15" s="257">
        <f>H15+K15</f>
        <v>0</v>
      </c>
      <c r="M15" s="257">
        <f>P15+S15</f>
        <v>0</v>
      </c>
      <c r="N15" s="257">
        <v>202000</v>
      </c>
      <c r="O15" s="257">
        <f>D15-L15-M15-N15</f>
        <v>0</v>
      </c>
      <c r="P15" s="257">
        <f>G15-L15</f>
        <v>0</v>
      </c>
      <c r="Q15" s="257"/>
      <c r="R15" s="257"/>
      <c r="S15" s="257">
        <f>SUM(Q15:R15)</f>
        <v>0</v>
      </c>
      <c r="T15" s="257">
        <f>P15-M15+S15</f>
        <v>0</v>
      </c>
      <c r="U15" s="257">
        <f>N15-T15</f>
        <v>202000</v>
      </c>
      <c r="V15" s="257">
        <f>U15-W15-Z15-AA15</f>
        <v>0</v>
      </c>
      <c r="W15" s="257">
        <v>202000</v>
      </c>
      <c r="X15" s="257"/>
      <c r="Y15" s="257"/>
      <c r="Z15" s="257"/>
      <c r="AA15" s="257"/>
      <c r="AB15" s="19" t="s">
        <v>1036</v>
      </c>
      <c r="AC15" s="19">
        <v>829000</v>
      </c>
      <c r="AD15" s="495"/>
      <c r="AE15" s="495">
        <v>202000</v>
      </c>
      <c r="AF15" s="495"/>
      <c r="AG15" s="495"/>
      <c r="AH15" s="495"/>
      <c r="AI15" s="495"/>
      <c r="AJ15" s="495">
        <f t="shared" si="8"/>
        <v>202000</v>
      </c>
      <c r="AK15" s="495">
        <f t="shared" si="12"/>
        <v>0</v>
      </c>
      <c r="AL15" s="495"/>
      <c r="AM15" s="495"/>
      <c r="AN15" s="495">
        <f t="shared" si="9"/>
        <v>0</v>
      </c>
      <c r="AO15" s="495"/>
      <c r="AP15" s="495">
        <f t="shared" si="10"/>
        <v>0</v>
      </c>
      <c r="AQ15" s="495"/>
      <c r="AR15" s="495"/>
      <c r="AS15" s="495"/>
      <c r="AT15" s="495"/>
      <c r="AU15" s="495"/>
      <c r="AV15" s="495"/>
      <c r="AW15" s="495"/>
      <c r="AX15" s="495">
        <f t="shared" si="11"/>
        <v>0</v>
      </c>
      <c r="AY15" s="495"/>
      <c r="AZ15" s="495">
        <f t="shared" si="13"/>
        <v>0</v>
      </c>
      <c r="BA15" s="495"/>
      <c r="BB15" s="495"/>
      <c r="BC15" s="495"/>
      <c r="BD15" s="495"/>
      <c r="BE15" s="495">
        <f t="shared" si="14"/>
        <v>202000</v>
      </c>
      <c r="BF15" s="495">
        <f t="shared" si="15"/>
        <v>0</v>
      </c>
      <c r="BG15" s="495"/>
      <c r="BH15" s="495">
        <f t="shared" si="16"/>
        <v>202000</v>
      </c>
      <c r="BI15" s="495"/>
      <c r="BJ15" s="495"/>
      <c r="BK15" s="495"/>
      <c r="BL15" s="495"/>
      <c r="BM15" s="572"/>
      <c r="BN15" s="572"/>
    </row>
    <row r="16" spans="1:66" s="5" customFormat="1" ht="30" customHeight="1">
      <c r="A16" s="19">
        <f t="shared" si="17"/>
        <v>11</v>
      </c>
      <c r="B16" s="19">
        <v>20126</v>
      </c>
      <c r="C16" s="213" t="s">
        <v>674</v>
      </c>
      <c r="D16" s="257">
        <f>112000+38000</f>
        <v>150000</v>
      </c>
      <c r="E16" s="257"/>
      <c r="F16" s="257">
        <f>D16-E16</f>
        <v>150000</v>
      </c>
      <c r="G16" s="257">
        <v>0</v>
      </c>
      <c r="H16" s="257"/>
      <c r="I16" s="257"/>
      <c r="J16" s="257"/>
      <c r="K16" s="257">
        <f>I16+J16</f>
        <v>0</v>
      </c>
      <c r="L16" s="257">
        <f>H16+K16</f>
        <v>0</v>
      </c>
      <c r="M16" s="257">
        <f>P16+S16</f>
        <v>0</v>
      </c>
      <c r="N16" s="257">
        <f>112000+38000</f>
        <v>150000</v>
      </c>
      <c r="O16" s="257">
        <f>D16-L16-M16-N16</f>
        <v>0</v>
      </c>
      <c r="P16" s="257">
        <f>G16-L16</f>
        <v>0</v>
      </c>
      <c r="Q16" s="257"/>
      <c r="R16" s="257"/>
      <c r="S16" s="257">
        <f>SUM(Q16:R16)</f>
        <v>0</v>
      </c>
      <c r="T16" s="257">
        <f>P16-M16+S16</f>
        <v>0</v>
      </c>
      <c r="U16" s="257">
        <f>N16-T16</f>
        <v>150000</v>
      </c>
      <c r="V16" s="257">
        <f>U16-W16-Z16-AA16</f>
        <v>0</v>
      </c>
      <c r="W16" s="257">
        <v>150000</v>
      </c>
      <c r="X16" s="257"/>
      <c r="Y16" s="257"/>
      <c r="Z16" s="257"/>
      <c r="AA16" s="257"/>
      <c r="AB16" s="19" t="s">
        <v>675</v>
      </c>
      <c r="AC16" s="19">
        <v>829000</v>
      </c>
      <c r="AD16" s="495"/>
      <c r="AE16" s="495"/>
      <c r="AF16" s="495"/>
      <c r="AG16" s="495"/>
      <c r="AH16" s="495"/>
      <c r="AI16" s="495"/>
      <c r="AJ16" s="495">
        <f t="shared" si="8"/>
        <v>0</v>
      </c>
      <c r="AK16" s="495">
        <f t="shared" si="12"/>
        <v>150000</v>
      </c>
      <c r="AL16" s="495"/>
      <c r="AM16" s="495"/>
      <c r="AN16" s="495">
        <f t="shared" si="9"/>
        <v>150000</v>
      </c>
      <c r="AO16" s="495"/>
      <c r="AP16" s="495">
        <f t="shared" si="10"/>
        <v>150000</v>
      </c>
      <c r="AQ16" s="495"/>
      <c r="AR16" s="495"/>
      <c r="AS16" s="495"/>
      <c r="AT16" s="495"/>
      <c r="AU16" s="495"/>
      <c r="AV16" s="495"/>
      <c r="AW16" s="495"/>
      <c r="AX16" s="495">
        <f t="shared" si="11"/>
        <v>150000</v>
      </c>
      <c r="AY16" s="495"/>
      <c r="AZ16" s="495">
        <f t="shared" si="13"/>
        <v>150000</v>
      </c>
      <c r="BA16" s="495"/>
      <c r="BB16" s="495"/>
      <c r="BC16" s="495"/>
      <c r="BD16" s="495"/>
      <c r="BE16" s="495">
        <f t="shared" si="14"/>
        <v>150000</v>
      </c>
      <c r="BF16" s="495">
        <f t="shared" si="15"/>
        <v>0</v>
      </c>
      <c r="BG16" s="495"/>
      <c r="BH16" s="495">
        <f t="shared" si="16"/>
        <v>150000</v>
      </c>
      <c r="BI16" s="495"/>
      <c r="BJ16" s="495"/>
      <c r="BK16" s="495"/>
      <c r="BL16" s="495"/>
      <c r="BM16" s="572"/>
      <c r="BN16" s="572"/>
    </row>
    <row r="17" spans="1:66" s="512" customFormat="1" ht="30" customHeight="1">
      <c r="A17" s="271">
        <f>COUNT(A6:A16)</f>
        <v>11</v>
      </c>
      <c r="B17" s="233"/>
      <c r="C17" s="233" t="s">
        <v>628</v>
      </c>
      <c r="D17" s="271">
        <f t="shared" ref="D17:BL17" si="18">SUM(D6:D16)</f>
        <v>19230205</v>
      </c>
      <c r="E17" s="271">
        <f t="shared" si="18"/>
        <v>12138000</v>
      </c>
      <c r="F17" s="271">
        <f t="shared" si="18"/>
        <v>6942000</v>
      </c>
      <c r="G17" s="271">
        <f t="shared" si="18"/>
        <v>11077000</v>
      </c>
      <c r="H17" s="271">
        <f t="shared" si="18"/>
        <v>10772057</v>
      </c>
      <c r="I17" s="271">
        <f t="shared" si="18"/>
        <v>0</v>
      </c>
      <c r="J17" s="271">
        <f t="shared" si="18"/>
        <v>53647</v>
      </c>
      <c r="K17" s="271">
        <f t="shared" si="18"/>
        <v>53647</v>
      </c>
      <c r="L17" s="271">
        <f t="shared" si="18"/>
        <v>10825704</v>
      </c>
      <c r="M17" s="271">
        <f t="shared" si="18"/>
        <v>8471</v>
      </c>
      <c r="N17" s="271">
        <f t="shared" si="18"/>
        <v>4769866</v>
      </c>
      <c r="O17" s="271">
        <f t="shared" si="18"/>
        <v>3626164</v>
      </c>
      <c r="P17" s="271">
        <f t="shared" si="18"/>
        <v>251296</v>
      </c>
      <c r="Q17" s="271">
        <f t="shared" si="18"/>
        <v>90000</v>
      </c>
      <c r="R17" s="271">
        <f t="shared" si="18"/>
        <v>0</v>
      </c>
      <c r="S17" s="271">
        <f t="shared" si="18"/>
        <v>90000</v>
      </c>
      <c r="T17" s="271">
        <f t="shared" si="18"/>
        <v>332825</v>
      </c>
      <c r="U17" s="271">
        <f t="shared" si="18"/>
        <v>4437041</v>
      </c>
      <c r="V17" s="271">
        <f t="shared" si="18"/>
        <v>3000000</v>
      </c>
      <c r="W17" s="271">
        <f t="shared" si="18"/>
        <v>1437041</v>
      </c>
      <c r="X17" s="271">
        <f t="shared" si="18"/>
        <v>0</v>
      </c>
      <c r="Y17" s="271">
        <f t="shared" si="18"/>
        <v>0</v>
      </c>
      <c r="Z17" s="271">
        <f t="shared" si="18"/>
        <v>0</v>
      </c>
      <c r="AA17" s="271">
        <f t="shared" si="18"/>
        <v>0</v>
      </c>
      <c r="AB17" s="271">
        <f t="shared" si="18"/>
        <v>0</v>
      </c>
      <c r="AC17" s="271">
        <f t="shared" si="18"/>
        <v>9119000</v>
      </c>
      <c r="AD17" s="271">
        <f t="shared" si="18"/>
        <v>-77825</v>
      </c>
      <c r="AE17" s="271">
        <f>SUM(AE6:AE16)</f>
        <v>927000</v>
      </c>
      <c r="AF17" s="271">
        <f>SUM(AF6:AF16)</f>
        <v>180000</v>
      </c>
      <c r="AG17" s="271">
        <f t="shared" ref="AG17:AH17" si="19">SUM(AG6:AG16)</f>
        <v>217866</v>
      </c>
      <c r="AH17" s="271">
        <f t="shared" si="19"/>
        <v>40000</v>
      </c>
      <c r="AI17" s="271">
        <f t="shared" si="18"/>
        <v>0</v>
      </c>
      <c r="AJ17" s="271">
        <f t="shared" si="18"/>
        <v>1287041</v>
      </c>
      <c r="AK17" s="271">
        <f t="shared" si="18"/>
        <v>3150000</v>
      </c>
      <c r="AL17" s="271">
        <f t="shared" si="18"/>
        <v>0</v>
      </c>
      <c r="AM17" s="271">
        <f t="shared" si="18"/>
        <v>-3000000</v>
      </c>
      <c r="AN17" s="271">
        <f t="shared" si="18"/>
        <v>150000</v>
      </c>
      <c r="AO17" s="271">
        <f t="shared" si="18"/>
        <v>0</v>
      </c>
      <c r="AP17" s="271">
        <f t="shared" si="18"/>
        <v>150000</v>
      </c>
      <c r="AQ17" s="271">
        <f t="shared" si="18"/>
        <v>0</v>
      </c>
      <c r="AR17" s="271">
        <f t="shared" si="18"/>
        <v>0</v>
      </c>
      <c r="AS17" s="271">
        <f t="shared" si="18"/>
        <v>0</v>
      </c>
      <c r="AT17" s="271">
        <f t="shared" si="18"/>
        <v>0</v>
      </c>
      <c r="AU17" s="271">
        <f t="shared" si="18"/>
        <v>0</v>
      </c>
      <c r="AV17" s="271">
        <f t="shared" si="18"/>
        <v>0</v>
      </c>
      <c r="AW17" s="271">
        <f t="shared" si="18"/>
        <v>0</v>
      </c>
      <c r="AX17" s="271">
        <f t="shared" si="18"/>
        <v>150000</v>
      </c>
      <c r="AY17" s="271">
        <f t="shared" si="18"/>
        <v>0</v>
      </c>
      <c r="AZ17" s="271">
        <f t="shared" si="18"/>
        <v>150000</v>
      </c>
      <c r="BA17" s="271">
        <f t="shared" si="18"/>
        <v>0</v>
      </c>
      <c r="BB17" s="271">
        <f t="shared" si="18"/>
        <v>0</v>
      </c>
      <c r="BC17" s="271">
        <f t="shared" si="18"/>
        <v>0</v>
      </c>
      <c r="BD17" s="271">
        <f t="shared" si="18"/>
        <v>0</v>
      </c>
      <c r="BE17" s="271">
        <f t="shared" si="18"/>
        <v>1437041</v>
      </c>
      <c r="BF17" s="271">
        <f t="shared" si="18"/>
        <v>3000000</v>
      </c>
      <c r="BG17" s="271">
        <f t="shared" si="18"/>
        <v>0</v>
      </c>
      <c r="BH17" s="271">
        <f t="shared" si="18"/>
        <v>1437041</v>
      </c>
      <c r="BI17" s="271">
        <f t="shared" si="18"/>
        <v>0</v>
      </c>
      <c r="BJ17" s="271">
        <f t="shared" si="18"/>
        <v>0</v>
      </c>
      <c r="BK17" s="271">
        <f t="shared" si="18"/>
        <v>0</v>
      </c>
      <c r="BL17" s="271">
        <f t="shared" si="18"/>
        <v>0</v>
      </c>
      <c r="BM17" s="572"/>
      <c r="BN17" s="572"/>
    </row>
    <row r="18" spans="1:66" s="512" customFormat="1" ht="30" hidden="1" customHeight="1">
      <c r="D18" s="306">
        <f>SUM(L17:O17)</f>
        <v>19230205</v>
      </c>
      <c r="E18" s="124"/>
      <c r="F18" s="306">
        <f>D17-E17</f>
        <v>7092205</v>
      </c>
      <c r="G18" s="124"/>
      <c r="H18" s="124"/>
      <c r="I18" s="124"/>
      <c r="J18" s="124"/>
      <c r="K18" s="124"/>
      <c r="L18" s="306">
        <f>H17+K17</f>
        <v>10825704</v>
      </c>
      <c r="M18" s="124"/>
      <c r="N18" s="124"/>
      <c r="O18" s="124"/>
      <c r="P18" s="306">
        <f>G17-L18</f>
        <v>251296</v>
      </c>
      <c r="Q18" s="124"/>
      <c r="R18" s="124"/>
      <c r="S18" s="124"/>
      <c r="T18" s="306">
        <f>P18+S17-M17</f>
        <v>332825</v>
      </c>
      <c r="U18" s="306">
        <f>N17-T18</f>
        <v>4437041</v>
      </c>
      <c r="V18" s="546"/>
      <c r="W18" s="546"/>
      <c r="AD18" s="572"/>
      <c r="AE18" s="572"/>
      <c r="AF18" s="572"/>
      <c r="AG18" s="572"/>
      <c r="AH18" s="572"/>
      <c r="AI18" s="572"/>
      <c r="AJ18" s="572"/>
      <c r="AK18" s="572"/>
      <c r="AL18" s="574"/>
      <c r="AM18" s="574"/>
      <c r="AO18" s="574"/>
      <c r="AP18" s="574"/>
      <c r="AQ18" s="574"/>
      <c r="AR18" s="16"/>
      <c r="AS18" s="16"/>
      <c r="AT18" s="16"/>
      <c r="AU18" s="574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572"/>
      <c r="BN18" s="572"/>
    </row>
    <row r="19" spans="1:66" s="512" customFormat="1" ht="30" hidden="1" customHeight="1">
      <c r="D19" s="306">
        <f>D17-D18</f>
        <v>0</v>
      </c>
      <c r="E19" s="124"/>
      <c r="F19" s="124"/>
      <c r="G19" s="124"/>
      <c r="H19" s="124"/>
      <c r="I19" s="124"/>
      <c r="J19" s="124"/>
      <c r="K19" s="124"/>
      <c r="L19" s="306">
        <f>L17-L18</f>
        <v>0</v>
      </c>
      <c r="M19" s="124"/>
      <c r="N19" s="124"/>
      <c r="O19" s="124"/>
      <c r="P19" s="306">
        <f>P17-P18</f>
        <v>0</v>
      </c>
      <c r="Q19" s="124"/>
      <c r="R19" s="124"/>
      <c r="S19" s="124"/>
      <c r="T19" s="306">
        <f>T17-T18</f>
        <v>0</v>
      </c>
      <c r="U19" s="306">
        <f>U17-U18</f>
        <v>0</v>
      </c>
      <c r="V19" s="546"/>
      <c r="W19" s="546"/>
      <c r="AD19" s="572"/>
      <c r="AE19" s="572"/>
      <c r="AF19" s="572"/>
      <c r="AG19" s="572"/>
      <c r="AH19" s="572"/>
      <c r="AI19" s="572"/>
      <c r="AJ19" s="572"/>
      <c r="AK19" s="572"/>
      <c r="AL19" s="574"/>
      <c r="AM19" s="574"/>
      <c r="AO19" s="574"/>
      <c r="AP19" s="574"/>
      <c r="AQ19" s="574"/>
      <c r="AR19" s="16"/>
      <c r="AS19" s="16"/>
      <c r="AT19" s="16"/>
      <c r="AU19" s="574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572"/>
      <c r="BN19" s="572"/>
    </row>
    <row r="20" spans="1:66" ht="15" hidden="1" customHeight="1"/>
    <row r="21" spans="1:66" ht="15.75">
      <c r="AM21" s="113" t="s">
        <v>814</v>
      </c>
      <c r="AX21" s="206" t="s">
        <v>814</v>
      </c>
    </row>
    <row r="130" spans="1:1">
      <c r="A130" s="10">
        <f>COUNT(A6:A129)</f>
        <v>12</v>
      </c>
    </row>
    <row r="133" spans="1:1">
      <c r="A133" s="10">
        <f>A130+1</f>
        <v>13</v>
      </c>
    </row>
    <row r="136" spans="1:1" ht="37.9" customHeight="1"/>
    <row r="139" spans="1:1" ht="70.900000000000006" customHeight="1"/>
    <row r="142" spans="1:1" ht="72" customHeight="1"/>
    <row r="144" spans="1:1" ht="43.9" customHeight="1"/>
    <row r="146" ht="30" customHeight="1"/>
  </sheetData>
  <sheetProtection formatCells="0" formatColumns="0" formatRows="0" insertColumns="0" insertRows="0" insertHyperlinks="0" deleteColumns="0" deleteRows="0" sort="0" autoFilter="0" pivotTables="0"/>
  <mergeCells count="7">
    <mergeCell ref="BG4:BL4"/>
    <mergeCell ref="A4:C4"/>
    <mergeCell ref="AD4:AK4"/>
    <mergeCell ref="AO4:AT4"/>
    <mergeCell ref="T4:U4"/>
    <mergeCell ref="V4:AA4"/>
    <mergeCell ref="BE4:BF4"/>
  </mergeCells>
  <conditionalFormatting sqref="A1:A3 BM1:XFD3 AL18:AM1048576 AL1:AM4 AO4 AO18:AQ1048576 AO1:AQ3">
    <cfRule type="cellIs" dxfId="171" priority="20" operator="equal">
      <formula>0</formula>
    </cfRule>
  </conditionalFormatting>
  <conditionalFormatting sqref="AP1:AP3">
    <cfRule type="cellIs" dxfId="170" priority="19" operator="equal">
      <formula>0</formula>
    </cfRule>
  </conditionalFormatting>
  <conditionalFormatting sqref="AL18:AM20 AL1:AM4 AO4 AO1:AQ3 AO18:AQ20">
    <cfRule type="cellIs" dxfId="169" priority="18" operator="equal">
      <formula>0</formula>
    </cfRule>
  </conditionalFormatting>
  <conditionalFormatting sqref="AI1:AK3 AI18:AK1048576">
    <cfRule type="cellIs" dxfId="168" priority="17" operator="equal">
      <formula>0</formula>
    </cfRule>
  </conditionalFormatting>
  <conditionalFormatting sqref="AD1:AD3 AD18:AD1048576">
    <cfRule type="cellIs" dxfId="167" priority="14" operator="equal">
      <formula>0</formula>
    </cfRule>
  </conditionalFormatting>
  <conditionalFormatting sqref="AJ5">
    <cfRule type="cellIs" dxfId="166" priority="13" operator="equal">
      <formula>0</formula>
    </cfRule>
  </conditionalFormatting>
  <conditionalFormatting sqref="AE1:AE3 AE18:AE1048576">
    <cfRule type="cellIs" dxfId="165" priority="11" operator="equal">
      <formula>0</formula>
    </cfRule>
  </conditionalFormatting>
  <conditionalFormatting sqref="AF1:AF3 AF18:AF1048576">
    <cfRule type="cellIs" dxfId="164" priority="10" operator="equal">
      <formula>0</formula>
    </cfRule>
  </conditionalFormatting>
  <conditionalFormatting sqref="AN1:AN3">
    <cfRule type="cellIs" dxfId="163" priority="9" operator="equal">
      <formula>0</formula>
    </cfRule>
  </conditionalFormatting>
  <conditionalFormatting sqref="AN5">
    <cfRule type="cellIs" dxfId="162" priority="8" operator="equal">
      <formula>0</formula>
    </cfRule>
  </conditionalFormatting>
  <conditionalFormatting sqref="AG1:AG3 AG18:AG1048576">
    <cfRule type="cellIs" dxfId="161" priority="7" operator="equal">
      <formula>0</formula>
    </cfRule>
  </conditionalFormatting>
  <conditionalFormatting sqref="AH1:AH3 AH18:AH1048576">
    <cfRule type="cellIs" dxfId="160" priority="6" operator="equal">
      <formula>0</formula>
    </cfRule>
  </conditionalFormatting>
  <conditionalFormatting sqref="AU18:AU1048576 AU1:AU4">
    <cfRule type="cellIs" dxfId="159" priority="5" operator="equal">
      <formula>0</formula>
    </cfRule>
  </conditionalFormatting>
  <conditionalFormatting sqref="AU18:AU20 AU1:AU4">
    <cfRule type="cellIs" dxfId="158" priority="4" operator="equal">
      <formula>0</formula>
    </cfRule>
  </conditionalFormatting>
  <conditionalFormatting sqref="BM1:BN1048576">
    <cfRule type="cellIs" dxfId="157" priority="3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9792-5E77-4F65-82C5-AEA8D84167F9}">
  <dimension ref="A1:BQ147"/>
  <sheetViews>
    <sheetView showZeros="0" rightToLeft="1" zoomScaleNormal="100" workbookViewId="0">
      <pane xSplit="3" ySplit="5" topLeftCell="T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"/>
  <cols>
    <col min="1" max="1" width="3.7109375" style="10" customWidth="1"/>
    <col min="2" max="2" width="5.7109375" style="10" customWidth="1"/>
    <col min="3" max="3" width="21" style="10" customWidth="1"/>
    <col min="4" max="5" width="10.7109375" style="11" hidden="1" customWidth="1"/>
    <col min="6" max="6" width="9.7109375" style="11" hidden="1" customWidth="1"/>
    <col min="7" max="8" width="10.140625" style="11" hidden="1" customWidth="1"/>
    <col min="9" max="11" width="9.7109375" style="11" hidden="1" customWidth="1"/>
    <col min="12" max="12" width="10.7109375" style="11" hidden="1" customWidth="1"/>
    <col min="13" max="13" width="10.85546875" style="11" hidden="1" customWidth="1"/>
    <col min="14" max="19" width="9.7109375" style="11" hidden="1" customWidth="1"/>
    <col min="20" max="20" width="11.7109375" style="11" customWidth="1"/>
    <col min="21" max="23" width="11.7109375" style="10" customWidth="1"/>
    <col min="24" max="24" width="8.5703125" style="10" hidden="1" customWidth="1"/>
    <col min="25" max="25" width="11.7109375" style="10" customWidth="1"/>
    <col min="26" max="26" width="8.5703125" style="10" hidden="1" customWidth="1"/>
    <col min="27" max="27" width="11.7109375" style="10" customWidth="1"/>
    <col min="28" max="28" width="35.7109375" style="10" hidden="1" customWidth="1"/>
    <col min="29" max="29" width="7.85546875" style="10" hidden="1" customWidth="1"/>
    <col min="30" max="37" width="9.28515625" style="572" hidden="1" customWidth="1"/>
    <col min="38" max="39" width="10.7109375" style="573" hidden="1" customWidth="1"/>
    <col min="40" max="40" width="9.140625" style="10" hidden="1" customWidth="1"/>
    <col min="41" max="41" width="10.7109375" style="573" hidden="1" customWidth="1"/>
    <col min="42" max="42" width="11.7109375" style="573" hidden="1" customWidth="1"/>
    <col min="43" max="43" width="10.7109375" style="573" hidden="1" customWidth="1"/>
    <col min="44" max="56" width="10.7109375" style="16" hidden="1" customWidth="1"/>
    <col min="57" max="57" width="13.7109375" style="16" customWidth="1"/>
    <col min="58" max="60" width="11.7109375" style="16" customWidth="1"/>
    <col min="61" max="61" width="10.7109375" style="16" hidden="1" customWidth="1"/>
    <col min="62" max="62" width="11.7109375" style="16" customWidth="1"/>
    <col min="63" max="63" width="10.7109375" style="16" hidden="1" customWidth="1"/>
    <col min="64" max="64" width="11.7109375" style="16" customWidth="1"/>
    <col min="65" max="65" width="9.28515625" style="572" customWidth="1"/>
    <col min="66" max="66" width="9.140625" style="573" customWidth="1"/>
    <col min="67" max="67" width="9.28515625" style="572" customWidth="1"/>
    <col min="68" max="68" width="9.140625" style="10"/>
    <col min="69" max="69" width="9.140625" style="573"/>
    <col min="70" max="16384" width="9.140625" style="10"/>
  </cols>
  <sheetData>
    <row r="1" spans="1:69" s="573" customFormat="1" ht="18.75">
      <c r="A1" s="544"/>
      <c r="B1" s="544"/>
      <c r="C1" s="544"/>
      <c r="D1" s="545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72"/>
      <c r="AE1" s="572"/>
      <c r="AF1" s="572"/>
      <c r="AG1" s="572"/>
      <c r="AH1" s="572"/>
      <c r="AI1" s="572"/>
      <c r="AJ1" s="572"/>
      <c r="AK1" s="572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572"/>
      <c r="BO1" s="572"/>
    </row>
    <row r="2" spans="1:69" s="573" customFormat="1" ht="18.75">
      <c r="A2" s="544" t="s">
        <v>1388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  <c r="X2" s="544"/>
      <c r="Y2" s="544"/>
      <c r="Z2" s="544"/>
      <c r="AA2" s="544"/>
      <c r="AB2" s="544"/>
      <c r="AC2" s="544"/>
      <c r="AD2" s="572"/>
      <c r="AE2" s="572"/>
      <c r="AF2" s="572"/>
      <c r="AG2" s="572"/>
      <c r="AH2" s="572"/>
      <c r="AI2" s="572"/>
      <c r="AJ2" s="572"/>
      <c r="AK2" s="572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572"/>
      <c r="BO2" s="572"/>
    </row>
    <row r="3" spans="1:69" s="573" customFormat="1" ht="18.75">
      <c r="A3" s="544"/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544"/>
      <c r="X3" s="544"/>
      <c r="Y3" s="544"/>
      <c r="Z3" s="544"/>
      <c r="AA3" s="544"/>
      <c r="AB3" s="544"/>
      <c r="AC3" s="544"/>
      <c r="AD3" s="572"/>
      <c r="AE3" s="572"/>
      <c r="AF3" s="572"/>
      <c r="AG3" s="572"/>
      <c r="AH3" s="572"/>
      <c r="AI3" s="572"/>
      <c r="AJ3" s="572"/>
      <c r="AK3" s="572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572"/>
      <c r="BO3" s="572"/>
    </row>
    <row r="4" spans="1:69" ht="20.45" customHeight="1">
      <c r="A4" s="822"/>
      <c r="B4" s="823"/>
      <c r="C4" s="824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D4" s="807" t="s">
        <v>902</v>
      </c>
      <c r="AE4" s="808"/>
      <c r="AF4" s="808"/>
      <c r="AG4" s="808"/>
      <c r="AH4" s="808"/>
      <c r="AI4" s="808"/>
      <c r="AJ4" s="808"/>
      <c r="AK4" s="809"/>
      <c r="AO4" s="807" t="s">
        <v>904</v>
      </c>
      <c r="AP4" s="808"/>
      <c r="AQ4" s="808"/>
      <c r="AR4" s="808"/>
      <c r="AS4" s="808"/>
      <c r="AT4" s="809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</row>
    <row r="5" spans="1:69" s="16" customFormat="1" ht="75" customHeight="1">
      <c r="A5" s="122" t="s">
        <v>0</v>
      </c>
      <c r="B5" s="13" t="s">
        <v>328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9</v>
      </c>
      <c r="J5" s="13" t="s">
        <v>101</v>
      </c>
      <c r="K5" s="13" t="s">
        <v>10</v>
      </c>
      <c r="L5" s="13" t="s">
        <v>11</v>
      </c>
      <c r="M5" s="13" t="s">
        <v>568</v>
      </c>
      <c r="N5" s="13" t="s">
        <v>569</v>
      </c>
      <c r="O5" s="2" t="s">
        <v>570</v>
      </c>
      <c r="P5" s="2" t="s">
        <v>12</v>
      </c>
      <c r="Q5" s="2" t="s">
        <v>571</v>
      </c>
      <c r="R5" s="2" t="s">
        <v>572</v>
      </c>
      <c r="S5" s="2" t="s">
        <v>573</v>
      </c>
      <c r="T5" s="2" t="s">
        <v>574</v>
      </c>
      <c r="U5" s="2" t="s">
        <v>575</v>
      </c>
      <c r="V5" s="13" t="s">
        <v>13</v>
      </c>
      <c r="W5" s="13" t="s">
        <v>14</v>
      </c>
      <c r="X5" s="13" t="s">
        <v>15</v>
      </c>
      <c r="Y5" s="13" t="s">
        <v>185</v>
      </c>
      <c r="Z5" s="13" t="s">
        <v>385</v>
      </c>
      <c r="AA5" s="13" t="s">
        <v>67</v>
      </c>
      <c r="AB5" s="13" t="s">
        <v>207</v>
      </c>
      <c r="AC5" s="13" t="s">
        <v>16</v>
      </c>
      <c r="AD5" s="518" t="s">
        <v>905</v>
      </c>
      <c r="AE5" s="518" t="s">
        <v>906</v>
      </c>
      <c r="AF5" s="518" t="s">
        <v>907</v>
      </c>
      <c r="AG5" s="518" t="s">
        <v>908</v>
      </c>
      <c r="AH5" s="518" t="s">
        <v>909</v>
      </c>
      <c r="AI5" s="518" t="s">
        <v>910</v>
      </c>
      <c r="AJ5" s="518" t="s">
        <v>911</v>
      </c>
      <c r="AK5" s="518" t="s">
        <v>912</v>
      </c>
      <c r="AL5" s="518" t="s">
        <v>913</v>
      </c>
      <c r="AM5" s="518" t="s">
        <v>914</v>
      </c>
      <c r="AN5" s="518" t="s">
        <v>915</v>
      </c>
      <c r="AO5" s="2" t="s">
        <v>13</v>
      </c>
      <c r="AP5" s="2" t="s">
        <v>14</v>
      </c>
      <c r="AQ5" s="2" t="s">
        <v>15</v>
      </c>
      <c r="AR5" s="2" t="s">
        <v>185</v>
      </c>
      <c r="AS5" s="2" t="s">
        <v>385</v>
      </c>
      <c r="AT5" s="2" t="s">
        <v>67</v>
      </c>
      <c r="AU5" s="518" t="s">
        <v>947</v>
      </c>
      <c r="AV5" s="2" t="s">
        <v>917</v>
      </c>
      <c r="AW5" s="2" t="s">
        <v>918</v>
      </c>
      <c r="AX5" s="2" t="s">
        <v>919</v>
      </c>
      <c r="AY5" s="2" t="s">
        <v>13</v>
      </c>
      <c r="AZ5" s="2" t="s">
        <v>14</v>
      </c>
      <c r="BA5" s="2" t="s">
        <v>15</v>
      </c>
      <c r="BB5" s="2" t="s">
        <v>185</v>
      </c>
      <c r="BC5" s="2" t="s">
        <v>385</v>
      </c>
      <c r="BD5" s="2" t="s">
        <v>67</v>
      </c>
      <c r="BE5" s="494" t="s">
        <v>1355</v>
      </c>
      <c r="BF5" s="494" t="s">
        <v>1350</v>
      </c>
      <c r="BG5" s="2" t="s">
        <v>13</v>
      </c>
      <c r="BH5" s="2" t="s">
        <v>14</v>
      </c>
      <c r="BI5" s="2" t="s">
        <v>15</v>
      </c>
      <c r="BJ5" s="2" t="s">
        <v>185</v>
      </c>
      <c r="BK5" s="2" t="s">
        <v>385</v>
      </c>
      <c r="BL5" s="2" t="s">
        <v>67</v>
      </c>
      <c r="BM5" s="572"/>
      <c r="BN5" s="573"/>
      <c r="BO5" s="572"/>
      <c r="BQ5" s="573"/>
    </row>
    <row r="6" spans="1:69" s="5" customFormat="1" ht="30" customHeight="1">
      <c r="A6" s="3">
        <v>1</v>
      </c>
      <c r="B6" s="3">
        <v>1486</v>
      </c>
      <c r="C6" s="3" t="s">
        <v>301</v>
      </c>
      <c r="D6" s="4">
        <f>9590365+200000+700000+80000</f>
        <v>10570365</v>
      </c>
      <c r="E6" s="4">
        <v>9590365</v>
      </c>
      <c r="F6" s="4">
        <f>D6-E6</f>
        <v>980000</v>
      </c>
      <c r="G6" s="4">
        <v>8590365</v>
      </c>
      <c r="H6" s="4">
        <v>8126724</v>
      </c>
      <c r="I6" s="4">
        <v>0</v>
      </c>
      <c r="J6" s="4">
        <v>225877</v>
      </c>
      <c r="K6" s="4">
        <f>I6+J6</f>
        <v>225877</v>
      </c>
      <c r="L6" s="4">
        <f>H6+K6</f>
        <v>8352601</v>
      </c>
      <c r="M6" s="4">
        <f>P6+S6-300000</f>
        <v>17764</v>
      </c>
      <c r="N6" s="4">
        <f>1200000+700000-300000-600000</f>
        <v>1000000</v>
      </c>
      <c r="O6" s="4">
        <f>D6-L6-M6-N6</f>
        <v>1200000</v>
      </c>
      <c r="P6" s="4">
        <f>G6-L6</f>
        <v>237764</v>
      </c>
      <c r="Q6" s="4">
        <v>80000</v>
      </c>
      <c r="R6" s="4"/>
      <c r="S6" s="4">
        <f>SUM(Q6:R6)</f>
        <v>80000</v>
      </c>
      <c r="T6" s="4">
        <f>P6-M6+S6</f>
        <v>300000</v>
      </c>
      <c r="U6" s="4">
        <f>N6-T6</f>
        <v>700000</v>
      </c>
      <c r="V6" s="4"/>
      <c r="W6" s="4">
        <f>U6-V6-Z6-AA6</f>
        <v>700000</v>
      </c>
      <c r="X6" s="4"/>
      <c r="Y6" s="4"/>
      <c r="Z6" s="4"/>
      <c r="AA6" s="3"/>
      <c r="AB6" s="3" t="s">
        <v>1037</v>
      </c>
      <c r="AC6" s="3">
        <v>930000</v>
      </c>
      <c r="AD6" s="4"/>
      <c r="AE6" s="4">
        <v>50000</v>
      </c>
      <c r="AF6" s="4">
        <v>250000</v>
      </c>
      <c r="AG6" s="4">
        <v>200000</v>
      </c>
      <c r="AH6" s="4">
        <v>200000</v>
      </c>
      <c r="AI6" s="4"/>
      <c r="AJ6" s="4">
        <f>SUM(AD6:AI6)+AL6</f>
        <v>700000</v>
      </c>
      <c r="AK6" s="4">
        <f>U6-AJ6</f>
        <v>0</v>
      </c>
      <c r="AL6" s="4"/>
      <c r="AM6" s="4"/>
      <c r="AN6" s="4">
        <f>AK6+AM6</f>
        <v>0</v>
      </c>
      <c r="AO6" s="4"/>
      <c r="AP6" s="4">
        <f t="shared" ref="AP6:AP8" si="0">AN6-AO6-AQ6-AR6-AS6-AT6</f>
        <v>0</v>
      </c>
      <c r="AQ6" s="4"/>
      <c r="AR6" s="4"/>
      <c r="AS6" s="4"/>
      <c r="AT6" s="4"/>
      <c r="AU6" s="4"/>
      <c r="AV6" s="4"/>
      <c r="AW6" s="4"/>
      <c r="AX6" s="4">
        <f>AN6-AW6</f>
        <v>0</v>
      </c>
      <c r="AY6" s="4"/>
      <c r="AZ6" s="4">
        <f>AX6-AY6-BA6-BB6-BC6-BD6</f>
        <v>0</v>
      </c>
      <c r="BA6" s="4"/>
      <c r="BB6" s="4"/>
      <c r="BC6" s="4"/>
      <c r="BD6" s="4"/>
      <c r="BE6" s="4">
        <f>AX6+AJ6</f>
        <v>700000</v>
      </c>
      <c r="BF6" s="4">
        <f>U6-BE6</f>
        <v>0</v>
      </c>
      <c r="BG6" s="4"/>
      <c r="BH6" s="4">
        <f>BE6</f>
        <v>700000</v>
      </c>
      <c r="BI6" s="4"/>
      <c r="BJ6" s="4"/>
      <c r="BK6" s="4"/>
      <c r="BL6" s="4"/>
      <c r="BM6" s="572"/>
      <c r="BN6" s="573"/>
      <c r="BO6" s="572"/>
      <c r="BQ6" s="573"/>
    </row>
    <row r="7" spans="1:69" s="5" customFormat="1" ht="30" customHeight="1">
      <c r="A7" s="3">
        <v>2</v>
      </c>
      <c r="B7" s="3">
        <v>2031</v>
      </c>
      <c r="C7" s="3" t="s">
        <v>1194</v>
      </c>
      <c r="D7" s="4">
        <v>2700000</v>
      </c>
      <c r="E7" s="4">
        <v>2700000</v>
      </c>
      <c r="F7" s="4"/>
      <c r="G7" s="4">
        <v>2700000</v>
      </c>
      <c r="H7" s="4">
        <v>2620066</v>
      </c>
      <c r="I7" s="4">
        <v>0</v>
      </c>
      <c r="J7" s="4">
        <v>34663</v>
      </c>
      <c r="K7" s="4">
        <f>I7+J7</f>
        <v>34663</v>
      </c>
      <c r="L7" s="4">
        <f>H7+K7</f>
        <v>2654729</v>
      </c>
      <c r="M7" s="4">
        <f>P7+S7-45000</f>
        <v>271</v>
      </c>
      <c r="N7" s="4">
        <v>45000</v>
      </c>
      <c r="O7" s="4">
        <f>D7-L7-M7-N7</f>
        <v>0</v>
      </c>
      <c r="P7" s="4">
        <f>G7-L7</f>
        <v>45271</v>
      </c>
      <c r="Q7" s="4"/>
      <c r="R7" s="4"/>
      <c r="S7" s="4">
        <f>SUM(Q7:R7)</f>
        <v>0</v>
      </c>
      <c r="T7" s="4">
        <f>P7-M7+S7</f>
        <v>45000</v>
      </c>
      <c r="U7" s="4">
        <f>N7-T7</f>
        <v>0</v>
      </c>
      <c r="V7" s="4"/>
      <c r="W7" s="4">
        <f>U7-V7-Z7-AA7</f>
        <v>0</v>
      </c>
      <c r="X7" s="4"/>
      <c r="Y7" s="4"/>
      <c r="Z7" s="4"/>
      <c r="AA7" s="3"/>
      <c r="AB7" s="3" t="s">
        <v>1038</v>
      </c>
      <c r="AC7" s="3">
        <v>826000</v>
      </c>
      <c r="AD7" s="4"/>
      <c r="AE7" s="4"/>
      <c r="AF7" s="4"/>
      <c r="AG7" s="4"/>
      <c r="AH7" s="4"/>
      <c r="AI7" s="4"/>
      <c r="AJ7" s="4">
        <f>SUM(AD7:AI7)+AL7</f>
        <v>0</v>
      </c>
      <c r="AK7" s="4">
        <f>U7-AJ7</f>
        <v>0</v>
      </c>
      <c r="AL7" s="4"/>
      <c r="AM7" s="4"/>
      <c r="AN7" s="4">
        <f>AK7+AM7</f>
        <v>0</v>
      </c>
      <c r="AO7" s="4"/>
      <c r="AP7" s="4">
        <f t="shared" si="0"/>
        <v>0</v>
      </c>
      <c r="AQ7" s="4"/>
      <c r="AR7" s="4"/>
      <c r="AS7" s="4"/>
      <c r="AT7" s="4"/>
      <c r="AU7" s="4"/>
      <c r="AV7" s="4"/>
      <c r="AW7" s="4"/>
      <c r="AX7" s="4">
        <f t="shared" ref="AX7:AX8" si="1">AN7-AW7</f>
        <v>0</v>
      </c>
      <c r="AY7" s="4"/>
      <c r="AZ7" s="4">
        <f t="shared" ref="AZ7:AZ8" si="2">AX7-AY7-BA7-BB7-BC7-BD7</f>
        <v>0</v>
      </c>
      <c r="BA7" s="4"/>
      <c r="BB7" s="4"/>
      <c r="BC7" s="4"/>
      <c r="BD7" s="4"/>
      <c r="BE7" s="4">
        <f>AX7+AJ7</f>
        <v>0</v>
      </c>
      <c r="BF7" s="4">
        <f t="shared" ref="BF7:BF8" si="3">U7-BE7</f>
        <v>0</v>
      </c>
      <c r="BG7" s="4"/>
      <c r="BH7" s="4">
        <f t="shared" ref="BH7:BH8" si="4">BE7</f>
        <v>0</v>
      </c>
      <c r="BI7" s="4"/>
      <c r="BJ7" s="4"/>
      <c r="BK7" s="4"/>
      <c r="BL7" s="4"/>
      <c r="BM7" s="572"/>
      <c r="BN7" s="573"/>
      <c r="BO7" s="572"/>
      <c r="BQ7" s="573"/>
    </row>
    <row r="8" spans="1:69" s="5" customFormat="1" ht="30" customHeight="1">
      <c r="A8" s="3">
        <v>3</v>
      </c>
      <c r="B8" s="19">
        <v>20075</v>
      </c>
      <c r="C8" s="3" t="s">
        <v>493</v>
      </c>
      <c r="D8" s="4">
        <f>300000+368000</f>
        <v>668000</v>
      </c>
      <c r="E8" s="4">
        <v>300000</v>
      </c>
      <c r="F8" s="4">
        <f>+D8-E8</f>
        <v>368000</v>
      </c>
      <c r="G8" s="4">
        <v>300000</v>
      </c>
      <c r="H8" s="4">
        <v>170353</v>
      </c>
      <c r="I8" s="4">
        <v>0</v>
      </c>
      <c r="J8" s="4">
        <v>55280</v>
      </c>
      <c r="K8" s="4">
        <f>I8+J8</f>
        <v>55280</v>
      </c>
      <c r="L8" s="4">
        <f>H8+K8</f>
        <v>225633</v>
      </c>
      <c r="M8" s="4">
        <f>P8+S8-74000</f>
        <v>367</v>
      </c>
      <c r="N8" s="4">
        <f>368000+74000-142000</f>
        <v>300000</v>
      </c>
      <c r="O8" s="4">
        <f>D8-L8-M8-N8</f>
        <v>142000</v>
      </c>
      <c r="P8" s="4">
        <f>G8-L8</f>
        <v>74367</v>
      </c>
      <c r="Q8" s="4"/>
      <c r="R8" s="4"/>
      <c r="S8" s="4">
        <f>SUM(Q8:R8)</f>
        <v>0</v>
      </c>
      <c r="T8" s="4">
        <f>P8-M8+S8</f>
        <v>74000</v>
      </c>
      <c r="U8" s="4">
        <f>N8-T8</f>
        <v>226000</v>
      </c>
      <c r="V8" s="4"/>
      <c r="W8" s="4">
        <f>U8-V8-Z8-AA8</f>
        <v>226000</v>
      </c>
      <c r="X8" s="4"/>
      <c r="Y8" s="4"/>
      <c r="Z8" s="4"/>
      <c r="AA8" s="3"/>
      <c r="AB8" s="3" t="s">
        <v>778</v>
      </c>
      <c r="AC8" s="3">
        <v>826000</v>
      </c>
      <c r="AD8" s="4"/>
      <c r="AE8" s="4"/>
      <c r="AF8" s="4">
        <v>100000</v>
      </c>
      <c r="AG8" s="4"/>
      <c r="AH8" s="4"/>
      <c r="AI8" s="4"/>
      <c r="AJ8" s="4">
        <f>SUM(AD8:AI8)+AL8</f>
        <v>100000</v>
      </c>
      <c r="AK8" s="4">
        <f>U8-AJ8</f>
        <v>126000</v>
      </c>
      <c r="AL8" s="4"/>
      <c r="AM8" s="4"/>
      <c r="AN8" s="4">
        <f>AK8+AM8</f>
        <v>126000</v>
      </c>
      <c r="AO8" s="4"/>
      <c r="AP8" s="4">
        <f t="shared" si="0"/>
        <v>126000</v>
      </c>
      <c r="AQ8" s="4"/>
      <c r="AR8" s="4"/>
      <c r="AS8" s="4"/>
      <c r="AT8" s="4"/>
      <c r="AU8" s="4"/>
      <c r="AV8" s="4"/>
      <c r="AW8" s="4"/>
      <c r="AX8" s="4">
        <f t="shared" si="1"/>
        <v>126000</v>
      </c>
      <c r="AY8" s="4"/>
      <c r="AZ8" s="4">
        <f t="shared" si="2"/>
        <v>126000</v>
      </c>
      <c r="BA8" s="4"/>
      <c r="BB8" s="4"/>
      <c r="BC8" s="4"/>
      <c r="BD8" s="4"/>
      <c r="BE8" s="4">
        <f>AX8+AJ8</f>
        <v>226000</v>
      </c>
      <c r="BF8" s="4">
        <f t="shared" si="3"/>
        <v>0</v>
      </c>
      <c r="BG8" s="4"/>
      <c r="BH8" s="4">
        <f t="shared" si="4"/>
        <v>226000</v>
      </c>
      <c r="BI8" s="4"/>
      <c r="BJ8" s="4"/>
      <c r="BK8" s="4"/>
      <c r="BL8" s="4"/>
      <c r="BM8" s="572"/>
      <c r="BN8" s="573"/>
      <c r="BO8" s="572"/>
      <c r="BP8" s="256"/>
      <c r="BQ8" s="573"/>
    </row>
    <row r="9" spans="1:69" s="6" customFormat="1" ht="45" customHeight="1">
      <c r="A9" s="7">
        <f>COUNT(A6:A8)</f>
        <v>3</v>
      </c>
      <c r="B9" s="20"/>
      <c r="C9" s="129" t="s">
        <v>630</v>
      </c>
      <c r="D9" s="8">
        <f t="shared" ref="D9:BL9" si="5">SUM(D6:D8)</f>
        <v>13938365</v>
      </c>
      <c r="E9" s="8">
        <f t="shared" si="5"/>
        <v>12590365</v>
      </c>
      <c r="F9" s="8">
        <f t="shared" si="5"/>
        <v>1348000</v>
      </c>
      <c r="G9" s="8">
        <f t="shared" si="5"/>
        <v>11590365</v>
      </c>
      <c r="H9" s="8">
        <f t="shared" si="5"/>
        <v>10917143</v>
      </c>
      <c r="I9" s="8">
        <f t="shared" si="5"/>
        <v>0</v>
      </c>
      <c r="J9" s="8">
        <f t="shared" si="5"/>
        <v>315820</v>
      </c>
      <c r="K9" s="8">
        <f t="shared" si="5"/>
        <v>315820</v>
      </c>
      <c r="L9" s="8">
        <f t="shared" si="5"/>
        <v>11232963</v>
      </c>
      <c r="M9" s="8">
        <f t="shared" si="5"/>
        <v>18402</v>
      </c>
      <c r="N9" s="8">
        <f t="shared" si="5"/>
        <v>1345000</v>
      </c>
      <c r="O9" s="8">
        <f t="shared" si="5"/>
        <v>1342000</v>
      </c>
      <c r="P9" s="8">
        <f t="shared" si="5"/>
        <v>357402</v>
      </c>
      <c r="Q9" s="8">
        <f t="shared" si="5"/>
        <v>80000</v>
      </c>
      <c r="R9" s="8">
        <f t="shared" si="5"/>
        <v>0</v>
      </c>
      <c r="S9" s="8">
        <f t="shared" si="5"/>
        <v>80000</v>
      </c>
      <c r="T9" s="8">
        <f t="shared" si="5"/>
        <v>419000</v>
      </c>
      <c r="U9" s="8">
        <f t="shared" si="5"/>
        <v>926000</v>
      </c>
      <c r="V9" s="8">
        <f t="shared" si="5"/>
        <v>0</v>
      </c>
      <c r="W9" s="8">
        <f t="shared" si="5"/>
        <v>926000</v>
      </c>
      <c r="X9" s="8">
        <f t="shared" si="5"/>
        <v>0</v>
      </c>
      <c r="Y9" s="8">
        <f t="shared" si="5"/>
        <v>0</v>
      </c>
      <c r="Z9" s="8">
        <f t="shared" si="5"/>
        <v>0</v>
      </c>
      <c r="AA9" s="8">
        <f t="shared" si="5"/>
        <v>0</v>
      </c>
      <c r="AB9" s="8">
        <f t="shared" si="5"/>
        <v>0</v>
      </c>
      <c r="AC9" s="8">
        <f t="shared" si="5"/>
        <v>2582000</v>
      </c>
      <c r="AD9" s="8">
        <f t="shared" si="5"/>
        <v>0</v>
      </c>
      <c r="AE9" s="8">
        <f>SUM(AE6:AE8)</f>
        <v>50000</v>
      </c>
      <c r="AF9" s="8">
        <f>SUM(AF6:AF8)</f>
        <v>350000</v>
      </c>
      <c r="AG9" s="8">
        <f t="shared" ref="AG9:AH9" si="6">SUM(AG6:AG8)</f>
        <v>200000</v>
      </c>
      <c r="AH9" s="8">
        <f t="shared" si="6"/>
        <v>200000</v>
      </c>
      <c r="AI9" s="8">
        <f t="shared" si="5"/>
        <v>0</v>
      </c>
      <c r="AJ9" s="8">
        <f t="shared" si="5"/>
        <v>800000</v>
      </c>
      <c r="AK9" s="8">
        <f t="shared" si="5"/>
        <v>126000</v>
      </c>
      <c r="AL9" s="8">
        <f t="shared" si="5"/>
        <v>0</v>
      </c>
      <c r="AM9" s="8">
        <f t="shared" si="5"/>
        <v>0</v>
      </c>
      <c r="AN9" s="8">
        <f t="shared" si="5"/>
        <v>126000</v>
      </c>
      <c r="AO9" s="8">
        <f t="shared" si="5"/>
        <v>0</v>
      </c>
      <c r="AP9" s="8">
        <f t="shared" si="5"/>
        <v>126000</v>
      </c>
      <c r="AQ9" s="8">
        <f t="shared" si="5"/>
        <v>0</v>
      </c>
      <c r="AR9" s="8">
        <f t="shared" si="5"/>
        <v>0</v>
      </c>
      <c r="AS9" s="8">
        <f t="shared" si="5"/>
        <v>0</v>
      </c>
      <c r="AT9" s="8">
        <f t="shared" si="5"/>
        <v>0</v>
      </c>
      <c r="AU9" s="8"/>
      <c r="AV9" s="8"/>
      <c r="AW9" s="8">
        <f t="shared" si="5"/>
        <v>0</v>
      </c>
      <c r="AX9" s="8">
        <f t="shared" si="5"/>
        <v>126000</v>
      </c>
      <c r="AY9" s="8">
        <f t="shared" si="5"/>
        <v>0</v>
      </c>
      <c r="AZ9" s="8">
        <f t="shared" si="5"/>
        <v>126000</v>
      </c>
      <c r="BA9" s="8">
        <f t="shared" si="5"/>
        <v>0</v>
      </c>
      <c r="BB9" s="8">
        <f t="shared" si="5"/>
        <v>0</v>
      </c>
      <c r="BC9" s="8">
        <f t="shared" si="5"/>
        <v>0</v>
      </c>
      <c r="BD9" s="8">
        <f t="shared" si="5"/>
        <v>0</v>
      </c>
      <c r="BE9" s="8">
        <f t="shared" si="5"/>
        <v>926000</v>
      </c>
      <c r="BF9" s="8">
        <f t="shared" si="5"/>
        <v>0</v>
      </c>
      <c r="BG9" s="8">
        <f t="shared" si="5"/>
        <v>0</v>
      </c>
      <c r="BH9" s="8">
        <f t="shared" si="5"/>
        <v>926000</v>
      </c>
      <c r="BI9" s="8">
        <f t="shared" si="5"/>
        <v>0</v>
      </c>
      <c r="BJ9" s="8">
        <f t="shared" si="5"/>
        <v>0</v>
      </c>
      <c r="BK9" s="8">
        <f t="shared" si="5"/>
        <v>0</v>
      </c>
      <c r="BL9" s="8">
        <f t="shared" si="5"/>
        <v>0</v>
      </c>
      <c r="BM9" s="572"/>
      <c r="BN9" s="573"/>
      <c r="BO9" s="572"/>
      <c r="BP9" s="314"/>
      <c r="BQ9" s="573"/>
    </row>
    <row r="10" spans="1:69" s="123" customFormat="1" ht="15" hidden="1" customHeight="1">
      <c r="B10" s="205"/>
      <c r="C10" s="131"/>
      <c r="D10" s="306">
        <f>SUM(L9:O9)</f>
        <v>13938365</v>
      </c>
      <c r="E10" s="124"/>
      <c r="F10" s="124">
        <f>D9-E9</f>
        <v>1348000</v>
      </c>
      <c r="G10" s="124"/>
      <c r="H10" s="124"/>
      <c r="I10" s="124"/>
      <c r="J10" s="124"/>
      <c r="K10" s="124"/>
      <c r="L10" s="306">
        <f>H9+K9</f>
        <v>11232963</v>
      </c>
      <c r="M10" s="124"/>
      <c r="N10" s="124"/>
      <c r="O10" s="124"/>
      <c r="P10" s="306">
        <f>G9-L10</f>
        <v>357402</v>
      </c>
      <c r="Q10" s="124"/>
      <c r="R10" s="124"/>
      <c r="S10" s="124"/>
      <c r="T10" s="306">
        <f>P10+S9-M9</f>
        <v>419000</v>
      </c>
      <c r="U10" s="306">
        <f>N9-T10</f>
        <v>926000</v>
      </c>
      <c r="V10" s="124"/>
      <c r="W10" s="124"/>
      <c r="X10" s="124"/>
      <c r="Y10" s="124"/>
      <c r="Z10" s="124"/>
      <c r="AA10" s="124"/>
      <c r="AB10" s="221"/>
      <c r="AD10" s="572"/>
      <c r="AE10" s="572"/>
      <c r="AF10" s="572"/>
      <c r="AG10" s="572"/>
      <c r="AH10" s="572"/>
      <c r="AI10" s="572"/>
      <c r="AJ10" s="572"/>
      <c r="AK10" s="572"/>
      <c r="AL10" s="206"/>
      <c r="AM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572"/>
      <c r="BN10" s="573"/>
      <c r="BO10" s="572"/>
      <c r="BQ10" s="573"/>
    </row>
    <row r="11" spans="1:69" s="123" customFormat="1" ht="15" hidden="1" customHeight="1">
      <c r="B11" s="205"/>
      <c r="C11" s="131"/>
      <c r="D11" s="306"/>
      <c r="E11" s="124"/>
      <c r="F11" s="124"/>
      <c r="G11" s="124"/>
      <c r="H11" s="124"/>
      <c r="I11" s="124"/>
      <c r="J11" s="124"/>
      <c r="K11" s="124"/>
      <c r="L11" s="306"/>
      <c r="M11" s="124"/>
      <c r="N11" s="124"/>
      <c r="O11" s="124"/>
      <c r="P11" s="306"/>
      <c r="Q11" s="124"/>
      <c r="R11" s="124"/>
      <c r="S11" s="124"/>
      <c r="T11" s="306"/>
      <c r="U11" s="306"/>
      <c r="V11" s="124"/>
      <c r="W11" s="124"/>
      <c r="X11" s="124"/>
      <c r="Y11" s="124"/>
      <c r="Z11" s="124"/>
      <c r="AA11" s="124"/>
      <c r="AB11" s="221"/>
      <c r="AD11" s="572"/>
      <c r="AE11" s="572"/>
      <c r="AF11" s="572"/>
      <c r="AG11" s="572"/>
      <c r="AH11" s="572"/>
      <c r="AI11" s="572"/>
      <c r="AJ11" s="572"/>
      <c r="AK11" s="572"/>
      <c r="AL11" s="206"/>
      <c r="AM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72"/>
      <c r="BN11" s="573"/>
      <c r="BO11" s="572"/>
      <c r="BQ11" s="573"/>
    </row>
    <row r="12" spans="1:69" ht="15" hidden="1" customHeight="1">
      <c r="P12" s="10"/>
      <c r="Q12" s="10"/>
      <c r="R12" s="10"/>
    </row>
    <row r="13" spans="1:69" s="123" customFormat="1" ht="15.75">
      <c r="C13" s="435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AB13" s="131"/>
      <c r="AD13" s="572"/>
      <c r="AE13" s="572"/>
      <c r="AF13" s="572"/>
      <c r="AG13" s="572"/>
      <c r="AH13" s="572"/>
      <c r="AI13" s="572"/>
      <c r="AJ13" s="572"/>
      <c r="AK13" s="572"/>
      <c r="AX13" s="232" t="s">
        <v>814</v>
      </c>
      <c r="BM13" s="572"/>
      <c r="BN13" s="573"/>
      <c r="BO13" s="572"/>
      <c r="BQ13" s="573"/>
    </row>
    <row r="14" spans="1:69" ht="15.75">
      <c r="A14" s="504"/>
      <c r="M14" s="124"/>
      <c r="N14" s="124"/>
      <c r="O14" s="124"/>
      <c r="P14" s="124"/>
      <c r="Q14" s="124"/>
      <c r="R14" s="124"/>
      <c r="S14" s="124"/>
      <c r="T14" s="124"/>
      <c r="U14" s="123"/>
    </row>
    <row r="15" spans="1:69" ht="15.75">
      <c r="A15" s="504"/>
      <c r="B15" s="504"/>
      <c r="M15" s="124"/>
      <c r="N15" s="124"/>
      <c r="O15" s="124"/>
      <c r="P15" s="124"/>
      <c r="Q15" s="124"/>
      <c r="R15" s="124"/>
      <c r="S15" s="124"/>
      <c r="T15" s="124"/>
      <c r="U15" s="123"/>
    </row>
    <row r="16" spans="1:69">
      <c r="M16" s="124"/>
      <c r="N16" s="124"/>
      <c r="O16" s="124"/>
      <c r="P16" s="124"/>
      <c r="Q16" s="124"/>
      <c r="R16" s="124"/>
      <c r="S16" s="124"/>
      <c r="T16" s="124"/>
      <c r="U16" s="123"/>
    </row>
    <row r="17" spans="1:23">
      <c r="O17" s="572"/>
      <c r="P17" s="572"/>
      <c r="Q17" s="572"/>
      <c r="R17" s="572"/>
      <c r="S17" s="572"/>
      <c r="T17" s="572"/>
      <c r="U17" s="572"/>
      <c r="V17" s="572"/>
      <c r="W17" s="572"/>
    </row>
    <row r="18" spans="1:23">
      <c r="A18" s="527"/>
      <c r="O18" s="572"/>
      <c r="P18" s="572"/>
      <c r="Q18" s="572"/>
      <c r="R18" s="572"/>
      <c r="S18" s="572"/>
      <c r="T18" s="572"/>
      <c r="U18" s="572"/>
      <c r="V18" s="572"/>
      <c r="W18" s="572"/>
    </row>
    <row r="19" spans="1:23">
      <c r="O19" s="572"/>
      <c r="P19" s="572"/>
      <c r="Q19" s="572"/>
      <c r="R19" s="572"/>
      <c r="S19" s="572"/>
      <c r="T19" s="572"/>
      <c r="U19" s="572"/>
      <c r="V19" s="572"/>
      <c r="W19" s="572"/>
    </row>
    <row r="20" spans="1:23">
      <c r="O20" s="572"/>
      <c r="P20" s="572"/>
      <c r="Q20" s="572"/>
      <c r="R20" s="572"/>
      <c r="S20" s="572"/>
      <c r="T20" s="572"/>
      <c r="U20" s="572"/>
      <c r="V20" s="572"/>
      <c r="W20" s="572"/>
    </row>
    <row r="21" spans="1:23">
      <c r="O21" s="572"/>
      <c r="P21" s="572"/>
      <c r="Q21" s="572"/>
      <c r="R21" s="572"/>
      <c r="S21" s="572"/>
      <c r="T21" s="572"/>
      <c r="U21" s="572"/>
      <c r="V21" s="572"/>
      <c r="W21" s="572"/>
    </row>
    <row r="22" spans="1:23">
      <c r="O22" s="572"/>
      <c r="P22" s="572"/>
      <c r="Q22" s="572"/>
      <c r="R22" s="572"/>
      <c r="S22" s="572"/>
      <c r="T22" s="572"/>
      <c r="U22" s="572"/>
      <c r="V22" s="572"/>
      <c r="W22" s="572"/>
    </row>
    <row r="23" spans="1:23">
      <c r="O23" s="572"/>
      <c r="P23" s="572"/>
      <c r="Q23" s="572"/>
      <c r="R23" s="572"/>
      <c r="S23" s="572"/>
      <c r="T23" s="572"/>
      <c r="U23" s="572"/>
      <c r="V23" s="572"/>
      <c r="W23" s="572"/>
    </row>
    <row r="28" spans="1:23">
      <c r="C28" s="527"/>
    </row>
    <row r="131" spans="1:1">
      <c r="A131" s="10">
        <f>COUNT(A6:A130)</f>
        <v>4</v>
      </c>
    </row>
    <row r="134" spans="1:1">
      <c r="A134" s="10">
        <f>A131+1</f>
        <v>5</v>
      </c>
    </row>
    <row r="137" spans="1:1" ht="37.9" customHeight="1"/>
    <row r="140" spans="1:1" ht="70.900000000000006" customHeight="1"/>
    <row r="143" spans="1:1" ht="72" customHeight="1"/>
    <row r="145" ht="43.9" customHeight="1"/>
    <row r="147" ht="30" customHeight="1"/>
  </sheetData>
  <sheetProtection formatCells="0" formatColumns="0" formatRows="0" insertColumns="0" insertRows="0" insertHyperlinks="0" deleteColumns="0" deleteRows="0" sort="0" autoFilter="0" pivotTables="0"/>
  <mergeCells count="7">
    <mergeCell ref="BG4:BL4"/>
    <mergeCell ref="A4:C4"/>
    <mergeCell ref="AD4:AK4"/>
    <mergeCell ref="AO4:AT4"/>
    <mergeCell ref="T4:U4"/>
    <mergeCell ref="V4:AA4"/>
    <mergeCell ref="BE4:BF4"/>
  </mergeCells>
  <conditionalFormatting sqref="A1:A3 AJ18:AJ1048576 AJ1:AJ3 AJ14:AJ15 AJ12 AL12:AM12 AL14:AM15 AD1:AD3 AD10:AD1048576 AO4 AO18:AQ1048576 AO14:AQ15 AO12:AQ12 BM1:XFD3 AL1:AM4 AN1:AQ3 AL18:AM1048576">
    <cfRule type="cellIs" dxfId="156" priority="79" operator="equal">
      <formula>0</formula>
    </cfRule>
  </conditionalFormatting>
  <conditionalFormatting sqref="AP1:AP3">
    <cfRule type="cellIs" dxfId="155" priority="78" operator="equal">
      <formula>0</formula>
    </cfRule>
  </conditionalFormatting>
  <conditionalFormatting sqref="AJ18:AJ1048576 AJ14:AJ15 AJ1:AJ3 AJ12 AL12:AM12 AL14:AM15 AL1:AM4 AO4 AO18:AQ1048576 AO14:AQ15 AO1:AQ3 AO12:AQ12 AL18:AM1048576">
    <cfRule type="cellIs" dxfId="154" priority="77" operator="equal">
      <formula>0</formula>
    </cfRule>
  </conditionalFormatting>
  <conditionalFormatting sqref="AJ16 AL16:AM16 AO16:AQ16">
    <cfRule type="cellIs" dxfId="153" priority="70" operator="equal">
      <formula>0</formula>
    </cfRule>
  </conditionalFormatting>
  <conditionalFormatting sqref="AJ12 AJ1:AJ3 AJ14:AJ15 AJ18:AJ1048576">
    <cfRule type="cellIs" dxfId="152" priority="74" operator="equal">
      <formula>0</formula>
    </cfRule>
  </conditionalFormatting>
  <conditionalFormatting sqref="AJ16">
    <cfRule type="cellIs" dxfId="151" priority="67" operator="equal">
      <formula>0</formula>
    </cfRule>
  </conditionalFormatting>
  <conditionalFormatting sqref="AJ17">
    <cfRule type="cellIs" dxfId="150" priority="60" operator="equal">
      <formula>0</formula>
    </cfRule>
  </conditionalFormatting>
  <conditionalFormatting sqref="AJ16 AL16:AM16 AO16:AQ16">
    <cfRule type="cellIs" dxfId="149" priority="69" operator="equal">
      <formula>0</formula>
    </cfRule>
  </conditionalFormatting>
  <conditionalFormatting sqref="AJ17 AL17:AM17 AO17:AQ17">
    <cfRule type="cellIs" dxfId="148" priority="63" operator="equal">
      <formula>0</formula>
    </cfRule>
  </conditionalFormatting>
  <conditionalFormatting sqref="AI22:AI25">
    <cfRule type="cellIs" dxfId="147" priority="53" operator="equal">
      <formula>0</formula>
    </cfRule>
  </conditionalFormatting>
  <conditionalFormatting sqref="AJ17 AL17:AM17 AO17:AQ17">
    <cfRule type="cellIs" dxfId="146" priority="62" operator="equal">
      <formula>0</formula>
    </cfRule>
  </conditionalFormatting>
  <conditionalFormatting sqref="AD1:AD3 AD10:AD1048576 AI10:AK1048576 AI1:AK3">
    <cfRule type="cellIs" dxfId="145" priority="56" operator="equal">
      <formula>0</formula>
    </cfRule>
  </conditionalFormatting>
  <conditionalFormatting sqref="AK1:AK3 AK10:AK1048576">
    <cfRule type="cellIs" dxfId="144" priority="52" operator="equal">
      <formula>0</formula>
    </cfRule>
  </conditionalFormatting>
  <conditionalFormatting sqref="O17:W23">
    <cfRule type="cellIs" dxfId="143" priority="54" operator="equal">
      <formula>0</formula>
    </cfRule>
  </conditionalFormatting>
  <conditionalFormatting sqref="AD1:AD3 AD10:AD1048576 AI10:AK1048576 AI1:AK3">
    <cfRule type="cellIs" dxfId="142" priority="55" operator="equal">
      <formula>0</formula>
    </cfRule>
  </conditionalFormatting>
  <conditionalFormatting sqref="AE10:AE1048576 AE1:AE3">
    <cfRule type="cellIs" dxfId="141" priority="37" operator="equal">
      <formula>0</formula>
    </cfRule>
  </conditionalFormatting>
  <conditionalFormatting sqref="AJ5">
    <cfRule type="cellIs" dxfId="140" priority="39" operator="equal">
      <formula>0</formula>
    </cfRule>
  </conditionalFormatting>
  <conditionalFormatting sqref="AE22:AE25">
    <cfRule type="cellIs" dxfId="139" priority="35" operator="equal">
      <formula>0</formula>
    </cfRule>
  </conditionalFormatting>
  <conditionalFormatting sqref="AE10:AE1048576 AE1:AE3">
    <cfRule type="cellIs" dxfId="138" priority="36" operator="equal">
      <formula>0</formula>
    </cfRule>
  </conditionalFormatting>
  <conditionalFormatting sqref="AF10:AF1048576 AF1:AF3">
    <cfRule type="cellIs" dxfId="137" priority="33" operator="equal">
      <formula>0</formula>
    </cfRule>
  </conditionalFormatting>
  <conditionalFormatting sqref="AF10:AF1048576 AF1:AF3">
    <cfRule type="cellIs" dxfId="136" priority="34" operator="equal">
      <formula>0</formula>
    </cfRule>
  </conditionalFormatting>
  <conditionalFormatting sqref="AF22:AF25">
    <cfRule type="cellIs" dxfId="135" priority="32" operator="equal">
      <formula>0</formula>
    </cfRule>
  </conditionalFormatting>
  <conditionalFormatting sqref="AN5">
    <cfRule type="cellIs" dxfId="134" priority="31" operator="equal">
      <formula>0</formula>
    </cfRule>
  </conditionalFormatting>
  <conditionalFormatting sqref="AG10:AG1048576 AG1:AG3">
    <cfRule type="cellIs" dxfId="133" priority="29" operator="equal">
      <formula>0</formula>
    </cfRule>
  </conditionalFormatting>
  <conditionalFormatting sqref="AG10:AG1048576 AG1:AG3">
    <cfRule type="cellIs" dxfId="132" priority="30" operator="equal">
      <formula>0</formula>
    </cfRule>
  </conditionalFormatting>
  <conditionalFormatting sqref="AG22:AG25">
    <cfRule type="cellIs" dxfId="131" priority="28" operator="equal">
      <formula>0</formula>
    </cfRule>
  </conditionalFormatting>
  <conditionalFormatting sqref="AH10:AH1048576 AH1:AH3">
    <cfRule type="cellIs" dxfId="130" priority="26" operator="equal">
      <formula>0</formula>
    </cfRule>
  </conditionalFormatting>
  <conditionalFormatting sqref="AH10:AH1048576 AH1:AH3">
    <cfRule type="cellIs" dxfId="129" priority="27" operator="equal">
      <formula>0</formula>
    </cfRule>
  </conditionalFormatting>
  <conditionalFormatting sqref="AH22:AH25">
    <cfRule type="cellIs" dxfId="128" priority="25" operator="equal">
      <formula>0</formula>
    </cfRule>
  </conditionalFormatting>
  <conditionalFormatting sqref="BM1:BO1048576">
    <cfRule type="cellIs" dxfId="127" priority="24" operator="equal">
      <formula>0</formula>
    </cfRule>
  </conditionalFormatting>
  <conditionalFormatting sqref="BM1:BO1048576">
    <cfRule type="cellIs" dxfId="126" priority="23" operator="equal">
      <formula>0</formula>
    </cfRule>
  </conditionalFormatting>
  <conditionalFormatting sqref="BM1:BO1048576">
    <cfRule type="cellIs" dxfId="125" priority="22" operator="equal">
      <formula>0</formula>
    </cfRule>
  </conditionalFormatting>
  <conditionalFormatting sqref="BM1:BO1048576">
    <cfRule type="cellIs" dxfId="124" priority="20" operator="equal">
      <formula>0</formula>
    </cfRule>
  </conditionalFormatting>
  <conditionalFormatting sqref="BM1:BO1048576">
    <cfRule type="cellIs" dxfId="123" priority="21" operator="equal">
      <formula>0</formula>
    </cfRule>
  </conditionalFormatting>
  <conditionalFormatting sqref="BQ1:BQ1048576">
    <cfRule type="cellIs" dxfId="122" priority="9" operator="equal">
      <formula>0</formula>
    </cfRule>
  </conditionalFormatting>
  <conditionalFormatting sqref="BN1:BN1048576">
    <cfRule type="cellIs" dxfId="121" priority="8" operator="equal">
      <formula>0</formula>
    </cfRule>
  </conditionalFormatting>
  <conditionalFormatting sqref="BN1:BN1048576">
    <cfRule type="cellIs" dxfId="120" priority="7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7F2-33E8-4D9E-8E78-5CE679DCB3BE}">
  <dimension ref="A1:BQ142"/>
  <sheetViews>
    <sheetView showZeros="0" rightToLeft="1" zoomScaleNormal="100" workbookViewId="0">
      <pane xSplit="3" ySplit="5" topLeftCell="U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8.75"/>
  <cols>
    <col min="1" max="1" width="3.7109375" style="559" customWidth="1"/>
    <col min="2" max="2" width="5.7109375" style="559" customWidth="1"/>
    <col min="3" max="3" width="23.140625" style="575" customWidth="1"/>
    <col min="4" max="4" width="10.7109375" style="576" hidden="1" customWidth="1"/>
    <col min="5" max="5" width="9.7109375" style="576" hidden="1" customWidth="1"/>
    <col min="6" max="6" width="11.7109375" style="576" hidden="1" customWidth="1"/>
    <col min="7" max="11" width="9.7109375" style="576" hidden="1" customWidth="1"/>
    <col min="12" max="12" width="8.85546875" style="576" hidden="1" customWidth="1"/>
    <col min="13" max="13" width="8.7109375" style="576" hidden="1" customWidth="1"/>
    <col min="14" max="14" width="9.85546875" style="576" hidden="1" customWidth="1"/>
    <col min="15" max="15" width="10.5703125" style="576" hidden="1" customWidth="1"/>
    <col min="16" max="19" width="9.7109375" style="576" hidden="1" customWidth="1"/>
    <col min="20" max="20" width="11.7109375" style="576" customWidth="1"/>
    <col min="21" max="23" width="11.7109375" style="559" customWidth="1"/>
    <col min="24" max="24" width="9.7109375" style="559" hidden="1" customWidth="1"/>
    <col min="25" max="25" width="10.7109375" style="559" customWidth="1"/>
    <col min="26" max="26" width="9.7109375" style="559" hidden="1" customWidth="1"/>
    <col min="27" max="27" width="11.7109375" style="559" customWidth="1"/>
    <col min="28" max="28" width="32.5703125" style="559" hidden="1" customWidth="1"/>
    <col min="29" max="29" width="9.7109375" style="559" hidden="1" customWidth="1"/>
    <col min="30" max="37" width="9.28515625" style="427" hidden="1" customWidth="1"/>
    <col min="38" max="39" width="10.7109375" style="585" hidden="1" customWidth="1"/>
    <col min="40" max="40" width="9.140625" style="559" hidden="1" customWidth="1"/>
    <col min="41" max="46" width="10.7109375" style="585" hidden="1" customWidth="1"/>
    <col min="47" max="56" width="9.140625" style="559" hidden="1" customWidth="1"/>
    <col min="57" max="57" width="14" style="559" customWidth="1"/>
    <col min="58" max="60" width="11.7109375" style="559" customWidth="1"/>
    <col min="61" max="61" width="9.140625" style="559" hidden="1" customWidth="1"/>
    <col min="62" max="62" width="10.7109375" style="559" customWidth="1"/>
    <col min="63" max="63" width="9.140625" style="559" hidden="1" customWidth="1"/>
    <col min="64" max="64" width="11.7109375" style="559" customWidth="1"/>
    <col min="65" max="65" width="9.28515625" style="427" customWidth="1"/>
    <col min="66" max="16384" width="9.140625" style="559"/>
  </cols>
  <sheetData>
    <row r="1" spans="1:69" s="585" customFormat="1">
      <c r="A1" s="582"/>
      <c r="B1" s="582"/>
      <c r="C1" s="583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4"/>
      <c r="Y1" s="584"/>
      <c r="Z1" s="584"/>
      <c r="AD1" s="427"/>
      <c r="AE1" s="427"/>
      <c r="AF1" s="427"/>
      <c r="AG1" s="427"/>
      <c r="AH1" s="427"/>
      <c r="AI1" s="427"/>
      <c r="AJ1" s="427"/>
      <c r="AK1" s="427"/>
      <c r="BM1" s="427"/>
    </row>
    <row r="2" spans="1:69">
      <c r="A2" s="582" t="s">
        <v>1390</v>
      </c>
      <c r="B2" s="582"/>
      <c r="C2" s="583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AN2" s="585"/>
    </row>
    <row r="3" spans="1:69">
      <c r="A3" s="582"/>
      <c r="B3" s="582"/>
      <c r="C3" s="583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582"/>
      <c r="AN3" s="585"/>
    </row>
    <row r="4" spans="1:69" s="10" customFormat="1" ht="20.45" customHeight="1">
      <c r="A4" s="822"/>
      <c r="B4" s="823"/>
      <c r="C4" s="82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D4" s="807" t="s">
        <v>902</v>
      </c>
      <c r="AE4" s="808"/>
      <c r="AF4" s="808"/>
      <c r="AG4" s="808"/>
      <c r="AH4" s="808"/>
      <c r="AI4" s="808"/>
      <c r="AJ4" s="808"/>
      <c r="AK4" s="809"/>
      <c r="AL4" s="573"/>
      <c r="AM4" s="573"/>
      <c r="AO4" s="807" t="s">
        <v>904</v>
      </c>
      <c r="AP4" s="808"/>
      <c r="AQ4" s="808"/>
      <c r="AR4" s="808"/>
      <c r="AS4" s="808"/>
      <c r="AT4" s="809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  <c r="BM4" s="572"/>
      <c r="BN4" s="573"/>
      <c r="BO4" s="572"/>
      <c r="BQ4" s="573"/>
    </row>
    <row r="5" spans="1:69" s="426" customFormat="1" ht="64.5" customHeight="1">
      <c r="A5" s="237" t="s">
        <v>0</v>
      </c>
      <c r="B5" s="237" t="s">
        <v>1</v>
      </c>
      <c r="C5" s="237" t="s">
        <v>2</v>
      </c>
      <c r="D5" s="237" t="s">
        <v>3</v>
      </c>
      <c r="E5" s="237" t="s">
        <v>4</v>
      </c>
      <c r="F5" s="237" t="s">
        <v>5</v>
      </c>
      <c r="G5" s="237" t="s">
        <v>6</v>
      </c>
      <c r="H5" s="237" t="s">
        <v>7</v>
      </c>
      <c r="I5" s="237" t="s">
        <v>9</v>
      </c>
      <c r="J5" s="237" t="s">
        <v>101</v>
      </c>
      <c r="K5" s="237" t="s">
        <v>10</v>
      </c>
      <c r="L5" s="237" t="s">
        <v>11</v>
      </c>
      <c r="M5" s="237" t="s">
        <v>568</v>
      </c>
      <c r="N5" s="237" t="s">
        <v>569</v>
      </c>
      <c r="O5" s="494" t="s">
        <v>570</v>
      </c>
      <c r="P5" s="494" t="s">
        <v>12</v>
      </c>
      <c r="Q5" s="494" t="s">
        <v>571</v>
      </c>
      <c r="R5" s="494" t="s">
        <v>572</v>
      </c>
      <c r="S5" s="494" t="s">
        <v>573</v>
      </c>
      <c r="T5" s="494" t="s">
        <v>574</v>
      </c>
      <c r="U5" s="494" t="s">
        <v>575</v>
      </c>
      <c r="V5" s="237" t="s">
        <v>13</v>
      </c>
      <c r="W5" s="237" t="s">
        <v>14</v>
      </c>
      <c r="X5" s="237" t="s">
        <v>15</v>
      </c>
      <c r="Y5" s="237" t="s">
        <v>185</v>
      </c>
      <c r="Z5" s="237" t="s">
        <v>385</v>
      </c>
      <c r="AA5" s="237" t="s">
        <v>67</v>
      </c>
      <c r="AB5" s="263" t="s">
        <v>207</v>
      </c>
      <c r="AC5" s="237" t="s">
        <v>16</v>
      </c>
      <c r="AD5" s="568" t="s">
        <v>905</v>
      </c>
      <c r="AE5" s="568" t="s">
        <v>906</v>
      </c>
      <c r="AF5" s="568" t="s">
        <v>907</v>
      </c>
      <c r="AG5" s="568" t="s">
        <v>908</v>
      </c>
      <c r="AH5" s="568" t="s">
        <v>909</v>
      </c>
      <c r="AI5" s="568" t="s">
        <v>910</v>
      </c>
      <c r="AJ5" s="568" t="s">
        <v>911</v>
      </c>
      <c r="AK5" s="568" t="s">
        <v>912</v>
      </c>
      <c r="AL5" s="568" t="s">
        <v>913</v>
      </c>
      <c r="AM5" s="568" t="s">
        <v>914</v>
      </c>
      <c r="AN5" s="568" t="s">
        <v>915</v>
      </c>
      <c r="AO5" s="494" t="s">
        <v>13</v>
      </c>
      <c r="AP5" s="494" t="s">
        <v>14</v>
      </c>
      <c r="AQ5" s="494" t="s">
        <v>15</v>
      </c>
      <c r="AR5" s="494" t="s">
        <v>185</v>
      </c>
      <c r="AS5" s="494" t="s">
        <v>385</v>
      </c>
      <c r="AT5" s="494" t="s">
        <v>67</v>
      </c>
      <c r="AU5" s="568" t="s">
        <v>947</v>
      </c>
      <c r="AV5" s="568" t="s">
        <v>917</v>
      </c>
      <c r="AW5" s="568" t="s">
        <v>918</v>
      </c>
      <c r="AX5" s="568" t="s">
        <v>919</v>
      </c>
      <c r="AY5" s="568" t="s">
        <v>13</v>
      </c>
      <c r="AZ5" s="568" t="s">
        <v>14</v>
      </c>
      <c r="BA5" s="568" t="s">
        <v>15</v>
      </c>
      <c r="BB5" s="568" t="s">
        <v>185</v>
      </c>
      <c r="BC5" s="568" t="s">
        <v>385</v>
      </c>
      <c r="BD5" s="568" t="s">
        <v>67</v>
      </c>
      <c r="BE5" s="494" t="s">
        <v>1355</v>
      </c>
      <c r="BF5" s="494" t="s">
        <v>1350</v>
      </c>
      <c r="BG5" s="568" t="s">
        <v>13</v>
      </c>
      <c r="BH5" s="568" t="s">
        <v>14</v>
      </c>
      <c r="BI5" s="568" t="s">
        <v>15</v>
      </c>
      <c r="BJ5" s="568" t="s">
        <v>185</v>
      </c>
      <c r="BK5" s="568" t="s">
        <v>385</v>
      </c>
      <c r="BL5" s="568" t="s">
        <v>67</v>
      </c>
      <c r="BM5" s="427"/>
    </row>
    <row r="6" spans="1:69" s="225" customFormat="1" ht="30" customHeight="1">
      <c r="A6" s="213">
        <v>1</v>
      </c>
      <c r="B6" s="213">
        <v>1519</v>
      </c>
      <c r="C6" s="213" t="s">
        <v>66</v>
      </c>
      <c r="D6" s="257">
        <v>8493000</v>
      </c>
      <c r="E6" s="257">
        <v>8493000</v>
      </c>
      <c r="F6" s="257">
        <f>D6-E6</f>
        <v>0</v>
      </c>
      <c r="G6" s="257">
        <v>4687282</v>
      </c>
      <c r="H6" s="257">
        <v>4687145</v>
      </c>
      <c r="I6" s="257">
        <v>0</v>
      </c>
      <c r="J6" s="257">
        <v>0</v>
      </c>
      <c r="K6" s="257">
        <f>SUM(I6:J6)</f>
        <v>0</v>
      </c>
      <c r="L6" s="257">
        <f t="shared" ref="L6:L12" si="0">H6+K6</f>
        <v>4687145</v>
      </c>
      <c r="M6" s="257">
        <f>P6+S6</f>
        <v>137</v>
      </c>
      <c r="N6" s="257">
        <f>1000000+125000</f>
        <v>1125000</v>
      </c>
      <c r="O6" s="257">
        <f>D6-L6-M6-N6</f>
        <v>2680718</v>
      </c>
      <c r="P6" s="257">
        <f t="shared" ref="P6:P12" si="1">G6-L6</f>
        <v>137</v>
      </c>
      <c r="Q6" s="257"/>
      <c r="R6" s="257"/>
      <c r="S6" s="257">
        <f t="shared" ref="S6:S12" si="2">SUM(Q6:R6)</f>
        <v>0</v>
      </c>
      <c r="T6" s="257">
        <f t="shared" ref="T6:T12" si="3">P6-M6+S6</f>
        <v>0</v>
      </c>
      <c r="U6" s="577">
        <f>N6-T6</f>
        <v>1125000</v>
      </c>
      <c r="V6" s="257">
        <f>U6-AA6</f>
        <v>779247</v>
      </c>
      <c r="W6" s="257"/>
      <c r="X6" s="257"/>
      <c r="Y6" s="257"/>
      <c r="Z6" s="257"/>
      <c r="AA6" s="257">
        <v>345753</v>
      </c>
      <c r="AB6" s="213" t="s">
        <v>1195</v>
      </c>
      <c r="AC6" s="213">
        <v>732000</v>
      </c>
      <c r="AD6" s="257"/>
      <c r="AE6" s="257">
        <v>360000</v>
      </c>
      <c r="AF6" s="257"/>
      <c r="AG6" s="257"/>
      <c r="AH6" s="257"/>
      <c r="AJ6" s="257">
        <f t="shared" ref="AJ6:AJ15" si="4">SUM(AD6:AI6)+AL6</f>
        <v>360000</v>
      </c>
      <c r="AK6" s="257">
        <f>U6-AJ6</f>
        <v>765000</v>
      </c>
      <c r="AL6" s="257"/>
      <c r="AM6" s="236"/>
      <c r="AN6" s="257">
        <f t="shared" ref="AN6:AN15" si="5">AK6+AM6</f>
        <v>765000</v>
      </c>
      <c r="AO6" s="257">
        <f>AN6-AP6-AQ6-AR6-AS6-AT6</f>
        <v>419247</v>
      </c>
      <c r="AP6" s="257"/>
      <c r="AQ6" s="494"/>
      <c r="AR6" s="494"/>
      <c r="AS6" s="494"/>
      <c r="AT6" s="257">
        <v>345753</v>
      </c>
      <c r="AU6" s="257"/>
      <c r="AV6" s="257"/>
      <c r="AW6" s="257">
        <v>345753</v>
      </c>
      <c r="AX6" s="495">
        <f>AN6-AW6</f>
        <v>419247</v>
      </c>
      <c r="AY6" s="495">
        <f>AX6-AZ6-BA6-BB6-BC6-BD6</f>
        <v>419247</v>
      </c>
      <c r="AZ6" s="257"/>
      <c r="BA6" s="257"/>
      <c r="BB6" s="257"/>
      <c r="BC6" s="257"/>
      <c r="BD6" s="257"/>
      <c r="BE6" s="257">
        <f>AX6+AJ6</f>
        <v>779247</v>
      </c>
      <c r="BF6" s="257">
        <f>U6-BE6</f>
        <v>345753</v>
      </c>
      <c r="BG6" s="257">
        <f>BE6-BL6</f>
        <v>779247</v>
      </c>
      <c r="BH6" s="257"/>
      <c r="BI6" s="257"/>
      <c r="BJ6" s="257"/>
      <c r="BK6" s="257"/>
      <c r="BL6" s="257"/>
      <c r="BM6" s="427"/>
    </row>
    <row r="7" spans="1:69" s="578" customFormat="1" ht="30" customHeight="1">
      <c r="A7" s="213">
        <f t="shared" ref="A7:A15" si="6">A6+1</f>
        <v>2</v>
      </c>
      <c r="B7" s="213">
        <v>1867</v>
      </c>
      <c r="C7" s="213" t="s">
        <v>1196</v>
      </c>
      <c r="D7" s="257">
        <f>570000-200869</f>
        <v>369131</v>
      </c>
      <c r="E7" s="257">
        <v>570000</v>
      </c>
      <c r="F7" s="257">
        <f>D7-E7</f>
        <v>-200869</v>
      </c>
      <c r="G7" s="257">
        <v>570000</v>
      </c>
      <c r="H7" s="257">
        <v>369131</v>
      </c>
      <c r="I7" s="257">
        <v>0</v>
      </c>
      <c r="J7" s="257">
        <v>0</v>
      </c>
      <c r="K7" s="257">
        <f>SUM(I7:J7)</f>
        <v>0</v>
      </c>
      <c r="L7" s="257">
        <f t="shared" si="0"/>
        <v>369131</v>
      </c>
      <c r="M7" s="257">
        <f>P7+S7-200869</f>
        <v>0</v>
      </c>
      <c r="N7" s="257"/>
      <c r="O7" s="257">
        <f>D7-L7-M7-N7</f>
        <v>0</v>
      </c>
      <c r="P7" s="257">
        <f t="shared" si="1"/>
        <v>200869</v>
      </c>
      <c r="Q7" s="257"/>
      <c r="R7" s="257"/>
      <c r="S7" s="257">
        <f t="shared" si="2"/>
        <v>0</v>
      </c>
      <c r="T7" s="257">
        <f t="shared" si="3"/>
        <v>200869</v>
      </c>
      <c r="U7" s="577">
        <f>N7-T7</f>
        <v>-200869</v>
      </c>
      <c r="V7" s="257">
        <f>U7-AA7</f>
        <v>-200869</v>
      </c>
      <c r="W7" s="257"/>
      <c r="X7" s="257"/>
      <c r="Y7" s="257"/>
      <c r="Z7" s="257"/>
      <c r="AA7" s="257"/>
      <c r="AB7" s="213" t="s">
        <v>1039</v>
      </c>
      <c r="AC7" s="213">
        <v>732000</v>
      </c>
      <c r="AD7" s="257">
        <v>-200869</v>
      </c>
      <c r="AE7" s="257"/>
      <c r="AF7" s="257"/>
      <c r="AG7" s="257"/>
      <c r="AH7" s="257"/>
      <c r="AI7" s="257"/>
      <c r="AJ7" s="257">
        <f t="shared" si="4"/>
        <v>-200869</v>
      </c>
      <c r="AK7" s="257">
        <f t="shared" ref="AK7:AK15" si="7">U7-AJ7</f>
        <v>0</v>
      </c>
      <c r="AL7" s="257"/>
      <c r="AM7" s="236"/>
      <c r="AN7" s="257">
        <f t="shared" si="5"/>
        <v>0</v>
      </c>
      <c r="AO7" s="257">
        <f t="shared" ref="AO7:AO15" si="8">AN7-AP7-AQ7-AR7-AS7-AT7</f>
        <v>0</v>
      </c>
      <c r="AP7" s="257"/>
      <c r="AQ7" s="257"/>
      <c r="AR7" s="257"/>
      <c r="AS7" s="257"/>
      <c r="AT7" s="257"/>
      <c r="AU7" s="257"/>
      <c r="AV7" s="257"/>
      <c r="AW7" s="257"/>
      <c r="AX7" s="495">
        <f t="shared" ref="AX7:AX15" si="9">AN7-AW7</f>
        <v>0</v>
      </c>
      <c r="AY7" s="495">
        <f t="shared" ref="AY7:AY15" si="10">AX7-AZ7-BA7-BB7-BC7-BD7</f>
        <v>0</v>
      </c>
      <c r="AZ7" s="257"/>
      <c r="BA7" s="257"/>
      <c r="BB7" s="257"/>
      <c r="BC7" s="257"/>
      <c r="BD7" s="257"/>
      <c r="BE7" s="257">
        <f t="shared" ref="BE7:BE15" si="11">AX7+AJ7</f>
        <v>-200869</v>
      </c>
      <c r="BF7" s="257">
        <f t="shared" ref="BF7:BF15" si="12">U7-BE7</f>
        <v>0</v>
      </c>
      <c r="BG7" s="257">
        <f t="shared" ref="BG7:BG15" si="13">BE7-BL7</f>
        <v>-200869</v>
      </c>
      <c r="BH7" s="257"/>
      <c r="BI7" s="257"/>
      <c r="BJ7" s="257"/>
      <c r="BK7" s="257"/>
      <c r="BL7" s="257"/>
      <c r="BM7" s="427"/>
    </row>
    <row r="8" spans="1:69" s="499" customFormat="1" ht="30" customHeight="1">
      <c r="A8" s="213">
        <f t="shared" si="6"/>
        <v>3</v>
      </c>
      <c r="B8" s="19">
        <v>20080</v>
      </c>
      <c r="C8" s="496" t="s">
        <v>565</v>
      </c>
      <c r="D8" s="257">
        <v>8000000</v>
      </c>
      <c r="E8" s="257">
        <v>8000000</v>
      </c>
      <c r="F8" s="257">
        <f>D8-E8</f>
        <v>0</v>
      </c>
      <c r="G8" s="257">
        <v>50000</v>
      </c>
      <c r="H8" s="257">
        <v>4981</v>
      </c>
      <c r="I8" s="257"/>
      <c r="J8" s="257"/>
      <c r="K8" s="257">
        <f>I8+J8</f>
        <v>0</v>
      </c>
      <c r="L8" s="257">
        <f t="shared" si="0"/>
        <v>4981</v>
      </c>
      <c r="M8" s="257">
        <f>P8+S8-45000</f>
        <v>19</v>
      </c>
      <c r="N8" s="257">
        <f>300000-150000+45000</f>
        <v>195000</v>
      </c>
      <c r="O8" s="257">
        <f>D8-L8-M8-N8</f>
        <v>7800000</v>
      </c>
      <c r="P8" s="257">
        <f t="shared" si="1"/>
        <v>45019</v>
      </c>
      <c r="Q8" s="257"/>
      <c r="R8" s="257"/>
      <c r="S8" s="257">
        <f>SUM(Q8:R8)</f>
        <v>0</v>
      </c>
      <c r="T8" s="257">
        <f t="shared" si="3"/>
        <v>45000</v>
      </c>
      <c r="U8" s="257">
        <f>N8-T8</f>
        <v>150000</v>
      </c>
      <c r="V8" s="257">
        <f>U8-W8-Z8-AA8</f>
        <v>150000</v>
      </c>
      <c r="W8" s="257"/>
      <c r="X8" s="257"/>
      <c r="Y8" s="257"/>
      <c r="Z8" s="257"/>
      <c r="AA8" s="257"/>
      <c r="AB8" s="496" t="s">
        <v>567</v>
      </c>
      <c r="AC8" s="19">
        <v>742000</v>
      </c>
      <c r="AD8" s="257"/>
      <c r="AE8" s="257">
        <v>150000</v>
      </c>
      <c r="AF8" s="257"/>
      <c r="AG8" s="257"/>
      <c r="AH8" s="257"/>
      <c r="AI8" s="257"/>
      <c r="AJ8" s="257">
        <f t="shared" si="4"/>
        <v>150000</v>
      </c>
      <c r="AK8" s="257">
        <f t="shared" si="7"/>
        <v>0</v>
      </c>
      <c r="AL8" s="257"/>
      <c r="AM8" s="236"/>
      <c r="AN8" s="257">
        <f t="shared" si="5"/>
        <v>0</v>
      </c>
      <c r="AO8" s="257">
        <f t="shared" si="8"/>
        <v>0</v>
      </c>
      <c r="AP8" s="257"/>
      <c r="AQ8" s="257"/>
      <c r="AR8" s="257"/>
      <c r="AS8" s="257"/>
      <c r="AT8" s="257"/>
      <c r="AU8" s="257">
        <v>550000</v>
      </c>
      <c r="AV8" s="257"/>
      <c r="AW8" s="257"/>
      <c r="AX8" s="495">
        <f t="shared" si="9"/>
        <v>0</v>
      </c>
      <c r="AY8" s="495">
        <f t="shared" si="10"/>
        <v>0</v>
      </c>
      <c r="AZ8" s="257"/>
      <c r="BA8" s="257"/>
      <c r="BB8" s="257"/>
      <c r="BC8" s="257"/>
      <c r="BD8" s="257"/>
      <c r="BE8" s="257">
        <f t="shared" si="11"/>
        <v>150000</v>
      </c>
      <c r="BF8" s="257">
        <f t="shared" si="12"/>
        <v>0</v>
      </c>
      <c r="BG8" s="257">
        <f t="shared" si="13"/>
        <v>150000</v>
      </c>
      <c r="BH8" s="257"/>
      <c r="BI8" s="257"/>
      <c r="BJ8" s="257"/>
      <c r="BK8" s="257"/>
      <c r="BL8" s="257"/>
      <c r="BM8" s="427"/>
    </row>
    <row r="9" spans="1:69" s="499" customFormat="1" ht="30" customHeight="1">
      <c r="A9" s="213">
        <f t="shared" si="6"/>
        <v>4</v>
      </c>
      <c r="B9" s="19">
        <v>20127</v>
      </c>
      <c r="C9" s="207" t="s">
        <v>1470</v>
      </c>
      <c r="D9" s="257">
        <v>11200000</v>
      </c>
      <c r="E9" s="257"/>
      <c r="F9" s="257">
        <f t="shared" ref="F9:F15" si="14">D9-E9</f>
        <v>11200000</v>
      </c>
      <c r="G9" s="257">
        <v>0</v>
      </c>
      <c r="H9" s="257"/>
      <c r="I9" s="257"/>
      <c r="J9" s="257"/>
      <c r="K9" s="257">
        <f>I9+J9</f>
        <v>0</v>
      </c>
      <c r="L9" s="257">
        <f t="shared" si="0"/>
        <v>0</v>
      </c>
      <c r="M9" s="257">
        <f>P9+S9</f>
        <v>0</v>
      </c>
      <c r="N9" s="257">
        <f>11200000-8700000-500000</f>
        <v>2000000</v>
      </c>
      <c r="O9" s="257">
        <f t="shared" ref="O9:O15" si="15">D9-L9-M9-N9</f>
        <v>9200000</v>
      </c>
      <c r="P9" s="257">
        <f t="shared" si="1"/>
        <v>0</v>
      </c>
      <c r="Q9" s="257"/>
      <c r="R9" s="257"/>
      <c r="S9" s="257">
        <f t="shared" si="2"/>
        <v>0</v>
      </c>
      <c r="T9" s="257">
        <f t="shared" si="3"/>
        <v>0</v>
      </c>
      <c r="U9" s="257">
        <f t="shared" ref="U9:U15" si="16">N9-T9</f>
        <v>2000000</v>
      </c>
      <c r="V9" s="257">
        <f t="shared" ref="V9:V15" si="17">U9-W9-Z9-AA9</f>
        <v>2000000</v>
      </c>
      <c r="W9" s="257"/>
      <c r="X9" s="257"/>
      <c r="Y9" s="257"/>
      <c r="Z9" s="257"/>
      <c r="AA9" s="257"/>
      <c r="AB9" s="19" t="s">
        <v>712</v>
      </c>
      <c r="AC9" s="19">
        <v>930000</v>
      </c>
      <c r="AD9" s="257"/>
      <c r="AE9" s="257"/>
      <c r="AF9" s="257"/>
      <c r="AG9" s="257"/>
      <c r="AH9" s="257"/>
      <c r="AI9" s="257"/>
      <c r="AJ9" s="257">
        <f t="shared" si="4"/>
        <v>0</v>
      </c>
      <c r="AK9" s="236">
        <f t="shared" si="7"/>
        <v>2000000</v>
      </c>
      <c r="AL9" s="257"/>
      <c r="AM9" s="236">
        <v>-2000000</v>
      </c>
      <c r="AN9" s="257">
        <f t="shared" si="5"/>
        <v>0</v>
      </c>
      <c r="AO9" s="257">
        <f t="shared" si="8"/>
        <v>0</v>
      </c>
      <c r="AP9" s="257"/>
      <c r="AQ9" s="257"/>
      <c r="AR9" s="257"/>
      <c r="AS9" s="257"/>
      <c r="AT9" s="257"/>
      <c r="AU9" s="257"/>
      <c r="AV9" s="257"/>
      <c r="AW9" s="257"/>
      <c r="AX9" s="495">
        <f t="shared" si="9"/>
        <v>0</v>
      </c>
      <c r="AY9" s="495">
        <f t="shared" si="10"/>
        <v>0</v>
      </c>
      <c r="AZ9" s="257"/>
      <c r="BA9" s="257"/>
      <c r="BB9" s="257"/>
      <c r="BC9" s="257"/>
      <c r="BD9" s="257"/>
      <c r="BE9" s="257">
        <f t="shared" si="11"/>
        <v>0</v>
      </c>
      <c r="BF9" s="257">
        <f t="shared" si="12"/>
        <v>2000000</v>
      </c>
      <c r="BG9" s="257">
        <f t="shared" si="13"/>
        <v>0</v>
      </c>
      <c r="BH9" s="257"/>
      <c r="BI9" s="257"/>
      <c r="BJ9" s="257"/>
      <c r="BK9" s="257"/>
      <c r="BL9" s="257"/>
      <c r="BM9" s="427"/>
    </row>
    <row r="10" spans="1:69" s="499" customFormat="1" ht="30" customHeight="1">
      <c r="A10" s="213">
        <f t="shared" si="6"/>
        <v>5</v>
      </c>
      <c r="B10" s="19">
        <v>20128</v>
      </c>
      <c r="C10" s="207" t="s">
        <v>1471</v>
      </c>
      <c r="D10" s="257">
        <v>65000000</v>
      </c>
      <c r="E10" s="257"/>
      <c r="F10" s="257">
        <f t="shared" si="14"/>
        <v>65000000</v>
      </c>
      <c r="G10" s="257">
        <v>0</v>
      </c>
      <c r="H10" s="257"/>
      <c r="I10" s="257"/>
      <c r="J10" s="257"/>
      <c r="K10" s="257">
        <f>I10+J10</f>
        <v>0</v>
      </c>
      <c r="L10" s="257">
        <f t="shared" si="0"/>
        <v>0</v>
      </c>
      <c r="M10" s="257">
        <f>P10+S10</f>
        <v>0</v>
      </c>
      <c r="N10" s="257">
        <f>10000000-7500000-500000</f>
        <v>2000000</v>
      </c>
      <c r="O10" s="257">
        <f t="shared" si="15"/>
        <v>63000000</v>
      </c>
      <c r="P10" s="257">
        <f t="shared" si="1"/>
        <v>0</v>
      </c>
      <c r="Q10" s="257"/>
      <c r="R10" s="257"/>
      <c r="S10" s="257">
        <f t="shared" si="2"/>
        <v>0</v>
      </c>
      <c r="T10" s="257">
        <f t="shared" si="3"/>
        <v>0</v>
      </c>
      <c r="U10" s="257">
        <f t="shared" si="16"/>
        <v>2000000</v>
      </c>
      <c r="V10" s="257">
        <f t="shared" si="17"/>
        <v>2000000</v>
      </c>
      <c r="W10" s="257"/>
      <c r="X10" s="257"/>
      <c r="Y10" s="257"/>
      <c r="Z10" s="257"/>
      <c r="AA10" s="257"/>
      <c r="AB10" s="19" t="s">
        <v>756</v>
      </c>
      <c r="AC10" s="19">
        <v>930000</v>
      </c>
      <c r="AD10" s="257"/>
      <c r="AE10" s="257"/>
      <c r="AF10" s="257"/>
      <c r="AG10" s="257"/>
      <c r="AH10" s="257"/>
      <c r="AI10" s="257"/>
      <c r="AJ10" s="257">
        <f t="shared" si="4"/>
        <v>0</v>
      </c>
      <c r="AK10" s="236">
        <f t="shared" si="7"/>
        <v>2000000</v>
      </c>
      <c r="AL10" s="257"/>
      <c r="AM10" s="236">
        <v>-2000000</v>
      </c>
      <c r="AN10" s="257">
        <f t="shared" si="5"/>
        <v>0</v>
      </c>
      <c r="AO10" s="257">
        <f t="shared" si="8"/>
        <v>0</v>
      </c>
      <c r="AP10" s="257"/>
      <c r="AQ10" s="257"/>
      <c r="AR10" s="257"/>
      <c r="AS10" s="257"/>
      <c r="AT10" s="257"/>
      <c r="AU10" s="257"/>
      <c r="AV10" s="257"/>
      <c r="AW10" s="257"/>
      <c r="AX10" s="495">
        <f t="shared" si="9"/>
        <v>0</v>
      </c>
      <c r="AY10" s="495">
        <f t="shared" si="10"/>
        <v>0</v>
      </c>
      <c r="AZ10" s="257"/>
      <c r="BA10" s="257"/>
      <c r="BB10" s="257"/>
      <c r="BC10" s="257"/>
      <c r="BD10" s="257"/>
      <c r="BE10" s="257">
        <f t="shared" si="11"/>
        <v>0</v>
      </c>
      <c r="BF10" s="257">
        <f t="shared" si="12"/>
        <v>2000000</v>
      </c>
      <c r="BG10" s="257">
        <f t="shared" si="13"/>
        <v>0</v>
      </c>
      <c r="BH10" s="257"/>
      <c r="BI10" s="257"/>
      <c r="BJ10" s="257"/>
      <c r="BK10" s="257"/>
      <c r="BL10" s="257"/>
      <c r="BM10" s="427"/>
    </row>
    <row r="11" spans="1:69" s="499" customFormat="1" ht="30" customHeight="1">
      <c r="A11" s="213">
        <f t="shared" si="6"/>
        <v>6</v>
      </c>
      <c r="B11" s="19">
        <v>20129</v>
      </c>
      <c r="C11" s="207" t="s">
        <v>758</v>
      </c>
      <c r="D11" s="257">
        <v>117500000</v>
      </c>
      <c r="E11" s="257"/>
      <c r="F11" s="257">
        <f t="shared" si="14"/>
        <v>117500000</v>
      </c>
      <c r="G11" s="257">
        <v>0</v>
      </c>
      <c r="H11" s="257"/>
      <c r="I11" s="257"/>
      <c r="J11" s="257"/>
      <c r="K11" s="257">
        <f>I11+J11</f>
        <v>0</v>
      </c>
      <c r="L11" s="257">
        <f t="shared" si="0"/>
        <v>0</v>
      </c>
      <c r="M11" s="257">
        <f>P11+S11</f>
        <v>0</v>
      </c>
      <c r="N11" s="257">
        <v>500000</v>
      </c>
      <c r="O11" s="257">
        <f t="shared" si="15"/>
        <v>117000000</v>
      </c>
      <c r="P11" s="257">
        <f t="shared" si="1"/>
        <v>0</v>
      </c>
      <c r="Q11" s="257"/>
      <c r="R11" s="257"/>
      <c r="S11" s="257">
        <f t="shared" si="2"/>
        <v>0</v>
      </c>
      <c r="T11" s="257">
        <f t="shared" si="3"/>
        <v>0</v>
      </c>
      <c r="U11" s="257">
        <f t="shared" si="16"/>
        <v>500000</v>
      </c>
      <c r="V11" s="257">
        <f t="shared" si="17"/>
        <v>500000</v>
      </c>
      <c r="W11" s="257"/>
      <c r="X11" s="257"/>
      <c r="Y11" s="257"/>
      <c r="Z11" s="257"/>
      <c r="AA11" s="257"/>
      <c r="AB11" s="19" t="s">
        <v>1040</v>
      </c>
      <c r="AC11" s="19">
        <v>742000</v>
      </c>
      <c r="AD11" s="257"/>
      <c r="AE11" s="257"/>
      <c r="AF11" s="257"/>
      <c r="AG11" s="257"/>
      <c r="AH11" s="257"/>
      <c r="AI11" s="257"/>
      <c r="AJ11" s="257">
        <f t="shared" si="4"/>
        <v>0</v>
      </c>
      <c r="AK11" s="257">
        <f t="shared" si="7"/>
        <v>500000</v>
      </c>
      <c r="AL11" s="257"/>
      <c r="AM11" s="236"/>
      <c r="AN11" s="257">
        <f t="shared" si="5"/>
        <v>500000</v>
      </c>
      <c r="AO11" s="257">
        <f t="shared" si="8"/>
        <v>500000</v>
      </c>
      <c r="AP11" s="257"/>
      <c r="AQ11" s="257"/>
      <c r="AR11" s="257"/>
      <c r="AS11" s="257"/>
      <c r="AT11" s="257"/>
      <c r="AU11" s="257"/>
      <c r="AV11" s="257"/>
      <c r="AW11" s="257">
        <v>500000</v>
      </c>
      <c r="AX11" s="495">
        <f t="shared" si="9"/>
        <v>0</v>
      </c>
      <c r="AY11" s="495">
        <f t="shared" si="10"/>
        <v>0</v>
      </c>
      <c r="AZ11" s="257"/>
      <c r="BA11" s="257"/>
      <c r="BB11" s="257"/>
      <c r="BC11" s="257"/>
      <c r="BD11" s="257"/>
      <c r="BE11" s="257">
        <f t="shared" si="11"/>
        <v>0</v>
      </c>
      <c r="BF11" s="257">
        <f t="shared" si="12"/>
        <v>500000</v>
      </c>
      <c r="BG11" s="257">
        <f t="shared" si="13"/>
        <v>0</v>
      </c>
      <c r="BH11" s="257"/>
      <c r="BI11" s="257"/>
      <c r="BJ11" s="257"/>
      <c r="BK11" s="257"/>
      <c r="BL11" s="257"/>
      <c r="BM11" s="427"/>
    </row>
    <row r="12" spans="1:69" s="499" customFormat="1" ht="30" customHeight="1">
      <c r="A12" s="213">
        <f t="shared" si="6"/>
        <v>7</v>
      </c>
      <c r="B12" s="19">
        <v>20130</v>
      </c>
      <c r="C12" s="207" t="s">
        <v>681</v>
      </c>
      <c r="D12" s="257">
        <v>540000</v>
      </c>
      <c r="E12" s="257"/>
      <c r="F12" s="257">
        <f t="shared" si="14"/>
        <v>540000</v>
      </c>
      <c r="G12" s="257">
        <v>0</v>
      </c>
      <c r="H12" s="257"/>
      <c r="I12" s="257"/>
      <c r="J12" s="257"/>
      <c r="K12" s="257">
        <f>I12+J12</f>
        <v>0</v>
      </c>
      <c r="L12" s="257">
        <f t="shared" si="0"/>
        <v>0</v>
      </c>
      <c r="M12" s="257">
        <f>P12+S12</f>
        <v>0</v>
      </c>
      <c r="N12" s="257">
        <v>540000</v>
      </c>
      <c r="O12" s="257">
        <f t="shared" si="15"/>
        <v>0</v>
      </c>
      <c r="P12" s="257">
        <f t="shared" si="1"/>
        <v>0</v>
      </c>
      <c r="Q12" s="257"/>
      <c r="R12" s="257"/>
      <c r="S12" s="257">
        <f t="shared" si="2"/>
        <v>0</v>
      </c>
      <c r="T12" s="257">
        <f t="shared" si="3"/>
        <v>0</v>
      </c>
      <c r="U12" s="257">
        <f t="shared" si="16"/>
        <v>540000</v>
      </c>
      <c r="V12" s="257">
        <f t="shared" si="17"/>
        <v>540000</v>
      </c>
      <c r="W12" s="257"/>
      <c r="X12" s="257"/>
      <c r="Y12" s="257"/>
      <c r="Z12" s="257"/>
      <c r="AA12" s="257"/>
      <c r="AB12" s="19" t="s">
        <v>682</v>
      </c>
      <c r="AC12" s="19">
        <v>747000</v>
      </c>
      <c r="AD12" s="257"/>
      <c r="AE12" s="257"/>
      <c r="AF12" s="257"/>
      <c r="AG12" s="257"/>
      <c r="AH12" s="257"/>
      <c r="AI12" s="257"/>
      <c r="AJ12" s="257">
        <f t="shared" si="4"/>
        <v>0</v>
      </c>
      <c r="AK12" s="257">
        <f t="shared" si="7"/>
        <v>540000</v>
      </c>
      <c r="AL12" s="257"/>
      <c r="AM12" s="236"/>
      <c r="AN12" s="257">
        <f t="shared" si="5"/>
        <v>540000</v>
      </c>
      <c r="AO12" s="257">
        <f t="shared" si="8"/>
        <v>540000</v>
      </c>
      <c r="AP12" s="257"/>
      <c r="AQ12" s="257"/>
      <c r="AR12" s="257"/>
      <c r="AS12" s="257"/>
      <c r="AT12" s="257"/>
      <c r="AU12" s="257"/>
      <c r="AV12" s="257"/>
      <c r="AW12" s="257"/>
      <c r="AX12" s="495">
        <f t="shared" si="9"/>
        <v>540000</v>
      </c>
      <c r="AY12" s="495">
        <f t="shared" si="10"/>
        <v>540000</v>
      </c>
      <c r="AZ12" s="257"/>
      <c r="BA12" s="257"/>
      <c r="BB12" s="257"/>
      <c r="BC12" s="257"/>
      <c r="BD12" s="257"/>
      <c r="BE12" s="257">
        <f t="shared" si="11"/>
        <v>540000</v>
      </c>
      <c r="BF12" s="257">
        <f t="shared" si="12"/>
        <v>0</v>
      </c>
      <c r="BG12" s="257">
        <f t="shared" si="13"/>
        <v>540000</v>
      </c>
      <c r="BH12" s="257"/>
      <c r="BI12" s="257"/>
      <c r="BJ12" s="257"/>
      <c r="BK12" s="257"/>
      <c r="BL12" s="257"/>
      <c r="BM12" s="427"/>
    </row>
    <row r="13" spans="1:69" s="499" customFormat="1" ht="30" customHeight="1">
      <c r="A13" s="213">
        <f t="shared" si="6"/>
        <v>8</v>
      </c>
      <c r="B13" s="19">
        <v>20131</v>
      </c>
      <c r="C13" s="207" t="s">
        <v>631</v>
      </c>
      <c r="D13" s="257">
        <v>1000000</v>
      </c>
      <c r="E13" s="257"/>
      <c r="F13" s="257">
        <f t="shared" si="14"/>
        <v>1000000</v>
      </c>
      <c r="G13" s="257"/>
      <c r="H13" s="257"/>
      <c r="I13" s="257"/>
      <c r="J13" s="257"/>
      <c r="K13" s="257"/>
      <c r="L13" s="257"/>
      <c r="M13" s="257"/>
      <c r="N13" s="257">
        <f>1000000-800000</f>
        <v>200000</v>
      </c>
      <c r="O13" s="257">
        <f t="shared" si="15"/>
        <v>800000</v>
      </c>
      <c r="P13" s="257"/>
      <c r="Q13" s="257"/>
      <c r="R13" s="257"/>
      <c r="S13" s="257"/>
      <c r="T13" s="257"/>
      <c r="U13" s="257">
        <f t="shared" si="16"/>
        <v>200000</v>
      </c>
      <c r="V13" s="257">
        <f t="shared" si="17"/>
        <v>200000</v>
      </c>
      <c r="W13" s="257"/>
      <c r="X13" s="257"/>
      <c r="Y13" s="257"/>
      <c r="Z13" s="257"/>
      <c r="AA13" s="257"/>
      <c r="AB13" s="19" t="s">
        <v>632</v>
      </c>
      <c r="AC13" s="19">
        <v>732000</v>
      </c>
      <c r="AD13" s="257"/>
      <c r="AE13" s="257"/>
      <c r="AF13" s="257"/>
      <c r="AG13" s="257"/>
      <c r="AH13" s="257"/>
      <c r="AI13" s="257"/>
      <c r="AJ13" s="257">
        <f t="shared" si="4"/>
        <v>0</v>
      </c>
      <c r="AK13" s="257">
        <f t="shared" si="7"/>
        <v>200000</v>
      </c>
      <c r="AL13" s="257"/>
      <c r="AM13" s="236"/>
      <c r="AN13" s="257">
        <f t="shared" si="5"/>
        <v>200000</v>
      </c>
      <c r="AO13" s="257">
        <f t="shared" si="8"/>
        <v>200000</v>
      </c>
      <c r="AP13" s="257"/>
      <c r="AQ13" s="257"/>
      <c r="AR13" s="257"/>
      <c r="AS13" s="257"/>
      <c r="AT13" s="257"/>
      <c r="AU13" s="257"/>
      <c r="AV13" s="257"/>
      <c r="AW13" s="257">
        <v>200000</v>
      </c>
      <c r="AX13" s="495">
        <f t="shared" si="9"/>
        <v>0</v>
      </c>
      <c r="AY13" s="495">
        <f t="shared" si="10"/>
        <v>0</v>
      </c>
      <c r="AZ13" s="257"/>
      <c r="BA13" s="257"/>
      <c r="BB13" s="257"/>
      <c r="BC13" s="257"/>
      <c r="BD13" s="257"/>
      <c r="BE13" s="257">
        <f t="shared" si="11"/>
        <v>0</v>
      </c>
      <c r="BF13" s="257">
        <f t="shared" si="12"/>
        <v>200000</v>
      </c>
      <c r="BG13" s="257">
        <f t="shared" si="13"/>
        <v>0</v>
      </c>
      <c r="BH13" s="257"/>
      <c r="BI13" s="257"/>
      <c r="BJ13" s="257"/>
      <c r="BK13" s="257"/>
      <c r="BL13" s="257"/>
      <c r="BM13" s="427"/>
    </row>
    <row r="14" spans="1:69" s="499" customFormat="1" ht="30" customHeight="1">
      <c r="A14" s="213">
        <f t="shared" si="6"/>
        <v>9</v>
      </c>
      <c r="B14" s="19">
        <v>20132</v>
      </c>
      <c r="C14" s="207" t="s">
        <v>31</v>
      </c>
      <c r="D14" s="257">
        <v>300000</v>
      </c>
      <c r="E14" s="257"/>
      <c r="F14" s="257">
        <f t="shared" si="14"/>
        <v>300000</v>
      </c>
      <c r="G14" s="257"/>
      <c r="H14" s="257"/>
      <c r="I14" s="257"/>
      <c r="J14" s="257"/>
      <c r="K14" s="257"/>
      <c r="L14" s="257"/>
      <c r="M14" s="257"/>
      <c r="N14" s="257">
        <f>300000-100000</f>
        <v>200000</v>
      </c>
      <c r="O14" s="257">
        <f t="shared" si="15"/>
        <v>100000</v>
      </c>
      <c r="P14" s="257"/>
      <c r="Q14" s="257"/>
      <c r="R14" s="257"/>
      <c r="S14" s="257"/>
      <c r="T14" s="257"/>
      <c r="U14" s="257">
        <f t="shared" si="16"/>
        <v>200000</v>
      </c>
      <c r="V14" s="257">
        <f t="shared" si="17"/>
        <v>200000</v>
      </c>
      <c r="W14" s="257"/>
      <c r="X14" s="257"/>
      <c r="Y14" s="257"/>
      <c r="Z14" s="257"/>
      <c r="AA14" s="257"/>
      <c r="AB14" s="19" t="s">
        <v>1041</v>
      </c>
      <c r="AC14" s="19">
        <v>732000</v>
      </c>
      <c r="AD14" s="257"/>
      <c r="AE14" s="257"/>
      <c r="AF14" s="257"/>
      <c r="AG14" s="257"/>
      <c r="AH14" s="257"/>
      <c r="AI14" s="257"/>
      <c r="AJ14" s="257">
        <f t="shared" si="4"/>
        <v>0</v>
      </c>
      <c r="AK14" s="257">
        <f t="shared" si="7"/>
        <v>200000</v>
      </c>
      <c r="AL14" s="257"/>
      <c r="AM14" s="236"/>
      <c r="AN14" s="257">
        <f t="shared" si="5"/>
        <v>200000</v>
      </c>
      <c r="AO14" s="257">
        <f t="shared" si="8"/>
        <v>200000</v>
      </c>
      <c r="AP14" s="257"/>
      <c r="AQ14" s="257"/>
      <c r="AR14" s="257"/>
      <c r="AS14" s="257"/>
      <c r="AT14" s="257"/>
      <c r="AU14" s="257"/>
      <c r="AV14" s="257"/>
      <c r="AW14" s="257"/>
      <c r="AX14" s="495">
        <f t="shared" si="9"/>
        <v>200000</v>
      </c>
      <c r="AY14" s="495">
        <f t="shared" si="10"/>
        <v>200000</v>
      </c>
      <c r="AZ14" s="257"/>
      <c r="BA14" s="257"/>
      <c r="BB14" s="257"/>
      <c r="BC14" s="257"/>
      <c r="BD14" s="257"/>
      <c r="BE14" s="257">
        <f t="shared" si="11"/>
        <v>200000</v>
      </c>
      <c r="BF14" s="257">
        <f t="shared" si="12"/>
        <v>0</v>
      </c>
      <c r="BG14" s="257">
        <f t="shared" si="13"/>
        <v>200000</v>
      </c>
      <c r="BH14" s="257"/>
      <c r="BI14" s="257"/>
      <c r="BJ14" s="257"/>
      <c r="BK14" s="257"/>
      <c r="BL14" s="257"/>
      <c r="BM14" s="427"/>
    </row>
    <row r="15" spans="1:69" s="499" customFormat="1" ht="30" customHeight="1">
      <c r="A15" s="213">
        <f t="shared" si="6"/>
        <v>10</v>
      </c>
      <c r="B15" s="19">
        <v>20133</v>
      </c>
      <c r="C15" s="207" t="s">
        <v>1472</v>
      </c>
      <c r="D15" s="257">
        <v>700000</v>
      </c>
      <c r="E15" s="257"/>
      <c r="F15" s="257">
        <f t="shared" si="14"/>
        <v>700000</v>
      </c>
      <c r="G15" s="257"/>
      <c r="H15" s="257"/>
      <c r="I15" s="257"/>
      <c r="J15" s="257"/>
      <c r="K15" s="257"/>
      <c r="L15" s="257"/>
      <c r="M15" s="257"/>
      <c r="N15" s="257">
        <f>700000-300000</f>
        <v>400000</v>
      </c>
      <c r="O15" s="257">
        <f t="shared" si="15"/>
        <v>300000</v>
      </c>
      <c r="P15" s="257"/>
      <c r="Q15" s="257"/>
      <c r="R15" s="257"/>
      <c r="S15" s="257"/>
      <c r="T15" s="257"/>
      <c r="U15" s="257">
        <f t="shared" si="16"/>
        <v>400000</v>
      </c>
      <c r="V15" s="257">
        <f t="shared" si="17"/>
        <v>400000</v>
      </c>
      <c r="W15" s="257"/>
      <c r="X15" s="257"/>
      <c r="Y15" s="257"/>
      <c r="Z15" s="257"/>
      <c r="AA15" s="257"/>
      <c r="AB15" s="19" t="s">
        <v>754</v>
      </c>
      <c r="AC15" s="19">
        <v>870000</v>
      </c>
      <c r="AD15" s="257"/>
      <c r="AE15" s="257"/>
      <c r="AF15" s="257"/>
      <c r="AG15" s="257"/>
      <c r="AH15" s="257"/>
      <c r="AI15" s="257"/>
      <c r="AJ15" s="257">
        <f t="shared" si="4"/>
        <v>0</v>
      </c>
      <c r="AK15" s="257">
        <f t="shared" si="7"/>
        <v>400000</v>
      </c>
      <c r="AL15" s="257"/>
      <c r="AM15" s="236"/>
      <c r="AN15" s="257">
        <f t="shared" si="5"/>
        <v>400000</v>
      </c>
      <c r="AO15" s="257">
        <f t="shared" si="8"/>
        <v>400000</v>
      </c>
      <c r="AP15" s="257"/>
      <c r="AQ15" s="257"/>
      <c r="AR15" s="257"/>
      <c r="AS15" s="257"/>
      <c r="AT15" s="257"/>
      <c r="AU15" s="257"/>
      <c r="AV15" s="257"/>
      <c r="AW15" s="257">
        <v>400000</v>
      </c>
      <c r="AX15" s="495">
        <f t="shared" si="9"/>
        <v>0</v>
      </c>
      <c r="AY15" s="495">
        <f t="shared" si="10"/>
        <v>0</v>
      </c>
      <c r="AZ15" s="257"/>
      <c r="BA15" s="257"/>
      <c r="BB15" s="257"/>
      <c r="BC15" s="257"/>
      <c r="BD15" s="257"/>
      <c r="BE15" s="257">
        <f t="shared" si="11"/>
        <v>0</v>
      </c>
      <c r="BF15" s="257">
        <f t="shared" si="12"/>
        <v>400000</v>
      </c>
      <c r="BG15" s="257">
        <f t="shared" si="13"/>
        <v>0</v>
      </c>
      <c r="BH15" s="257"/>
      <c r="BI15" s="257"/>
      <c r="BJ15" s="257"/>
      <c r="BK15" s="257"/>
      <c r="BL15" s="257"/>
      <c r="BM15" s="427"/>
    </row>
    <row r="16" spans="1:69" s="40" customFormat="1" ht="30" customHeight="1">
      <c r="A16" s="236">
        <f>COUNT(A6:A15)</f>
        <v>10</v>
      </c>
      <c r="B16" s="20"/>
      <c r="C16" s="208" t="s">
        <v>638</v>
      </c>
      <c r="D16" s="236">
        <f t="shared" ref="D16:BL16" si="18">SUM(D6:D15)</f>
        <v>213102131</v>
      </c>
      <c r="E16" s="236">
        <f t="shared" si="18"/>
        <v>17063000</v>
      </c>
      <c r="F16" s="236">
        <f t="shared" si="18"/>
        <v>196039131</v>
      </c>
      <c r="G16" s="236">
        <f t="shared" si="18"/>
        <v>5307282</v>
      </c>
      <c r="H16" s="236">
        <f t="shared" si="18"/>
        <v>5061257</v>
      </c>
      <c r="I16" s="236">
        <f t="shared" si="18"/>
        <v>0</v>
      </c>
      <c r="J16" s="236">
        <f t="shared" si="18"/>
        <v>0</v>
      </c>
      <c r="K16" s="236">
        <f t="shared" si="18"/>
        <v>0</v>
      </c>
      <c r="L16" s="236">
        <f t="shared" si="18"/>
        <v>5061257</v>
      </c>
      <c r="M16" s="236">
        <f t="shared" si="18"/>
        <v>156</v>
      </c>
      <c r="N16" s="236">
        <f t="shared" si="18"/>
        <v>7160000</v>
      </c>
      <c r="O16" s="236">
        <f t="shared" si="18"/>
        <v>200880718</v>
      </c>
      <c r="P16" s="236">
        <f t="shared" si="18"/>
        <v>246025</v>
      </c>
      <c r="Q16" s="236">
        <f t="shared" si="18"/>
        <v>0</v>
      </c>
      <c r="R16" s="236">
        <f t="shared" si="18"/>
        <v>0</v>
      </c>
      <c r="S16" s="236">
        <f t="shared" si="18"/>
        <v>0</v>
      </c>
      <c r="T16" s="236">
        <f t="shared" si="18"/>
        <v>245869</v>
      </c>
      <c r="U16" s="236">
        <f t="shared" si="18"/>
        <v>6914131</v>
      </c>
      <c r="V16" s="236">
        <f t="shared" si="18"/>
        <v>6568378</v>
      </c>
      <c r="W16" s="236">
        <f t="shared" si="18"/>
        <v>0</v>
      </c>
      <c r="X16" s="236">
        <f t="shared" si="18"/>
        <v>0</v>
      </c>
      <c r="Y16" s="236">
        <f t="shared" si="18"/>
        <v>0</v>
      </c>
      <c r="Z16" s="236">
        <f t="shared" si="18"/>
        <v>0</v>
      </c>
      <c r="AA16" s="236">
        <f t="shared" si="18"/>
        <v>345753</v>
      </c>
      <c r="AB16" s="236">
        <f t="shared" si="18"/>
        <v>0</v>
      </c>
      <c r="AC16" s="236">
        <f t="shared" si="18"/>
        <v>7889000</v>
      </c>
      <c r="AD16" s="236">
        <f t="shared" si="18"/>
        <v>-200869</v>
      </c>
      <c r="AE16" s="236">
        <f t="shared" si="18"/>
        <v>510000</v>
      </c>
      <c r="AF16" s="236">
        <f>SUM(AF6:AF15)</f>
        <v>0</v>
      </c>
      <c r="AG16" s="236">
        <f>SUM(AG6:AG15)</f>
        <v>0</v>
      </c>
      <c r="AH16" s="236">
        <f>SUM(AH6:AH15)</f>
        <v>0</v>
      </c>
      <c r="AI16" s="236">
        <f>SUM(AI6:AI15)</f>
        <v>0</v>
      </c>
      <c r="AJ16" s="236">
        <f t="shared" si="18"/>
        <v>309131</v>
      </c>
      <c r="AK16" s="236">
        <f t="shared" si="18"/>
        <v>6605000</v>
      </c>
      <c r="AL16" s="236">
        <f t="shared" si="18"/>
        <v>0</v>
      </c>
      <c r="AM16" s="236">
        <f t="shared" si="18"/>
        <v>-4000000</v>
      </c>
      <c r="AN16" s="236">
        <f t="shared" si="18"/>
        <v>2605000</v>
      </c>
      <c r="AO16" s="236">
        <f t="shared" si="18"/>
        <v>2259247</v>
      </c>
      <c r="AP16" s="236">
        <f t="shared" si="18"/>
        <v>0</v>
      </c>
      <c r="AQ16" s="236">
        <f t="shared" si="18"/>
        <v>0</v>
      </c>
      <c r="AR16" s="236">
        <f t="shared" si="18"/>
        <v>0</v>
      </c>
      <c r="AS16" s="236">
        <f t="shared" si="18"/>
        <v>0</v>
      </c>
      <c r="AT16" s="236">
        <f t="shared" si="18"/>
        <v>345753</v>
      </c>
      <c r="AU16" s="236">
        <f t="shared" si="18"/>
        <v>550000</v>
      </c>
      <c r="AV16" s="236"/>
      <c r="AW16" s="236">
        <f t="shared" si="18"/>
        <v>1445753</v>
      </c>
      <c r="AX16" s="236">
        <f t="shared" si="18"/>
        <v>1159247</v>
      </c>
      <c r="AY16" s="236">
        <f t="shared" si="18"/>
        <v>1159247</v>
      </c>
      <c r="AZ16" s="236">
        <f t="shared" si="18"/>
        <v>0</v>
      </c>
      <c r="BA16" s="236">
        <f t="shared" si="18"/>
        <v>0</v>
      </c>
      <c r="BB16" s="236">
        <f t="shared" si="18"/>
        <v>0</v>
      </c>
      <c r="BC16" s="236">
        <f t="shared" si="18"/>
        <v>0</v>
      </c>
      <c r="BD16" s="236">
        <f t="shared" si="18"/>
        <v>0</v>
      </c>
      <c r="BE16" s="236">
        <f t="shared" si="18"/>
        <v>1468378</v>
      </c>
      <c r="BF16" s="236">
        <f t="shared" si="18"/>
        <v>5445753</v>
      </c>
      <c r="BG16" s="236">
        <f t="shared" si="18"/>
        <v>1468378</v>
      </c>
      <c r="BH16" s="236">
        <f t="shared" si="18"/>
        <v>0</v>
      </c>
      <c r="BI16" s="236">
        <f t="shared" si="18"/>
        <v>0</v>
      </c>
      <c r="BJ16" s="236">
        <f t="shared" si="18"/>
        <v>0</v>
      </c>
      <c r="BK16" s="236">
        <f t="shared" si="18"/>
        <v>0</v>
      </c>
      <c r="BL16" s="236">
        <f t="shared" si="18"/>
        <v>0</v>
      </c>
      <c r="BM16" s="427"/>
    </row>
    <row r="17" spans="1:50" ht="18.75" hidden="1" customHeight="1">
      <c r="D17" s="579">
        <f>SUM(L16:O16)</f>
        <v>213102131</v>
      </c>
      <c r="F17" s="576">
        <f>D16-E16</f>
        <v>196039131</v>
      </c>
      <c r="L17" s="579">
        <f>H16+K16</f>
        <v>5061257</v>
      </c>
      <c r="P17" s="579">
        <f>G16-L17</f>
        <v>246025</v>
      </c>
      <c r="T17" s="579">
        <f>P17+S17-M16</f>
        <v>245869</v>
      </c>
      <c r="U17" s="579">
        <f>N16-T17</f>
        <v>6914131</v>
      </c>
    </row>
    <row r="18" spans="1:50" ht="18.75" hidden="1" customHeight="1">
      <c r="D18" s="580">
        <f>D16-D17</f>
        <v>0</v>
      </c>
      <c r="L18" s="579">
        <f>L16-L17</f>
        <v>0</v>
      </c>
      <c r="P18" s="579">
        <f>P16-P17</f>
        <v>0</v>
      </c>
      <c r="T18" s="579">
        <f>T16-T17</f>
        <v>0</v>
      </c>
      <c r="U18" s="579">
        <f>U16-U17</f>
        <v>0</v>
      </c>
    </row>
    <row r="19" spans="1:50" ht="18.75" hidden="1" customHeight="1">
      <c r="D19" s="581"/>
      <c r="U19" s="576"/>
    </row>
    <row r="20" spans="1:50">
      <c r="A20" s="404"/>
      <c r="AM20" s="232" t="s">
        <v>814</v>
      </c>
      <c r="AX20" s="232" t="s">
        <v>814</v>
      </c>
    </row>
    <row r="21" spans="1:50">
      <c r="A21" s="404"/>
      <c r="AX21" s="559" t="s">
        <v>1042</v>
      </c>
    </row>
    <row r="126" spans="1:1">
      <c r="A126" s="559">
        <f>COUNT(A6:A125)</f>
        <v>11</v>
      </c>
    </row>
    <row r="129" spans="1:1">
      <c r="A129" s="559">
        <f>A126+1</f>
        <v>12</v>
      </c>
    </row>
    <row r="132" spans="1:1" ht="37.9" customHeight="1"/>
    <row r="135" spans="1:1" ht="70.900000000000006" customHeight="1"/>
    <row r="138" spans="1:1" ht="72" customHeight="1"/>
    <row r="140" spans="1:1" ht="43.9" customHeight="1"/>
    <row r="142" spans="1:1" ht="30" customHeight="1"/>
  </sheetData>
  <sheetProtection formatCells="0" formatColumns="0" formatRows="0" insertColumns="0" insertRows="0" insertHyperlinks="0" deleteColumns="0" deleteRows="0" sort="0" autoFilter="0" pivotTables="0"/>
  <mergeCells count="7">
    <mergeCell ref="BE4:BF4"/>
    <mergeCell ref="BG4:BL4"/>
    <mergeCell ref="AD4:AK4"/>
    <mergeCell ref="AO4:AT4"/>
    <mergeCell ref="A4:C4"/>
    <mergeCell ref="T4:U4"/>
    <mergeCell ref="V4:AA4"/>
  </mergeCells>
  <conditionalFormatting sqref="U6:U7">
    <cfRule type="cellIs" dxfId="119" priority="18" operator="equal">
      <formula>0</formula>
    </cfRule>
  </conditionalFormatting>
  <conditionalFormatting sqref="AJ5">
    <cfRule type="cellIs" dxfId="118" priority="17" operator="equal">
      <formula>0</formula>
    </cfRule>
  </conditionalFormatting>
  <conditionalFormatting sqref="AN5">
    <cfRule type="cellIs" dxfId="117" priority="15" operator="equal">
      <formula>0</formula>
    </cfRule>
  </conditionalFormatting>
  <conditionalFormatting sqref="AW5:BD5">
    <cfRule type="cellIs" dxfId="116" priority="14" operator="equal">
      <formula>0</formula>
    </cfRule>
  </conditionalFormatting>
  <conditionalFormatting sqref="BG5:BL5">
    <cfRule type="cellIs" dxfId="115" priority="13" operator="equal">
      <formula>0</formula>
    </cfRule>
  </conditionalFormatting>
  <conditionalFormatting sqref="AV5">
    <cfRule type="cellIs" dxfId="114" priority="12" operator="equal">
      <formula>0</formula>
    </cfRule>
  </conditionalFormatting>
  <conditionalFormatting sqref="BN4">
    <cfRule type="cellIs" dxfId="113" priority="1" operator="equal">
      <formula>0</formula>
    </cfRule>
  </conditionalFormatting>
  <conditionalFormatting sqref="AO4 AL4:AM4">
    <cfRule type="cellIs" dxfId="112" priority="10" operator="equal">
      <formula>0</formula>
    </cfRule>
  </conditionalFormatting>
  <conditionalFormatting sqref="AL4:AM4 AO4">
    <cfRule type="cellIs" dxfId="111" priority="9" operator="equal">
      <formula>0</formula>
    </cfRule>
  </conditionalFormatting>
  <conditionalFormatting sqref="BM4:BO4">
    <cfRule type="cellIs" dxfId="110" priority="8" operator="equal">
      <formula>0</formula>
    </cfRule>
  </conditionalFormatting>
  <conditionalFormatting sqref="BM4:BO4">
    <cfRule type="cellIs" dxfId="109" priority="7" operator="equal">
      <formula>0</formula>
    </cfRule>
  </conditionalFormatting>
  <conditionalFormatting sqref="BM4:BO4">
    <cfRule type="cellIs" dxfId="108" priority="6" operator="equal">
      <formula>0</formula>
    </cfRule>
  </conditionalFormatting>
  <conditionalFormatting sqref="BM4:BO4">
    <cfRule type="cellIs" dxfId="107" priority="4" operator="equal">
      <formula>0</formula>
    </cfRule>
  </conditionalFormatting>
  <conditionalFormatting sqref="BM4:BO4">
    <cfRule type="cellIs" dxfId="106" priority="5" operator="equal">
      <formula>0</formula>
    </cfRule>
  </conditionalFormatting>
  <conditionalFormatting sqref="BQ4">
    <cfRule type="cellIs" dxfId="105" priority="3" operator="equal">
      <formula>0</formula>
    </cfRule>
  </conditionalFormatting>
  <conditionalFormatting sqref="BN4">
    <cfRule type="cellIs" dxfId="104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69FC-4D3B-4BCF-8F8D-E57FAEE00F48}">
  <dimension ref="A1:BQ147"/>
  <sheetViews>
    <sheetView showZeros="0" rightToLeft="1" workbookViewId="0">
      <pane xSplit="6" ySplit="5" topLeftCell="G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28515625" defaultRowHeight="15"/>
  <cols>
    <col min="1" max="1" width="3.5703125" style="436" customWidth="1"/>
    <col min="2" max="2" width="5.7109375" style="436" customWidth="1"/>
    <col min="3" max="3" width="23.5703125" style="436" customWidth="1"/>
    <col min="4" max="4" width="11.140625" style="436" hidden="1" customWidth="1"/>
    <col min="5" max="6" width="10.140625" style="436" hidden="1" customWidth="1"/>
    <col min="7" max="7" width="14" style="436" hidden="1" customWidth="1"/>
    <col min="8" max="8" width="13" style="436" hidden="1" customWidth="1"/>
    <col min="9" max="9" width="9.140625" style="436" hidden="1" customWidth="1"/>
    <col min="10" max="10" width="10.5703125" style="436" hidden="1" customWidth="1"/>
    <col min="11" max="11" width="10" style="436" hidden="1" customWidth="1"/>
    <col min="12" max="12" width="10.42578125" style="436" hidden="1" customWidth="1"/>
    <col min="13" max="13" width="8.28515625" style="436" hidden="1" customWidth="1"/>
    <col min="14" max="14" width="9.7109375" style="436" hidden="1" customWidth="1"/>
    <col min="15" max="15" width="10.28515625" style="436" hidden="1" customWidth="1"/>
    <col min="16" max="16" width="12.140625" style="436" hidden="1" customWidth="1"/>
    <col min="17" max="19" width="9.140625" style="436" hidden="1" customWidth="1"/>
    <col min="20" max="23" width="11.7109375" style="436" customWidth="1"/>
    <col min="24" max="24" width="8.28515625" style="436" hidden="1" customWidth="1"/>
    <col min="25" max="25" width="10.42578125" style="436" customWidth="1"/>
    <col min="26" max="26" width="8.28515625" style="436" hidden="1" customWidth="1"/>
    <col min="27" max="27" width="11.7109375" style="436" customWidth="1"/>
    <col min="28" max="28" width="32.42578125" style="436" hidden="1" customWidth="1"/>
    <col min="29" max="29" width="8.28515625" style="436" hidden="1" customWidth="1"/>
    <col min="30" max="30" width="9.28515625" style="551" hidden="1" customWidth="1"/>
    <col min="31" max="37" width="9.28515625" style="586" hidden="1" customWidth="1"/>
    <col min="38" max="39" width="9.28515625" style="436" hidden="1" customWidth="1"/>
    <col min="40" max="40" width="9.140625" style="436" hidden="1" customWidth="1"/>
    <col min="41" max="46" width="10.7109375" style="436" hidden="1" customWidth="1"/>
    <col min="47" max="56" width="9.28515625" style="586" hidden="1" customWidth="1"/>
    <col min="57" max="57" width="13.42578125" style="586" customWidth="1"/>
    <col min="58" max="60" width="11.7109375" style="586" customWidth="1"/>
    <col min="61" max="61" width="9.28515625" style="586" hidden="1" customWidth="1"/>
    <col min="62" max="62" width="10.7109375" style="586" customWidth="1"/>
    <col min="63" max="63" width="9.28515625" style="586" hidden="1" customWidth="1"/>
    <col min="64" max="64" width="11.7109375" style="586" customWidth="1"/>
    <col min="65" max="65" width="9.28515625" style="436" customWidth="1"/>
    <col min="66" max="16384" width="8.28515625" style="436"/>
  </cols>
  <sheetData>
    <row r="1" spans="1:69" ht="18.75">
      <c r="A1" s="548"/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O1" s="548"/>
      <c r="P1" s="548"/>
      <c r="Q1" s="548"/>
      <c r="R1" s="548"/>
      <c r="S1" s="548"/>
      <c r="T1" s="548"/>
      <c r="U1" s="548"/>
      <c r="V1" s="548"/>
      <c r="W1" s="548"/>
      <c r="X1" s="549"/>
      <c r="Y1" s="549"/>
      <c r="Z1" s="549"/>
      <c r="AA1" s="550"/>
      <c r="AB1" s="550"/>
      <c r="AC1" s="550"/>
    </row>
    <row r="2" spans="1:69" ht="18.75">
      <c r="A2" s="548" t="s">
        <v>1389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52"/>
      <c r="Y2" s="552"/>
      <c r="Z2" s="552"/>
      <c r="AA2" s="552"/>
      <c r="AB2" s="587"/>
      <c r="AC2" s="552"/>
    </row>
    <row r="3" spans="1:69" ht="20.100000000000001" customHeight="1">
      <c r="A3" s="548"/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  <c r="X3" s="552"/>
      <c r="Y3" s="552"/>
      <c r="Z3" s="552"/>
      <c r="AA3" s="552"/>
      <c r="AB3" s="587"/>
      <c r="AC3" s="552"/>
    </row>
    <row r="4" spans="1:69" s="10" customFormat="1" ht="20.45" customHeight="1">
      <c r="A4" s="822"/>
      <c r="B4" s="823"/>
      <c r="C4" s="82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D4" s="807" t="s">
        <v>902</v>
      </c>
      <c r="AE4" s="808"/>
      <c r="AF4" s="808"/>
      <c r="AG4" s="808"/>
      <c r="AH4" s="808"/>
      <c r="AI4" s="808"/>
      <c r="AJ4" s="808"/>
      <c r="AK4" s="809"/>
      <c r="AL4" s="573"/>
      <c r="AM4" s="573"/>
      <c r="AO4" s="807" t="s">
        <v>904</v>
      </c>
      <c r="AP4" s="808"/>
      <c r="AQ4" s="808"/>
      <c r="AR4" s="808"/>
      <c r="AS4" s="808"/>
      <c r="AT4" s="809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  <c r="BM4" s="572"/>
      <c r="BN4" s="573"/>
      <c r="BO4" s="572"/>
      <c r="BQ4" s="573"/>
    </row>
    <row r="5" spans="1:69" ht="73.5" customHeight="1">
      <c r="A5" s="122" t="s">
        <v>0</v>
      </c>
      <c r="B5" s="553" t="s">
        <v>328</v>
      </c>
      <c r="C5" s="553" t="s">
        <v>2</v>
      </c>
      <c r="D5" s="553" t="s">
        <v>494</v>
      </c>
      <c r="E5" s="553" t="s">
        <v>4</v>
      </c>
      <c r="F5" s="553" t="s">
        <v>5</v>
      </c>
      <c r="G5" s="553" t="s">
        <v>6</v>
      </c>
      <c r="H5" s="553" t="s">
        <v>7</v>
      </c>
      <c r="I5" s="553" t="s">
        <v>9</v>
      </c>
      <c r="J5" s="553" t="s">
        <v>101</v>
      </c>
      <c r="K5" s="553" t="s">
        <v>10</v>
      </c>
      <c r="L5" s="553" t="s">
        <v>11</v>
      </c>
      <c r="M5" s="553" t="s">
        <v>568</v>
      </c>
      <c r="N5" s="553" t="s">
        <v>569</v>
      </c>
      <c r="O5" s="2" t="s">
        <v>570</v>
      </c>
      <c r="P5" s="2" t="s">
        <v>12</v>
      </c>
      <c r="Q5" s="2" t="s">
        <v>571</v>
      </c>
      <c r="R5" s="2" t="s">
        <v>572</v>
      </c>
      <c r="S5" s="2" t="s">
        <v>573</v>
      </c>
      <c r="T5" s="2" t="s">
        <v>574</v>
      </c>
      <c r="U5" s="2" t="s">
        <v>575</v>
      </c>
      <c r="V5" s="553" t="s">
        <v>13</v>
      </c>
      <c r="W5" s="553" t="s">
        <v>14</v>
      </c>
      <c r="X5" s="553" t="s">
        <v>15</v>
      </c>
      <c r="Y5" s="553" t="s">
        <v>185</v>
      </c>
      <c r="Z5" s="553" t="s">
        <v>385</v>
      </c>
      <c r="AA5" s="553" t="s">
        <v>67</v>
      </c>
      <c r="AB5" s="554" t="s">
        <v>207</v>
      </c>
      <c r="AC5" s="553" t="s">
        <v>16</v>
      </c>
      <c r="AD5" s="518" t="s">
        <v>905</v>
      </c>
      <c r="AE5" s="518" t="s">
        <v>906</v>
      </c>
      <c r="AF5" s="518" t="s">
        <v>907</v>
      </c>
      <c r="AG5" s="518" t="s">
        <v>908</v>
      </c>
      <c r="AH5" s="518" t="s">
        <v>909</v>
      </c>
      <c r="AI5" s="518" t="s">
        <v>910</v>
      </c>
      <c r="AJ5" s="518" t="s">
        <v>911</v>
      </c>
      <c r="AK5" s="518" t="s">
        <v>912</v>
      </c>
      <c r="AL5" s="518" t="s">
        <v>913</v>
      </c>
      <c r="AM5" s="518" t="s">
        <v>914</v>
      </c>
      <c r="AN5" s="518" t="s">
        <v>915</v>
      </c>
      <c r="AO5" s="2" t="s">
        <v>13</v>
      </c>
      <c r="AP5" s="2" t="s">
        <v>14</v>
      </c>
      <c r="AQ5" s="2" t="s">
        <v>15</v>
      </c>
      <c r="AR5" s="2" t="s">
        <v>185</v>
      </c>
      <c r="AS5" s="2" t="s">
        <v>385</v>
      </c>
      <c r="AT5" s="2" t="s">
        <v>67</v>
      </c>
      <c r="AU5" s="494" t="s">
        <v>916</v>
      </c>
      <c r="AV5" s="2" t="s">
        <v>917</v>
      </c>
      <c r="AW5" s="518" t="s">
        <v>918</v>
      </c>
      <c r="AX5" s="518" t="s">
        <v>919</v>
      </c>
      <c r="AY5" s="518" t="s">
        <v>13</v>
      </c>
      <c r="AZ5" s="518" t="s">
        <v>14</v>
      </c>
      <c r="BA5" s="518" t="s">
        <v>15</v>
      </c>
      <c r="BB5" s="518" t="s">
        <v>185</v>
      </c>
      <c r="BC5" s="518" t="s">
        <v>385</v>
      </c>
      <c r="BD5" s="518" t="s">
        <v>67</v>
      </c>
      <c r="BE5" s="494" t="s">
        <v>1355</v>
      </c>
      <c r="BF5" s="494" t="s">
        <v>1350</v>
      </c>
      <c r="BG5" s="518" t="s">
        <v>13</v>
      </c>
      <c r="BH5" s="518" t="s">
        <v>14</v>
      </c>
      <c r="BI5" s="518" t="s">
        <v>15</v>
      </c>
      <c r="BJ5" s="518" t="s">
        <v>185</v>
      </c>
      <c r="BK5" s="518" t="s">
        <v>385</v>
      </c>
      <c r="BL5" s="518" t="s">
        <v>67</v>
      </c>
    </row>
    <row r="6" spans="1:69" ht="30" customHeight="1">
      <c r="A6" s="555">
        <v>1</v>
      </c>
      <c r="B6" s="555">
        <v>1002</v>
      </c>
      <c r="C6" s="555" t="s">
        <v>94</v>
      </c>
      <c r="D6" s="547">
        <v>3290000</v>
      </c>
      <c r="E6" s="547">
        <v>3290000</v>
      </c>
      <c r="F6" s="547">
        <f t="shared" ref="F6:F18" si="0">D6-E6</f>
        <v>0</v>
      </c>
      <c r="G6" s="547">
        <v>2310000</v>
      </c>
      <c r="H6" s="547">
        <v>2237464</v>
      </c>
      <c r="I6" s="547"/>
      <c r="J6" s="547"/>
      <c r="K6" s="547">
        <f t="shared" ref="K6:K18" si="1">I6+J6</f>
        <v>0</v>
      </c>
      <c r="L6" s="547">
        <f t="shared" ref="L6:L18" si="2">H6+K6</f>
        <v>2237464</v>
      </c>
      <c r="M6" s="547">
        <f>P6+S6-70000</f>
        <v>2536</v>
      </c>
      <c r="N6" s="547">
        <f>646000-46000</f>
        <v>600000</v>
      </c>
      <c r="O6" s="547">
        <f t="shared" ref="O6:O18" si="3">D6-L6-M6-N6</f>
        <v>450000</v>
      </c>
      <c r="P6" s="547">
        <f t="shared" ref="P6:P18" si="4">G6-L6</f>
        <v>72536</v>
      </c>
      <c r="Q6" s="547"/>
      <c r="R6" s="547"/>
      <c r="S6" s="547">
        <f t="shared" ref="S6:S18" si="5">SUM(Q6:R6)</f>
        <v>0</v>
      </c>
      <c r="T6" s="547">
        <f t="shared" ref="T6:T18" si="6">P6-M6+S6</f>
        <v>70000</v>
      </c>
      <c r="U6" s="547">
        <f t="shared" ref="U6:U18" si="7">N6-T6</f>
        <v>530000</v>
      </c>
      <c r="V6" s="547"/>
      <c r="W6" s="547">
        <f t="shared" ref="W6:W18" si="8">U6-V6-X6-Z6-AA6</f>
        <v>530000</v>
      </c>
      <c r="X6" s="547"/>
      <c r="Y6" s="547"/>
      <c r="Z6" s="547"/>
      <c r="AA6" s="555"/>
      <c r="AB6" s="555" t="s">
        <v>633</v>
      </c>
      <c r="AC6" s="555">
        <v>760000</v>
      </c>
      <c r="AD6" s="547"/>
      <c r="AE6" s="547"/>
      <c r="AF6" s="547"/>
      <c r="AG6" s="547"/>
      <c r="AH6" s="547"/>
      <c r="AI6" s="547"/>
      <c r="AJ6" s="547">
        <f t="shared" ref="AJ6:AJ19" si="9">SUM(AD6:AI6)+AL6</f>
        <v>0</v>
      </c>
      <c r="AK6" s="547">
        <f>U6-AJ6</f>
        <v>530000</v>
      </c>
      <c r="AL6" s="547"/>
      <c r="AM6" s="547"/>
      <c r="AN6" s="547">
        <f t="shared" ref="AN6:AN19" si="10">AK6+AM6</f>
        <v>530000</v>
      </c>
      <c r="AO6" s="547"/>
      <c r="AP6" s="547">
        <f>AN6-AO6-AQ6-AR6-AS6-AT6</f>
        <v>530000</v>
      </c>
      <c r="AQ6" s="547"/>
      <c r="AR6" s="547"/>
      <c r="AS6" s="547"/>
      <c r="AT6" s="547"/>
      <c r="AU6" s="547"/>
      <c r="AV6" s="547"/>
      <c r="AW6" s="547">
        <v>530000</v>
      </c>
      <c r="AX6" s="547">
        <f>AN6-AW6</f>
        <v>0</v>
      </c>
      <c r="AY6" s="547"/>
      <c r="AZ6" s="547">
        <f>AX6-AY6-BA6-BB6-BC6-BD6</f>
        <v>0</v>
      </c>
      <c r="BA6" s="547"/>
      <c r="BB6" s="547"/>
      <c r="BC6" s="547"/>
      <c r="BD6" s="547"/>
      <c r="BE6" s="547">
        <f>AX6+AJ6</f>
        <v>0</v>
      </c>
      <c r="BF6" s="547">
        <f>U6-BE6</f>
        <v>530000</v>
      </c>
      <c r="BG6" s="547"/>
      <c r="BH6" s="547">
        <f>BE6-BG6-BI6-BJ6-BK6-BL6</f>
        <v>0</v>
      </c>
      <c r="BI6" s="547"/>
      <c r="BJ6" s="547"/>
      <c r="BK6" s="547"/>
      <c r="BL6" s="547"/>
    </row>
    <row r="7" spans="1:69" s="588" customFormat="1" ht="30" customHeight="1">
      <c r="A7" s="555">
        <f>1+A6</f>
        <v>2</v>
      </c>
      <c r="B7" s="555">
        <v>1497</v>
      </c>
      <c r="C7" s="555" t="s">
        <v>51</v>
      </c>
      <c r="D7" s="547">
        <v>8820000</v>
      </c>
      <c r="E7" s="547">
        <v>8820000</v>
      </c>
      <c r="F7" s="547">
        <f t="shared" si="0"/>
        <v>0</v>
      </c>
      <c r="G7" s="547">
        <v>3473000</v>
      </c>
      <c r="H7" s="547">
        <v>3219746</v>
      </c>
      <c r="I7" s="547">
        <v>43536</v>
      </c>
      <c r="J7" s="547">
        <v>104859</v>
      </c>
      <c r="K7" s="547">
        <f t="shared" si="1"/>
        <v>148395</v>
      </c>
      <c r="L7" s="547">
        <f t="shared" si="2"/>
        <v>3368141</v>
      </c>
      <c r="M7" s="547">
        <f>P7+S7-80000-20000</f>
        <v>4859</v>
      </c>
      <c r="N7" s="547">
        <f>150000+80000+20000</f>
        <v>250000</v>
      </c>
      <c r="O7" s="547">
        <f t="shared" si="3"/>
        <v>5197000</v>
      </c>
      <c r="P7" s="547">
        <f t="shared" si="4"/>
        <v>104859</v>
      </c>
      <c r="Q7" s="547"/>
      <c r="R7" s="547"/>
      <c r="S7" s="547">
        <f t="shared" si="5"/>
        <v>0</v>
      </c>
      <c r="T7" s="547">
        <f t="shared" si="6"/>
        <v>100000</v>
      </c>
      <c r="U7" s="547">
        <f t="shared" si="7"/>
        <v>150000</v>
      </c>
      <c r="V7" s="547"/>
      <c r="W7" s="547">
        <f t="shared" si="8"/>
        <v>150000</v>
      </c>
      <c r="X7" s="547"/>
      <c r="Y7" s="547"/>
      <c r="Z7" s="547"/>
      <c r="AA7" s="555"/>
      <c r="AB7" s="555" t="s">
        <v>769</v>
      </c>
      <c r="AC7" s="555">
        <v>610000</v>
      </c>
      <c r="AD7" s="547"/>
      <c r="AE7" s="547"/>
      <c r="AF7" s="547"/>
      <c r="AG7" s="547"/>
      <c r="AH7" s="547"/>
      <c r="AI7" s="547"/>
      <c r="AJ7" s="547">
        <f t="shared" si="9"/>
        <v>0</v>
      </c>
      <c r="AK7" s="547">
        <f t="shared" ref="AK7:AK19" si="11">U7-AJ7</f>
        <v>150000</v>
      </c>
      <c r="AL7" s="547"/>
      <c r="AM7" s="547"/>
      <c r="AN7" s="547">
        <f t="shared" si="10"/>
        <v>150000</v>
      </c>
      <c r="AO7" s="547"/>
      <c r="AP7" s="547">
        <f t="shared" ref="AP7:AP19" si="12">AN7-AO7-AQ7-AR7-AS7-AT7</f>
        <v>150000</v>
      </c>
      <c r="AQ7" s="547"/>
      <c r="AR7" s="547"/>
      <c r="AS7" s="547"/>
      <c r="AT7" s="547"/>
      <c r="AU7" s="547"/>
      <c r="AV7" s="547"/>
      <c r="AW7" s="547">
        <v>150000</v>
      </c>
      <c r="AX7" s="547">
        <f t="shared" ref="AX7:AX19" si="13">AN7-AW7</f>
        <v>0</v>
      </c>
      <c r="AY7" s="547"/>
      <c r="AZ7" s="547">
        <f t="shared" ref="AZ7:AZ19" si="14">AX7-AY7-BA7-BB7-BC7-BD7</f>
        <v>0</v>
      </c>
      <c r="BA7" s="547"/>
      <c r="BB7" s="547"/>
      <c r="BC7" s="547"/>
      <c r="BD7" s="547"/>
      <c r="BE7" s="547">
        <f t="shared" ref="BE7:BE19" si="15">AX7+AJ7</f>
        <v>0</v>
      </c>
      <c r="BF7" s="547">
        <f t="shared" ref="BF7:BF19" si="16">U7-BE7</f>
        <v>150000</v>
      </c>
      <c r="BG7" s="547"/>
      <c r="BH7" s="547">
        <f t="shared" ref="BH7:BH19" si="17">BE7-BG7-BI7-BJ7-BK7-BL7</f>
        <v>0</v>
      </c>
      <c r="BI7" s="547"/>
      <c r="BJ7" s="547"/>
      <c r="BK7" s="547"/>
      <c r="BL7" s="547"/>
      <c r="BM7" s="436"/>
    </row>
    <row r="8" spans="1:69" ht="30" customHeight="1">
      <c r="A8" s="555">
        <f t="shared" ref="A8:A19" si="18">1+A7</f>
        <v>3</v>
      </c>
      <c r="B8" s="555">
        <v>1647</v>
      </c>
      <c r="C8" s="555" t="s">
        <v>237</v>
      </c>
      <c r="D8" s="547">
        <v>4700000</v>
      </c>
      <c r="E8" s="547">
        <v>4700000</v>
      </c>
      <c r="F8" s="547">
        <f t="shared" si="0"/>
        <v>0</v>
      </c>
      <c r="G8" s="547">
        <v>4450000</v>
      </c>
      <c r="H8" s="547">
        <v>4423055</v>
      </c>
      <c r="I8" s="547"/>
      <c r="J8" s="547">
        <v>15735</v>
      </c>
      <c r="K8" s="547">
        <f t="shared" si="1"/>
        <v>15735</v>
      </c>
      <c r="L8" s="547">
        <f t="shared" si="2"/>
        <v>4438790</v>
      </c>
      <c r="M8" s="547">
        <f>P8+S8</f>
        <v>11210</v>
      </c>
      <c r="N8" s="547">
        <v>150000</v>
      </c>
      <c r="O8" s="547">
        <f t="shared" si="3"/>
        <v>100000</v>
      </c>
      <c r="P8" s="547">
        <f t="shared" si="4"/>
        <v>11210</v>
      </c>
      <c r="Q8" s="547"/>
      <c r="R8" s="547"/>
      <c r="S8" s="547">
        <f t="shared" si="5"/>
        <v>0</v>
      </c>
      <c r="T8" s="547">
        <f t="shared" si="6"/>
        <v>0</v>
      </c>
      <c r="U8" s="547">
        <f t="shared" si="7"/>
        <v>150000</v>
      </c>
      <c r="V8" s="547"/>
      <c r="W8" s="547">
        <f t="shared" si="8"/>
        <v>150000</v>
      </c>
      <c r="X8" s="547"/>
      <c r="Y8" s="547"/>
      <c r="Z8" s="547"/>
      <c r="AA8" s="555"/>
      <c r="AB8" s="555" t="s">
        <v>257</v>
      </c>
      <c r="AC8" s="555">
        <v>810000</v>
      </c>
      <c r="AD8" s="547"/>
      <c r="AE8" s="547"/>
      <c r="AF8" s="547"/>
      <c r="AG8" s="547">
        <v>150000</v>
      </c>
      <c r="AH8" s="547"/>
      <c r="AI8" s="547"/>
      <c r="AJ8" s="547">
        <f t="shared" si="9"/>
        <v>150000</v>
      </c>
      <c r="AK8" s="547">
        <f t="shared" si="11"/>
        <v>0</v>
      </c>
      <c r="AL8" s="547"/>
      <c r="AM8" s="547"/>
      <c r="AN8" s="547">
        <f t="shared" si="10"/>
        <v>0</v>
      </c>
      <c r="AO8" s="547"/>
      <c r="AP8" s="547">
        <f t="shared" si="12"/>
        <v>0</v>
      </c>
      <c r="AQ8" s="547"/>
      <c r="AR8" s="547"/>
      <c r="AS8" s="547"/>
      <c r="AT8" s="547"/>
      <c r="AU8" s="547"/>
      <c r="AV8" s="547"/>
      <c r="AW8" s="547"/>
      <c r="AX8" s="547">
        <f t="shared" si="13"/>
        <v>0</v>
      </c>
      <c r="AY8" s="547"/>
      <c r="AZ8" s="547">
        <f t="shared" si="14"/>
        <v>0</v>
      </c>
      <c r="BA8" s="547"/>
      <c r="BB8" s="547"/>
      <c r="BC8" s="547"/>
      <c r="BD8" s="547"/>
      <c r="BE8" s="547">
        <f t="shared" si="15"/>
        <v>150000</v>
      </c>
      <c r="BF8" s="547">
        <f t="shared" si="16"/>
        <v>0</v>
      </c>
      <c r="BG8" s="547"/>
      <c r="BH8" s="547">
        <f t="shared" si="17"/>
        <v>150000</v>
      </c>
      <c r="BI8" s="547"/>
      <c r="BJ8" s="547"/>
      <c r="BK8" s="547"/>
      <c r="BL8" s="547"/>
    </row>
    <row r="9" spans="1:69" s="588" customFormat="1" ht="30" customHeight="1">
      <c r="A9" s="555">
        <f t="shared" si="18"/>
        <v>4</v>
      </c>
      <c r="B9" s="555">
        <v>1871</v>
      </c>
      <c r="C9" s="555" t="s">
        <v>270</v>
      </c>
      <c r="D9" s="547">
        <f>23340000+23500000</f>
        <v>46840000</v>
      </c>
      <c r="E9" s="547">
        <v>23340000</v>
      </c>
      <c r="F9" s="547">
        <f t="shared" si="0"/>
        <v>23500000</v>
      </c>
      <c r="G9" s="547">
        <v>23340000</v>
      </c>
      <c r="H9" s="547">
        <v>17971191</v>
      </c>
      <c r="I9" s="547"/>
      <c r="J9" s="547">
        <v>5344902</v>
      </c>
      <c r="K9" s="547">
        <f t="shared" si="1"/>
        <v>5344902</v>
      </c>
      <c r="L9" s="547">
        <f t="shared" si="2"/>
        <v>23316093</v>
      </c>
      <c r="M9" s="547">
        <f>P9+S9-20000</f>
        <v>3907</v>
      </c>
      <c r="N9" s="547">
        <f>4500000+1000000-2500000-400000</f>
        <v>2600000</v>
      </c>
      <c r="O9" s="547">
        <f t="shared" si="3"/>
        <v>20920000</v>
      </c>
      <c r="P9" s="547">
        <f t="shared" si="4"/>
        <v>23907</v>
      </c>
      <c r="Q9" s="547"/>
      <c r="R9" s="547"/>
      <c r="S9" s="547">
        <f t="shared" si="5"/>
        <v>0</v>
      </c>
      <c r="T9" s="547">
        <f t="shared" si="6"/>
        <v>20000</v>
      </c>
      <c r="U9" s="547">
        <f t="shared" si="7"/>
        <v>2580000</v>
      </c>
      <c r="V9" s="547">
        <v>2580000</v>
      </c>
      <c r="W9" s="547">
        <f t="shared" si="8"/>
        <v>0</v>
      </c>
      <c r="X9" s="547"/>
      <c r="Y9" s="547"/>
      <c r="Z9" s="547"/>
      <c r="AA9" s="555"/>
      <c r="AB9" s="555" t="s">
        <v>236</v>
      </c>
      <c r="AC9" s="555">
        <v>760000</v>
      </c>
      <c r="AD9" s="547"/>
      <c r="AE9" s="547"/>
      <c r="AF9" s="547"/>
      <c r="AG9" s="547"/>
      <c r="AH9" s="547"/>
      <c r="AI9" s="547"/>
      <c r="AJ9" s="547">
        <f t="shared" si="9"/>
        <v>0</v>
      </c>
      <c r="AK9" s="547">
        <f t="shared" si="11"/>
        <v>2580000</v>
      </c>
      <c r="AL9" s="547"/>
      <c r="AM9" s="547"/>
      <c r="AN9" s="547">
        <f t="shared" si="10"/>
        <v>2580000</v>
      </c>
      <c r="AO9" s="547">
        <v>2580000</v>
      </c>
      <c r="AP9" s="547">
        <f t="shared" si="12"/>
        <v>0</v>
      </c>
      <c r="AQ9" s="547"/>
      <c r="AR9" s="547"/>
      <c r="AS9" s="547"/>
      <c r="AT9" s="547"/>
      <c r="AU9" s="547"/>
      <c r="AV9" s="547"/>
      <c r="AW9" s="547">
        <v>2580000</v>
      </c>
      <c r="AX9" s="547">
        <f t="shared" si="13"/>
        <v>0</v>
      </c>
      <c r="AY9" s="547"/>
      <c r="AZ9" s="547">
        <f t="shared" si="14"/>
        <v>0</v>
      </c>
      <c r="BA9" s="547"/>
      <c r="BB9" s="547"/>
      <c r="BC9" s="547"/>
      <c r="BD9" s="547"/>
      <c r="BE9" s="547">
        <f t="shared" si="15"/>
        <v>0</v>
      </c>
      <c r="BF9" s="547">
        <f t="shared" si="16"/>
        <v>2580000</v>
      </c>
      <c r="BG9" s="547"/>
      <c r="BH9" s="547">
        <f t="shared" si="17"/>
        <v>0</v>
      </c>
      <c r="BI9" s="547"/>
      <c r="BJ9" s="547"/>
      <c r="BK9" s="547"/>
      <c r="BL9" s="547"/>
      <c r="BM9" s="436"/>
    </row>
    <row r="10" spans="1:69" s="588" customFormat="1" ht="30" customHeight="1">
      <c r="A10" s="555">
        <f t="shared" si="18"/>
        <v>5</v>
      </c>
      <c r="B10" s="555">
        <v>1982</v>
      </c>
      <c r="C10" s="555" t="s">
        <v>471</v>
      </c>
      <c r="D10" s="547">
        <f>19550000+12000000</f>
        <v>31550000</v>
      </c>
      <c r="E10" s="547">
        <v>19550000</v>
      </c>
      <c r="F10" s="547">
        <f t="shared" si="0"/>
        <v>12000000</v>
      </c>
      <c r="G10" s="547">
        <v>19550000</v>
      </c>
      <c r="H10" s="547">
        <v>16635269</v>
      </c>
      <c r="I10" s="547"/>
      <c r="J10" s="547">
        <v>2761869</v>
      </c>
      <c r="K10" s="547">
        <f t="shared" si="1"/>
        <v>2761869</v>
      </c>
      <c r="L10" s="547">
        <f t="shared" si="2"/>
        <v>19397138</v>
      </c>
      <c r="M10" s="547">
        <f>P10+S10-150000</f>
        <v>2862</v>
      </c>
      <c r="N10" s="547">
        <f>2500000-1000000-200000</f>
        <v>1300000</v>
      </c>
      <c r="O10" s="547">
        <f t="shared" si="3"/>
        <v>10850000</v>
      </c>
      <c r="P10" s="547">
        <f t="shared" si="4"/>
        <v>152862</v>
      </c>
      <c r="Q10" s="547"/>
      <c r="R10" s="547"/>
      <c r="S10" s="547">
        <f t="shared" si="5"/>
        <v>0</v>
      </c>
      <c r="T10" s="547">
        <f t="shared" si="6"/>
        <v>150000</v>
      </c>
      <c r="U10" s="547">
        <f t="shared" si="7"/>
        <v>1150000</v>
      </c>
      <c r="V10" s="547"/>
      <c r="W10" s="547">
        <f t="shared" si="8"/>
        <v>1150000</v>
      </c>
      <c r="X10" s="547"/>
      <c r="Y10" s="547"/>
      <c r="Z10" s="547"/>
      <c r="AA10" s="555"/>
      <c r="AB10" s="555" t="s">
        <v>1043</v>
      </c>
      <c r="AC10" s="555">
        <v>722000</v>
      </c>
      <c r="AD10" s="547"/>
      <c r="AE10" s="547"/>
      <c r="AF10" s="547"/>
      <c r="AG10" s="547"/>
      <c r="AH10" s="547"/>
      <c r="AI10" s="547"/>
      <c r="AJ10" s="547">
        <f t="shared" si="9"/>
        <v>0</v>
      </c>
      <c r="AK10" s="547">
        <f t="shared" si="11"/>
        <v>1150000</v>
      </c>
      <c r="AL10" s="547"/>
      <c r="AM10" s="547"/>
      <c r="AN10" s="547">
        <f t="shared" si="10"/>
        <v>1150000</v>
      </c>
      <c r="AO10" s="547"/>
      <c r="AP10" s="547">
        <f t="shared" si="12"/>
        <v>1150000</v>
      </c>
      <c r="AQ10" s="547"/>
      <c r="AR10" s="547"/>
      <c r="AS10" s="547"/>
      <c r="AT10" s="547"/>
      <c r="AU10" s="547"/>
      <c r="AV10" s="547"/>
      <c r="AW10" s="547">
        <v>1150000</v>
      </c>
      <c r="AX10" s="547">
        <f t="shared" si="13"/>
        <v>0</v>
      </c>
      <c r="AY10" s="547"/>
      <c r="AZ10" s="547">
        <f t="shared" si="14"/>
        <v>0</v>
      </c>
      <c r="BA10" s="547"/>
      <c r="BB10" s="547"/>
      <c r="BC10" s="547"/>
      <c r="BD10" s="547"/>
      <c r="BE10" s="547">
        <f t="shared" si="15"/>
        <v>0</v>
      </c>
      <c r="BF10" s="547">
        <f t="shared" si="16"/>
        <v>1150000</v>
      </c>
      <c r="BG10" s="547"/>
      <c r="BH10" s="547">
        <f t="shared" si="17"/>
        <v>0</v>
      </c>
      <c r="BI10" s="547"/>
      <c r="BJ10" s="547"/>
      <c r="BK10" s="547"/>
      <c r="BL10" s="547"/>
      <c r="BM10" s="436"/>
    </row>
    <row r="11" spans="1:69" s="588" customFormat="1" ht="49.5" customHeight="1">
      <c r="A11" s="555">
        <f t="shared" si="18"/>
        <v>6</v>
      </c>
      <c r="B11" s="555">
        <v>2082</v>
      </c>
      <c r="C11" s="555" t="s">
        <v>577</v>
      </c>
      <c r="D11" s="547">
        <v>1600000</v>
      </c>
      <c r="E11" s="547">
        <v>1600000</v>
      </c>
      <c r="F11" s="547">
        <f t="shared" si="0"/>
        <v>0</v>
      </c>
      <c r="G11" s="547">
        <v>1160000</v>
      </c>
      <c r="H11" s="547">
        <v>808264</v>
      </c>
      <c r="I11" s="547"/>
      <c r="J11" s="547"/>
      <c r="K11" s="547">
        <f t="shared" si="1"/>
        <v>0</v>
      </c>
      <c r="L11" s="547">
        <f t="shared" si="2"/>
        <v>808264</v>
      </c>
      <c r="M11" s="547">
        <f>P11+S11-350000</f>
        <v>1736</v>
      </c>
      <c r="N11" s="547">
        <f>440000+350000</f>
        <v>790000</v>
      </c>
      <c r="O11" s="547">
        <f t="shared" si="3"/>
        <v>0</v>
      </c>
      <c r="P11" s="547">
        <f t="shared" si="4"/>
        <v>351736</v>
      </c>
      <c r="Q11" s="547"/>
      <c r="R11" s="547"/>
      <c r="S11" s="547">
        <f t="shared" si="5"/>
        <v>0</v>
      </c>
      <c r="T11" s="547">
        <f t="shared" si="6"/>
        <v>350000</v>
      </c>
      <c r="U11" s="547">
        <f t="shared" si="7"/>
        <v>440000</v>
      </c>
      <c r="V11" s="547"/>
      <c r="W11" s="547">
        <f t="shared" si="8"/>
        <v>440000</v>
      </c>
      <c r="X11" s="547"/>
      <c r="Y11" s="547"/>
      <c r="Z11" s="547"/>
      <c r="AA11" s="555"/>
      <c r="AB11" s="555" t="s">
        <v>271</v>
      </c>
      <c r="AC11" s="555">
        <v>760000</v>
      </c>
      <c r="AD11" s="547"/>
      <c r="AE11" s="547"/>
      <c r="AF11" s="547"/>
      <c r="AG11" s="547"/>
      <c r="AH11" s="547"/>
      <c r="AI11" s="547"/>
      <c r="AJ11" s="547">
        <f t="shared" si="9"/>
        <v>0</v>
      </c>
      <c r="AK11" s="547">
        <f t="shared" si="11"/>
        <v>440000</v>
      </c>
      <c r="AL11" s="547"/>
      <c r="AM11" s="547"/>
      <c r="AN11" s="547">
        <f t="shared" si="10"/>
        <v>440000</v>
      </c>
      <c r="AO11" s="547"/>
      <c r="AP11" s="547">
        <f t="shared" si="12"/>
        <v>440000</v>
      </c>
      <c r="AQ11" s="547"/>
      <c r="AR11" s="547"/>
      <c r="AS11" s="547"/>
      <c r="AT11" s="547"/>
      <c r="AU11" s="547"/>
      <c r="AV11" s="547"/>
      <c r="AW11" s="547">
        <v>440000</v>
      </c>
      <c r="AX11" s="547">
        <f t="shared" si="13"/>
        <v>0</v>
      </c>
      <c r="AY11" s="547"/>
      <c r="AZ11" s="547">
        <f t="shared" si="14"/>
        <v>0</v>
      </c>
      <c r="BA11" s="547"/>
      <c r="BB11" s="547"/>
      <c r="BC11" s="547"/>
      <c r="BD11" s="547"/>
      <c r="BE11" s="547">
        <f t="shared" si="15"/>
        <v>0</v>
      </c>
      <c r="BF11" s="547">
        <f t="shared" si="16"/>
        <v>440000</v>
      </c>
      <c r="BG11" s="547"/>
      <c r="BH11" s="547">
        <f t="shared" si="17"/>
        <v>0</v>
      </c>
      <c r="BI11" s="547"/>
      <c r="BJ11" s="547"/>
      <c r="BK11" s="547"/>
      <c r="BL11" s="547"/>
      <c r="BM11" s="436"/>
    </row>
    <row r="12" spans="1:69" ht="30" customHeight="1">
      <c r="A12" s="555">
        <f t="shared" si="18"/>
        <v>7</v>
      </c>
      <c r="B12" s="555">
        <v>2083</v>
      </c>
      <c r="C12" s="555" t="s">
        <v>1197</v>
      </c>
      <c r="D12" s="547">
        <v>7880000</v>
      </c>
      <c r="E12" s="547">
        <v>7880000</v>
      </c>
      <c r="F12" s="547">
        <f t="shared" si="0"/>
        <v>0</v>
      </c>
      <c r="G12" s="547">
        <v>7880000</v>
      </c>
      <c r="H12" s="547">
        <v>7727793</v>
      </c>
      <c r="I12" s="547"/>
      <c r="J12" s="547"/>
      <c r="K12" s="547">
        <f t="shared" si="1"/>
        <v>0</v>
      </c>
      <c r="L12" s="547">
        <f t="shared" si="2"/>
        <v>7727793</v>
      </c>
      <c r="M12" s="547">
        <f>P12+S12-152207</f>
        <v>0</v>
      </c>
      <c r="N12" s="547">
        <v>0</v>
      </c>
      <c r="O12" s="547">
        <f t="shared" si="3"/>
        <v>152207</v>
      </c>
      <c r="P12" s="547">
        <f t="shared" si="4"/>
        <v>152207</v>
      </c>
      <c r="Q12" s="547"/>
      <c r="R12" s="547"/>
      <c r="S12" s="547">
        <f t="shared" si="5"/>
        <v>0</v>
      </c>
      <c r="T12" s="547">
        <f t="shared" si="6"/>
        <v>152207</v>
      </c>
      <c r="U12" s="547">
        <f t="shared" si="7"/>
        <v>-152207</v>
      </c>
      <c r="V12" s="547"/>
      <c r="W12" s="547">
        <f t="shared" si="8"/>
        <v>0</v>
      </c>
      <c r="X12" s="547"/>
      <c r="Y12" s="547"/>
      <c r="Z12" s="547"/>
      <c r="AA12" s="547">
        <v>-152207</v>
      </c>
      <c r="AB12" s="555" t="s">
        <v>1044</v>
      </c>
      <c r="AC12" s="555">
        <v>810000</v>
      </c>
      <c r="AD12" s="547">
        <v>-152207</v>
      </c>
      <c r="AE12" s="547"/>
      <c r="AF12" s="547"/>
      <c r="AG12" s="547"/>
      <c r="AH12" s="547"/>
      <c r="AI12" s="547"/>
      <c r="AJ12" s="547">
        <f t="shared" si="9"/>
        <v>-152207</v>
      </c>
      <c r="AK12" s="547">
        <f t="shared" si="11"/>
        <v>0</v>
      </c>
      <c r="AL12" s="547"/>
      <c r="AM12" s="547"/>
      <c r="AN12" s="547">
        <f t="shared" si="10"/>
        <v>0</v>
      </c>
      <c r="AO12" s="547"/>
      <c r="AP12" s="547">
        <f t="shared" si="12"/>
        <v>0</v>
      </c>
      <c r="AQ12" s="547"/>
      <c r="AR12" s="547"/>
      <c r="AS12" s="547"/>
      <c r="AT12" s="547"/>
      <c r="AU12" s="547"/>
      <c r="AV12" s="547"/>
      <c r="AW12" s="547"/>
      <c r="AX12" s="547">
        <f t="shared" si="13"/>
        <v>0</v>
      </c>
      <c r="AY12" s="547"/>
      <c r="AZ12" s="547">
        <f t="shared" si="14"/>
        <v>0</v>
      </c>
      <c r="BA12" s="547"/>
      <c r="BB12" s="547"/>
      <c r="BC12" s="547"/>
      <c r="BD12" s="547"/>
      <c r="BE12" s="547">
        <f t="shared" si="15"/>
        <v>-152207</v>
      </c>
      <c r="BF12" s="547">
        <f t="shared" si="16"/>
        <v>0</v>
      </c>
      <c r="BG12" s="547"/>
      <c r="BH12" s="547">
        <f t="shared" si="17"/>
        <v>0</v>
      </c>
      <c r="BI12" s="547"/>
      <c r="BJ12" s="547"/>
      <c r="BK12" s="547"/>
      <c r="BL12" s="547">
        <v>-152207</v>
      </c>
    </row>
    <row r="13" spans="1:69" s="5" customFormat="1" ht="30" customHeight="1">
      <c r="A13" s="555">
        <f t="shared" si="18"/>
        <v>8</v>
      </c>
      <c r="B13" s="19">
        <v>2144</v>
      </c>
      <c r="C13" s="3" t="s">
        <v>325</v>
      </c>
      <c r="D13" s="4">
        <f>500000+2500000-2800000</f>
        <v>200000</v>
      </c>
      <c r="E13" s="4">
        <v>500000</v>
      </c>
      <c r="F13" s="4">
        <f t="shared" si="0"/>
        <v>-300000</v>
      </c>
      <c r="G13" s="4">
        <v>200000</v>
      </c>
      <c r="H13" s="4"/>
      <c r="I13" s="4"/>
      <c r="J13" s="4"/>
      <c r="K13" s="4">
        <f>SUM(I13:J13)</f>
        <v>0</v>
      </c>
      <c r="L13" s="4">
        <f t="shared" si="2"/>
        <v>0</v>
      </c>
      <c r="M13" s="4">
        <f>P13+S13-200000</f>
        <v>0</v>
      </c>
      <c r="N13" s="4">
        <f>3000000-2800000-200000</f>
        <v>0</v>
      </c>
      <c r="O13" s="4">
        <f t="shared" si="3"/>
        <v>200000</v>
      </c>
      <c r="P13" s="4">
        <f t="shared" si="4"/>
        <v>200000</v>
      </c>
      <c r="Q13" s="4"/>
      <c r="R13" s="4"/>
      <c r="S13" s="4">
        <f t="shared" si="5"/>
        <v>0</v>
      </c>
      <c r="T13" s="495">
        <f t="shared" si="6"/>
        <v>200000</v>
      </c>
      <c r="U13" s="4">
        <f t="shared" si="7"/>
        <v>-200000</v>
      </c>
      <c r="V13" s="4">
        <f>U13-AA13-W13-Z13-Y13-X13</f>
        <v>-200000</v>
      </c>
      <c r="W13" s="4"/>
      <c r="X13" s="4"/>
      <c r="Y13" s="4"/>
      <c r="Z13" s="4"/>
      <c r="AA13" s="3"/>
      <c r="AB13" s="3" t="s">
        <v>332</v>
      </c>
      <c r="AC13" s="3">
        <v>732000</v>
      </c>
      <c r="AD13" s="547">
        <v>-200000</v>
      </c>
      <c r="AE13" s="547"/>
      <c r="AF13" s="547"/>
      <c r="AG13" s="547"/>
      <c r="AH13" s="547"/>
      <c r="AI13" s="547"/>
      <c r="AJ13" s="547">
        <f t="shared" si="9"/>
        <v>-200000</v>
      </c>
      <c r="AK13" s="547">
        <f t="shared" si="11"/>
        <v>0</v>
      </c>
      <c r="AL13" s="547"/>
      <c r="AM13" s="547"/>
      <c r="AN13" s="547">
        <f t="shared" si="10"/>
        <v>0</v>
      </c>
      <c r="AO13" s="547"/>
      <c r="AP13" s="547">
        <f t="shared" si="12"/>
        <v>0</v>
      </c>
      <c r="AQ13" s="547"/>
      <c r="AR13" s="547"/>
      <c r="AS13" s="547"/>
      <c r="AT13" s="547"/>
      <c r="AU13" s="547"/>
      <c r="AV13" s="547"/>
      <c r="AW13" s="547"/>
      <c r="AX13" s="547">
        <f t="shared" si="13"/>
        <v>0</v>
      </c>
      <c r="AY13" s="547"/>
      <c r="AZ13" s="547">
        <f t="shared" si="14"/>
        <v>0</v>
      </c>
      <c r="BA13" s="547"/>
      <c r="BB13" s="547"/>
      <c r="BC13" s="547"/>
      <c r="BD13" s="547"/>
      <c r="BE13" s="547">
        <f t="shared" si="15"/>
        <v>-200000</v>
      </c>
      <c r="BF13" s="547">
        <f t="shared" si="16"/>
        <v>0</v>
      </c>
      <c r="BG13" s="547">
        <v>-200000</v>
      </c>
      <c r="BH13" s="547">
        <f t="shared" si="17"/>
        <v>0</v>
      </c>
      <c r="BI13" s="547"/>
      <c r="BJ13" s="547"/>
      <c r="BK13" s="547"/>
      <c r="BL13" s="547"/>
      <c r="BM13" s="436"/>
    </row>
    <row r="14" spans="1:69" s="588" customFormat="1" ht="30" customHeight="1">
      <c r="A14" s="555">
        <f t="shared" si="18"/>
        <v>9</v>
      </c>
      <c r="B14" s="556">
        <v>2170</v>
      </c>
      <c r="C14" s="3" t="s">
        <v>321</v>
      </c>
      <c r="D14" s="547">
        <f>860000+500000</f>
        <v>1360000</v>
      </c>
      <c r="E14" s="547">
        <v>860000</v>
      </c>
      <c r="F14" s="547">
        <f t="shared" si="0"/>
        <v>500000</v>
      </c>
      <c r="G14" s="547">
        <v>510000</v>
      </c>
      <c r="H14" s="547">
        <v>366580</v>
      </c>
      <c r="I14" s="547"/>
      <c r="J14" s="547">
        <v>64265</v>
      </c>
      <c r="K14" s="547">
        <f t="shared" si="1"/>
        <v>64265</v>
      </c>
      <c r="L14" s="547">
        <f t="shared" si="2"/>
        <v>430845</v>
      </c>
      <c r="M14" s="547">
        <f>P14+S14-70000-5000</f>
        <v>4155</v>
      </c>
      <c r="N14" s="547">
        <f>70000+350000+500000-480000+5000</f>
        <v>445000</v>
      </c>
      <c r="O14" s="547">
        <f t="shared" si="3"/>
        <v>480000</v>
      </c>
      <c r="P14" s="547">
        <f t="shared" si="4"/>
        <v>79155</v>
      </c>
      <c r="Q14" s="547"/>
      <c r="R14" s="547"/>
      <c r="S14" s="547">
        <f t="shared" si="5"/>
        <v>0</v>
      </c>
      <c r="T14" s="547">
        <f t="shared" si="6"/>
        <v>75000</v>
      </c>
      <c r="U14" s="547">
        <f t="shared" si="7"/>
        <v>370000</v>
      </c>
      <c r="V14" s="547"/>
      <c r="W14" s="547">
        <f t="shared" si="8"/>
        <v>370000</v>
      </c>
      <c r="X14" s="547"/>
      <c r="Y14" s="547"/>
      <c r="Z14" s="547"/>
      <c r="AA14" s="555"/>
      <c r="AB14" s="3" t="s">
        <v>1045</v>
      </c>
      <c r="AC14" s="555">
        <v>760000</v>
      </c>
      <c r="AD14" s="547"/>
      <c r="AE14" s="547"/>
      <c r="AF14" s="547"/>
      <c r="AG14" s="547"/>
      <c r="AH14" s="547"/>
      <c r="AI14" s="547"/>
      <c r="AJ14" s="547">
        <f t="shared" si="9"/>
        <v>0</v>
      </c>
      <c r="AK14" s="547">
        <f t="shared" si="11"/>
        <v>370000</v>
      </c>
      <c r="AL14" s="547"/>
      <c r="AM14" s="547"/>
      <c r="AN14" s="547">
        <f t="shared" si="10"/>
        <v>370000</v>
      </c>
      <c r="AO14" s="547"/>
      <c r="AP14" s="547">
        <f t="shared" si="12"/>
        <v>370000</v>
      </c>
      <c r="AQ14" s="547"/>
      <c r="AR14" s="547"/>
      <c r="AS14" s="547"/>
      <c r="AT14" s="547"/>
      <c r="AU14" s="547"/>
      <c r="AV14" s="547"/>
      <c r="AW14" s="547">
        <v>98000</v>
      </c>
      <c r="AX14" s="547">
        <f t="shared" si="13"/>
        <v>272000</v>
      </c>
      <c r="AY14" s="547"/>
      <c r="AZ14" s="547">
        <f t="shared" si="14"/>
        <v>272000</v>
      </c>
      <c r="BA14" s="547"/>
      <c r="BB14" s="547"/>
      <c r="BC14" s="547"/>
      <c r="BD14" s="547"/>
      <c r="BE14" s="547">
        <f t="shared" si="15"/>
        <v>272000</v>
      </c>
      <c r="BF14" s="547">
        <f t="shared" si="16"/>
        <v>98000</v>
      </c>
      <c r="BG14" s="547"/>
      <c r="BH14" s="547">
        <f t="shared" si="17"/>
        <v>272000</v>
      </c>
      <c r="BI14" s="547"/>
      <c r="BJ14" s="547"/>
      <c r="BK14" s="547"/>
      <c r="BL14" s="547"/>
      <c r="BM14" s="436"/>
    </row>
    <row r="15" spans="1:69" s="5" customFormat="1" ht="30" customHeight="1">
      <c r="A15" s="555">
        <f t="shared" si="18"/>
        <v>10</v>
      </c>
      <c r="B15" s="19">
        <v>20076</v>
      </c>
      <c r="C15" s="3" t="s">
        <v>495</v>
      </c>
      <c r="D15" s="547">
        <v>220000</v>
      </c>
      <c r="E15" s="547">
        <v>220000</v>
      </c>
      <c r="F15" s="547">
        <f t="shared" si="0"/>
        <v>0</v>
      </c>
      <c r="G15" s="547">
        <v>0</v>
      </c>
      <c r="H15" s="547"/>
      <c r="I15" s="547"/>
      <c r="J15" s="547"/>
      <c r="K15" s="547">
        <f t="shared" si="1"/>
        <v>0</v>
      </c>
      <c r="L15" s="547">
        <f>H15+K15</f>
        <v>0</v>
      </c>
      <c r="M15" s="547">
        <f>P15+S15</f>
        <v>0</v>
      </c>
      <c r="N15" s="547">
        <v>220000</v>
      </c>
      <c r="O15" s="547">
        <f t="shared" si="3"/>
        <v>0</v>
      </c>
      <c r="P15" s="547">
        <f t="shared" si="4"/>
        <v>0</v>
      </c>
      <c r="Q15" s="547"/>
      <c r="R15" s="547"/>
      <c r="S15" s="547">
        <f t="shared" si="5"/>
        <v>0</v>
      </c>
      <c r="T15" s="547">
        <f t="shared" si="6"/>
        <v>0</v>
      </c>
      <c r="U15" s="547">
        <f t="shared" si="7"/>
        <v>220000</v>
      </c>
      <c r="V15" s="547"/>
      <c r="W15" s="547">
        <f t="shared" si="8"/>
        <v>220000</v>
      </c>
      <c r="X15" s="547"/>
      <c r="Y15" s="547"/>
      <c r="Z15" s="547"/>
      <c r="AA15" s="547"/>
      <c r="AB15" s="3" t="s">
        <v>1046</v>
      </c>
      <c r="AC15" s="3">
        <v>610000</v>
      </c>
      <c r="AD15" s="547"/>
      <c r="AE15" s="547"/>
      <c r="AF15" s="547"/>
      <c r="AG15" s="547">
        <v>125000</v>
      </c>
      <c r="AH15" s="547"/>
      <c r="AI15" s="547"/>
      <c r="AJ15" s="547">
        <f t="shared" si="9"/>
        <v>125000</v>
      </c>
      <c r="AK15" s="547">
        <f t="shared" si="11"/>
        <v>95000</v>
      </c>
      <c r="AL15" s="547"/>
      <c r="AM15" s="547"/>
      <c r="AN15" s="547">
        <f t="shared" si="10"/>
        <v>95000</v>
      </c>
      <c r="AO15" s="547"/>
      <c r="AP15" s="547">
        <f t="shared" si="12"/>
        <v>95000</v>
      </c>
      <c r="AQ15" s="547"/>
      <c r="AR15" s="547"/>
      <c r="AS15" s="547"/>
      <c r="AT15" s="547"/>
      <c r="AU15" s="547"/>
      <c r="AV15" s="547"/>
      <c r="AW15" s="547">
        <v>95000</v>
      </c>
      <c r="AX15" s="547">
        <f t="shared" si="13"/>
        <v>0</v>
      </c>
      <c r="AY15" s="547"/>
      <c r="AZ15" s="547">
        <f t="shared" si="14"/>
        <v>0</v>
      </c>
      <c r="BA15" s="547"/>
      <c r="BB15" s="547"/>
      <c r="BC15" s="547"/>
      <c r="BD15" s="547"/>
      <c r="BE15" s="547">
        <f t="shared" si="15"/>
        <v>125000</v>
      </c>
      <c r="BF15" s="547">
        <f t="shared" si="16"/>
        <v>95000</v>
      </c>
      <c r="BG15" s="547"/>
      <c r="BH15" s="547">
        <f t="shared" si="17"/>
        <v>125000</v>
      </c>
      <c r="BI15" s="547"/>
      <c r="BJ15" s="547"/>
      <c r="BK15" s="547"/>
      <c r="BL15" s="547"/>
      <c r="BM15" s="436"/>
    </row>
    <row r="16" spans="1:69" s="5" customFormat="1" ht="30" customHeight="1">
      <c r="A16" s="555">
        <f t="shared" si="18"/>
        <v>11</v>
      </c>
      <c r="B16" s="19">
        <v>20077</v>
      </c>
      <c r="C16" s="555" t="s">
        <v>245</v>
      </c>
      <c r="D16" s="547">
        <f>1000000+1000000</f>
        <v>2000000</v>
      </c>
      <c r="E16" s="547">
        <v>1000000</v>
      </c>
      <c r="F16" s="547">
        <f t="shared" si="0"/>
        <v>1000000</v>
      </c>
      <c r="G16" s="547">
        <v>0</v>
      </c>
      <c r="H16" s="547">
        <v>14055</v>
      </c>
      <c r="I16" s="547"/>
      <c r="J16" s="547">
        <v>984301</v>
      </c>
      <c r="K16" s="547">
        <f t="shared" si="1"/>
        <v>984301</v>
      </c>
      <c r="L16" s="547">
        <f t="shared" si="2"/>
        <v>998356</v>
      </c>
      <c r="M16" s="547">
        <f>P16+S16</f>
        <v>1644</v>
      </c>
      <c r="N16" s="547">
        <f>1000000</f>
        <v>1000000</v>
      </c>
      <c r="O16" s="547">
        <f t="shared" si="3"/>
        <v>0</v>
      </c>
      <c r="P16" s="547">
        <f t="shared" si="4"/>
        <v>-998356</v>
      </c>
      <c r="Q16" s="547">
        <v>1000000</v>
      </c>
      <c r="R16" s="547"/>
      <c r="S16" s="547">
        <f t="shared" si="5"/>
        <v>1000000</v>
      </c>
      <c r="T16" s="547">
        <f t="shared" si="6"/>
        <v>0</v>
      </c>
      <c r="U16" s="547">
        <f t="shared" si="7"/>
        <v>1000000</v>
      </c>
      <c r="V16" s="547"/>
      <c r="W16" s="547">
        <f t="shared" si="8"/>
        <v>0</v>
      </c>
      <c r="X16" s="547"/>
      <c r="Y16" s="547"/>
      <c r="Z16" s="547"/>
      <c r="AA16" s="547">
        <v>1000000</v>
      </c>
      <c r="AB16" s="555" t="s">
        <v>509</v>
      </c>
      <c r="AC16" s="3">
        <v>810000</v>
      </c>
      <c r="AD16" s="547"/>
      <c r="AE16" s="547"/>
      <c r="AF16" s="547"/>
      <c r="AG16" s="547"/>
      <c r="AH16" s="547"/>
      <c r="AI16" s="547"/>
      <c r="AJ16" s="547">
        <f t="shared" si="9"/>
        <v>0</v>
      </c>
      <c r="AK16" s="547">
        <f t="shared" si="11"/>
        <v>1000000</v>
      </c>
      <c r="AL16" s="547"/>
      <c r="AM16" s="547"/>
      <c r="AN16" s="547">
        <f t="shared" si="10"/>
        <v>1000000</v>
      </c>
      <c r="AO16" s="547"/>
      <c r="AP16" s="547">
        <f t="shared" si="12"/>
        <v>0</v>
      </c>
      <c r="AQ16" s="547"/>
      <c r="AR16" s="547"/>
      <c r="AS16" s="547"/>
      <c r="AT16" s="547">
        <v>1000000</v>
      </c>
      <c r="AU16" s="547"/>
      <c r="AV16" s="547"/>
      <c r="AW16" s="547"/>
      <c r="AX16" s="547">
        <f t="shared" si="13"/>
        <v>1000000</v>
      </c>
      <c r="AY16" s="547"/>
      <c r="AZ16" s="547">
        <f t="shared" si="14"/>
        <v>0</v>
      </c>
      <c r="BA16" s="547"/>
      <c r="BB16" s="547"/>
      <c r="BC16" s="547"/>
      <c r="BD16" s="547">
        <v>1000000</v>
      </c>
      <c r="BE16" s="547">
        <f t="shared" si="15"/>
        <v>1000000</v>
      </c>
      <c r="BF16" s="547">
        <f t="shared" si="16"/>
        <v>0</v>
      </c>
      <c r="BG16" s="547"/>
      <c r="BH16" s="547">
        <f t="shared" si="17"/>
        <v>0</v>
      </c>
      <c r="BI16" s="547"/>
      <c r="BJ16" s="547"/>
      <c r="BK16" s="547"/>
      <c r="BL16" s="547">
        <v>1000000</v>
      </c>
      <c r="BM16" s="436"/>
    </row>
    <row r="17" spans="1:68" s="5" customFormat="1" ht="30" customHeight="1">
      <c r="A17" s="555">
        <f t="shared" si="18"/>
        <v>12</v>
      </c>
      <c r="B17" s="19">
        <v>20078</v>
      </c>
      <c r="C17" s="3" t="s">
        <v>499</v>
      </c>
      <c r="D17" s="547">
        <f>1200000+2200000</f>
        <v>3400000</v>
      </c>
      <c r="E17" s="547">
        <v>1200000</v>
      </c>
      <c r="F17" s="547">
        <f t="shared" si="0"/>
        <v>2200000</v>
      </c>
      <c r="G17" s="547">
        <v>1200000</v>
      </c>
      <c r="H17" s="547">
        <v>1195251</v>
      </c>
      <c r="I17" s="547"/>
      <c r="J17" s="547"/>
      <c r="K17" s="547">
        <f t="shared" si="1"/>
        <v>0</v>
      </c>
      <c r="L17" s="547">
        <f t="shared" si="2"/>
        <v>1195251</v>
      </c>
      <c r="M17" s="547">
        <f>P17+S17</f>
        <v>4749</v>
      </c>
      <c r="N17" s="547">
        <f>2200000-1200000</f>
        <v>1000000</v>
      </c>
      <c r="O17" s="547">
        <f t="shared" si="3"/>
        <v>1200000</v>
      </c>
      <c r="P17" s="547">
        <f t="shared" si="4"/>
        <v>4749</v>
      </c>
      <c r="Q17" s="547"/>
      <c r="R17" s="547"/>
      <c r="S17" s="547">
        <f t="shared" si="5"/>
        <v>0</v>
      </c>
      <c r="T17" s="547">
        <f t="shared" si="6"/>
        <v>0</v>
      </c>
      <c r="U17" s="547">
        <f t="shared" si="7"/>
        <v>1000000</v>
      </c>
      <c r="V17" s="547"/>
      <c r="W17" s="547">
        <f t="shared" si="8"/>
        <v>1000000</v>
      </c>
      <c r="X17" s="547"/>
      <c r="Y17" s="547"/>
      <c r="Z17" s="547"/>
      <c r="AA17" s="547"/>
      <c r="AB17" s="3" t="s">
        <v>498</v>
      </c>
      <c r="AC17" s="3">
        <v>610000</v>
      </c>
      <c r="AD17" s="547"/>
      <c r="AE17" s="547"/>
      <c r="AF17" s="547"/>
      <c r="AG17" s="547">
        <v>1000000</v>
      </c>
      <c r="AH17" s="547"/>
      <c r="AI17" s="547"/>
      <c r="AJ17" s="547">
        <f t="shared" si="9"/>
        <v>1000000</v>
      </c>
      <c r="AK17" s="547">
        <f t="shared" si="11"/>
        <v>0</v>
      </c>
      <c r="AL17" s="547"/>
      <c r="AM17" s="547"/>
      <c r="AN17" s="547">
        <f t="shared" si="10"/>
        <v>0</v>
      </c>
      <c r="AO17" s="547"/>
      <c r="AP17" s="547">
        <f t="shared" si="12"/>
        <v>0</v>
      </c>
      <c r="AQ17" s="547"/>
      <c r="AR17" s="547"/>
      <c r="AS17" s="547"/>
      <c r="AT17" s="547"/>
      <c r="AU17" s="547"/>
      <c r="AV17" s="547"/>
      <c r="AW17" s="547"/>
      <c r="AX17" s="547">
        <f t="shared" si="13"/>
        <v>0</v>
      </c>
      <c r="AY17" s="547"/>
      <c r="AZ17" s="547">
        <f t="shared" si="14"/>
        <v>0</v>
      </c>
      <c r="BA17" s="547"/>
      <c r="BB17" s="547"/>
      <c r="BC17" s="547"/>
      <c r="BD17" s="547"/>
      <c r="BE17" s="547">
        <f t="shared" si="15"/>
        <v>1000000</v>
      </c>
      <c r="BF17" s="547">
        <f t="shared" si="16"/>
        <v>0</v>
      </c>
      <c r="BG17" s="547"/>
      <c r="BH17" s="547">
        <f t="shared" si="17"/>
        <v>1000000</v>
      </c>
      <c r="BI17" s="547"/>
      <c r="BJ17" s="547"/>
      <c r="BK17" s="547"/>
      <c r="BL17" s="547"/>
      <c r="BM17" s="436"/>
      <c r="BN17" s="374"/>
      <c r="BO17" s="374"/>
      <c r="BP17" s="374"/>
    </row>
    <row r="18" spans="1:68" s="5" customFormat="1" ht="30" customHeight="1">
      <c r="A18" s="555">
        <f t="shared" si="18"/>
        <v>13</v>
      </c>
      <c r="B18" s="19">
        <v>20085</v>
      </c>
      <c r="C18" s="3" t="s">
        <v>576</v>
      </c>
      <c r="D18" s="547">
        <f>200000+250000+250000</f>
        <v>700000</v>
      </c>
      <c r="E18" s="547">
        <v>200000</v>
      </c>
      <c r="F18" s="547">
        <f t="shared" si="0"/>
        <v>500000</v>
      </c>
      <c r="G18" s="547">
        <v>200000</v>
      </c>
      <c r="H18" s="547">
        <v>199534</v>
      </c>
      <c r="I18" s="547"/>
      <c r="J18" s="547"/>
      <c r="K18" s="547">
        <f t="shared" si="1"/>
        <v>0</v>
      </c>
      <c r="L18" s="547">
        <f t="shared" si="2"/>
        <v>199534</v>
      </c>
      <c r="M18" s="547">
        <f>P18+S18</f>
        <v>466</v>
      </c>
      <c r="N18" s="547">
        <f>500000-135000</f>
        <v>365000</v>
      </c>
      <c r="O18" s="547">
        <f t="shared" si="3"/>
        <v>135000</v>
      </c>
      <c r="P18" s="547">
        <f t="shared" si="4"/>
        <v>466</v>
      </c>
      <c r="Q18" s="547"/>
      <c r="R18" s="547"/>
      <c r="S18" s="547">
        <f t="shared" si="5"/>
        <v>0</v>
      </c>
      <c r="T18" s="547">
        <f t="shared" si="6"/>
        <v>0</v>
      </c>
      <c r="U18" s="547">
        <f t="shared" si="7"/>
        <v>365000</v>
      </c>
      <c r="V18" s="547"/>
      <c r="W18" s="547">
        <f t="shared" si="8"/>
        <v>365000</v>
      </c>
      <c r="X18" s="547"/>
      <c r="Y18" s="547"/>
      <c r="Z18" s="547"/>
      <c r="AA18" s="547"/>
      <c r="AB18" s="3" t="s">
        <v>1047</v>
      </c>
      <c r="AC18" s="3">
        <v>760000</v>
      </c>
      <c r="AD18" s="547"/>
      <c r="AE18" s="547"/>
      <c r="AF18" s="547"/>
      <c r="AG18" s="547"/>
      <c r="AH18" s="547"/>
      <c r="AI18" s="547"/>
      <c r="AJ18" s="547">
        <f t="shared" si="9"/>
        <v>0</v>
      </c>
      <c r="AK18" s="547">
        <f t="shared" si="11"/>
        <v>365000</v>
      </c>
      <c r="AL18" s="547"/>
      <c r="AM18" s="547"/>
      <c r="AN18" s="547">
        <f t="shared" si="10"/>
        <v>365000</v>
      </c>
      <c r="AO18" s="547"/>
      <c r="AP18" s="547">
        <f t="shared" si="12"/>
        <v>365000</v>
      </c>
      <c r="AQ18" s="547"/>
      <c r="AR18" s="547"/>
      <c r="AS18" s="547"/>
      <c r="AT18" s="547"/>
      <c r="AU18" s="547"/>
      <c r="AV18" s="547"/>
      <c r="AW18" s="547"/>
      <c r="AX18" s="547">
        <f t="shared" si="13"/>
        <v>365000</v>
      </c>
      <c r="AY18" s="547"/>
      <c r="AZ18" s="547">
        <f t="shared" si="14"/>
        <v>365000</v>
      </c>
      <c r="BA18" s="547"/>
      <c r="BB18" s="547"/>
      <c r="BC18" s="547"/>
      <c r="BD18" s="547"/>
      <c r="BE18" s="547">
        <f t="shared" si="15"/>
        <v>365000</v>
      </c>
      <c r="BF18" s="547">
        <f t="shared" si="16"/>
        <v>0</v>
      </c>
      <c r="BG18" s="547"/>
      <c r="BH18" s="547">
        <f t="shared" si="17"/>
        <v>365000</v>
      </c>
      <c r="BI18" s="547"/>
      <c r="BJ18" s="547"/>
      <c r="BK18" s="547"/>
      <c r="BL18" s="547"/>
      <c r="BM18" s="436"/>
      <c r="BN18" s="374"/>
      <c r="BO18" s="374"/>
      <c r="BP18" s="374"/>
    </row>
    <row r="19" spans="1:68" s="5" customFormat="1" ht="30" customHeight="1">
      <c r="A19" s="555">
        <f t="shared" si="18"/>
        <v>14</v>
      </c>
      <c r="B19" s="19">
        <v>20134</v>
      </c>
      <c r="C19" s="127" t="s">
        <v>1048</v>
      </c>
      <c r="D19" s="112">
        <v>200000</v>
      </c>
      <c r="E19" s="112"/>
      <c r="F19" s="112">
        <f>D19-E19</f>
        <v>200000</v>
      </c>
      <c r="G19" s="112">
        <v>0</v>
      </c>
      <c r="H19" s="112"/>
      <c r="I19" s="112"/>
      <c r="J19" s="112"/>
      <c r="K19" s="112">
        <f>I19+J19</f>
        <v>0</v>
      </c>
      <c r="L19" s="112">
        <f>H19+K19</f>
        <v>0</v>
      </c>
      <c r="M19" s="112">
        <v>0</v>
      </c>
      <c r="N19" s="112">
        <v>200000</v>
      </c>
      <c r="O19" s="112">
        <f>D19-L19-M19-N19</f>
        <v>0</v>
      </c>
      <c r="P19" s="112">
        <f>G19-L19</f>
        <v>0</v>
      </c>
      <c r="Q19" s="112"/>
      <c r="R19" s="112"/>
      <c r="S19" s="112">
        <f>SUM(Q19:R19)</f>
        <v>0</v>
      </c>
      <c r="T19" s="112">
        <f>P19-M19+S19</f>
        <v>0</v>
      </c>
      <c r="U19" s="112">
        <f>N19-T19</f>
        <v>200000</v>
      </c>
      <c r="V19" s="112">
        <f>U19-W19-Z19-AA19</f>
        <v>0</v>
      </c>
      <c r="W19" s="112">
        <v>200000</v>
      </c>
      <c r="X19" s="112"/>
      <c r="Y19" s="112"/>
      <c r="Z19" s="112"/>
      <c r="AA19" s="547"/>
      <c r="AB19" s="3" t="s">
        <v>1049</v>
      </c>
      <c r="AC19" s="3">
        <v>760000</v>
      </c>
      <c r="AD19" s="547"/>
      <c r="AE19" s="547"/>
      <c r="AF19" s="547"/>
      <c r="AG19" s="547"/>
      <c r="AH19" s="547"/>
      <c r="AI19" s="547"/>
      <c r="AJ19" s="547">
        <f t="shared" si="9"/>
        <v>0</v>
      </c>
      <c r="AK19" s="547">
        <f t="shared" si="11"/>
        <v>200000</v>
      </c>
      <c r="AL19" s="547"/>
      <c r="AM19" s="547"/>
      <c r="AN19" s="547">
        <f t="shared" si="10"/>
        <v>200000</v>
      </c>
      <c r="AO19" s="547"/>
      <c r="AP19" s="547">
        <f t="shared" si="12"/>
        <v>200000</v>
      </c>
      <c r="AQ19" s="547"/>
      <c r="AR19" s="547"/>
      <c r="AS19" s="547"/>
      <c r="AT19" s="547"/>
      <c r="AU19" s="547"/>
      <c r="AV19" s="547"/>
      <c r="AW19" s="547">
        <v>200000</v>
      </c>
      <c r="AX19" s="547">
        <f t="shared" si="13"/>
        <v>0</v>
      </c>
      <c r="AY19" s="547"/>
      <c r="AZ19" s="547">
        <f t="shared" si="14"/>
        <v>0</v>
      </c>
      <c r="BA19" s="547"/>
      <c r="BB19" s="547"/>
      <c r="BC19" s="547"/>
      <c r="BD19" s="547"/>
      <c r="BE19" s="547">
        <f t="shared" si="15"/>
        <v>0</v>
      </c>
      <c r="BF19" s="547">
        <f t="shared" si="16"/>
        <v>200000</v>
      </c>
      <c r="BG19" s="547"/>
      <c r="BH19" s="547">
        <f t="shared" si="17"/>
        <v>0</v>
      </c>
      <c r="BI19" s="547"/>
      <c r="BJ19" s="547"/>
      <c r="BK19" s="547"/>
      <c r="BL19" s="547"/>
      <c r="BM19" s="436"/>
    </row>
    <row r="20" spans="1:68" s="40" customFormat="1" ht="30" customHeight="1">
      <c r="A20" s="236">
        <f>COUNT(A6:A19)</f>
        <v>14</v>
      </c>
      <c r="B20" s="20"/>
      <c r="C20" s="208" t="s">
        <v>256</v>
      </c>
      <c r="D20" s="236">
        <f>SUM(D6:D19)</f>
        <v>112760000</v>
      </c>
      <c r="E20" s="236">
        <f t="shared" ref="E20:BL20" si="19">SUM(E6:E19)</f>
        <v>73160000</v>
      </c>
      <c r="F20" s="236">
        <f t="shared" si="19"/>
        <v>39600000</v>
      </c>
      <c r="G20" s="236">
        <f t="shared" si="19"/>
        <v>64273000</v>
      </c>
      <c r="H20" s="236">
        <f t="shared" si="19"/>
        <v>54798202</v>
      </c>
      <c r="I20" s="236">
        <f t="shared" si="19"/>
        <v>43536</v>
      </c>
      <c r="J20" s="236">
        <f t="shared" si="19"/>
        <v>9275931</v>
      </c>
      <c r="K20" s="236">
        <f t="shared" si="19"/>
        <v>9319467</v>
      </c>
      <c r="L20" s="236">
        <f t="shared" si="19"/>
        <v>64117669</v>
      </c>
      <c r="M20" s="236">
        <f t="shared" si="19"/>
        <v>38124</v>
      </c>
      <c r="N20" s="236">
        <f t="shared" si="19"/>
        <v>8920000</v>
      </c>
      <c r="O20" s="236">
        <f t="shared" si="19"/>
        <v>39684207</v>
      </c>
      <c r="P20" s="236">
        <f t="shared" si="19"/>
        <v>155331</v>
      </c>
      <c r="Q20" s="236">
        <f t="shared" si="19"/>
        <v>1000000</v>
      </c>
      <c r="R20" s="236">
        <f t="shared" si="19"/>
        <v>0</v>
      </c>
      <c r="S20" s="236">
        <f t="shared" si="19"/>
        <v>1000000</v>
      </c>
      <c r="T20" s="236">
        <f t="shared" si="19"/>
        <v>1117207</v>
      </c>
      <c r="U20" s="236">
        <f t="shared" si="19"/>
        <v>7802793</v>
      </c>
      <c r="V20" s="236">
        <f t="shared" si="19"/>
        <v>2380000</v>
      </c>
      <c r="W20" s="236">
        <f t="shared" si="19"/>
        <v>4575000</v>
      </c>
      <c r="X20" s="236">
        <f t="shared" si="19"/>
        <v>0</v>
      </c>
      <c r="Y20" s="236">
        <f t="shared" si="19"/>
        <v>0</v>
      </c>
      <c r="Z20" s="236">
        <f t="shared" si="19"/>
        <v>0</v>
      </c>
      <c r="AA20" s="236">
        <f t="shared" si="19"/>
        <v>847793</v>
      </c>
      <c r="AB20" s="236">
        <f t="shared" si="19"/>
        <v>0</v>
      </c>
      <c r="AC20" s="236">
        <f t="shared" si="19"/>
        <v>10274000</v>
      </c>
      <c r="AD20" s="236">
        <f t="shared" si="19"/>
        <v>-352207</v>
      </c>
      <c r="AE20" s="236">
        <f>SUM(AE6:AE19)</f>
        <v>0</v>
      </c>
      <c r="AF20" s="236">
        <f>SUM(AF6:AF19)</f>
        <v>0</v>
      </c>
      <c r="AG20" s="236">
        <f t="shared" ref="AG20:AH20" si="20">SUM(AG6:AG19)</f>
        <v>1275000</v>
      </c>
      <c r="AH20" s="236">
        <f t="shared" si="20"/>
        <v>0</v>
      </c>
      <c r="AI20" s="236">
        <f t="shared" si="19"/>
        <v>0</v>
      </c>
      <c r="AJ20" s="236">
        <f t="shared" si="19"/>
        <v>922793</v>
      </c>
      <c r="AK20" s="236">
        <f t="shared" si="19"/>
        <v>6880000</v>
      </c>
      <c r="AL20" s="236">
        <f t="shared" si="19"/>
        <v>0</v>
      </c>
      <c r="AM20" s="236">
        <f t="shared" si="19"/>
        <v>0</v>
      </c>
      <c r="AN20" s="236">
        <f t="shared" si="19"/>
        <v>6880000</v>
      </c>
      <c r="AO20" s="236">
        <f t="shared" si="19"/>
        <v>2580000</v>
      </c>
      <c r="AP20" s="236">
        <f t="shared" si="19"/>
        <v>3300000</v>
      </c>
      <c r="AQ20" s="236">
        <f t="shared" si="19"/>
        <v>0</v>
      </c>
      <c r="AR20" s="236">
        <f t="shared" si="19"/>
        <v>0</v>
      </c>
      <c r="AS20" s="236">
        <f t="shared" si="19"/>
        <v>0</v>
      </c>
      <c r="AT20" s="236">
        <f t="shared" si="19"/>
        <v>1000000</v>
      </c>
      <c r="AU20" s="236">
        <f t="shared" ref="AU20:AV20" si="21">SUM(AU6:AU19)</f>
        <v>0</v>
      </c>
      <c r="AV20" s="236">
        <f t="shared" si="21"/>
        <v>0</v>
      </c>
      <c r="AW20" s="236">
        <f t="shared" si="19"/>
        <v>5243000</v>
      </c>
      <c r="AX20" s="236">
        <f t="shared" si="19"/>
        <v>1637000</v>
      </c>
      <c r="AY20" s="236">
        <f t="shared" si="19"/>
        <v>0</v>
      </c>
      <c r="AZ20" s="236">
        <f t="shared" si="19"/>
        <v>637000</v>
      </c>
      <c r="BA20" s="236">
        <f t="shared" si="19"/>
        <v>0</v>
      </c>
      <c r="BB20" s="236">
        <f t="shared" si="19"/>
        <v>0</v>
      </c>
      <c r="BC20" s="236">
        <f t="shared" si="19"/>
        <v>0</v>
      </c>
      <c r="BD20" s="236">
        <f t="shared" si="19"/>
        <v>1000000</v>
      </c>
      <c r="BE20" s="236">
        <f t="shared" si="19"/>
        <v>2559793</v>
      </c>
      <c r="BF20" s="236">
        <f t="shared" si="19"/>
        <v>5243000</v>
      </c>
      <c r="BG20" s="236">
        <f t="shared" si="19"/>
        <v>-200000</v>
      </c>
      <c r="BH20" s="236">
        <f t="shared" si="19"/>
        <v>1912000</v>
      </c>
      <c r="BI20" s="236">
        <f t="shared" si="19"/>
        <v>0</v>
      </c>
      <c r="BJ20" s="236">
        <f t="shared" si="19"/>
        <v>0</v>
      </c>
      <c r="BK20" s="236">
        <f t="shared" si="19"/>
        <v>0</v>
      </c>
      <c r="BL20" s="236">
        <f t="shared" si="19"/>
        <v>847793</v>
      </c>
      <c r="BM20" s="436"/>
    </row>
    <row r="21" spans="1:68" s="40" customFormat="1" ht="34.9" hidden="1" customHeight="1">
      <c r="A21" s="500"/>
      <c r="C21" s="225"/>
      <c r="D21" s="306">
        <f>SUM(L20:O20)</f>
        <v>112760000</v>
      </c>
      <c r="E21" s="124"/>
      <c r="F21" s="124">
        <f>D20-E20</f>
        <v>39600000</v>
      </c>
      <c r="G21" s="124"/>
      <c r="H21" s="124"/>
      <c r="I21" s="124"/>
      <c r="J21" s="124"/>
      <c r="K21" s="124"/>
      <c r="L21" s="306">
        <f>H20+K20</f>
        <v>64117669</v>
      </c>
      <c r="M21" s="124"/>
      <c r="N21" s="124"/>
      <c r="O21" s="124"/>
      <c r="P21" s="306">
        <f>G20-L21</f>
        <v>155331</v>
      </c>
      <c r="Q21" s="124"/>
      <c r="R21" s="124"/>
      <c r="S21" s="124"/>
      <c r="T21" s="306">
        <f>P21+S20-M20</f>
        <v>1117207</v>
      </c>
      <c r="U21" s="306">
        <f>N20-T21</f>
        <v>7802793</v>
      </c>
      <c r="V21" s="500"/>
      <c r="W21" s="500"/>
      <c r="X21" s="500"/>
      <c r="Y21" s="500"/>
      <c r="Z21" s="500"/>
      <c r="AA21" s="500"/>
      <c r="AD21" s="551"/>
      <c r="AE21" s="586"/>
      <c r="AF21" s="586"/>
      <c r="AG21" s="586"/>
      <c r="AH21" s="586"/>
      <c r="AI21" s="586"/>
      <c r="AJ21" s="586"/>
      <c r="AK21" s="586"/>
      <c r="AL21" s="232"/>
      <c r="AM21" s="232"/>
      <c r="AN21" s="312"/>
      <c r="AO21" s="232"/>
      <c r="AP21" s="232"/>
      <c r="AQ21" s="232"/>
      <c r="AR21" s="232"/>
      <c r="AS21" s="232"/>
      <c r="AT21" s="232"/>
      <c r="AU21" s="586"/>
      <c r="AV21" s="586"/>
      <c r="AW21" s="586"/>
      <c r="AX21" s="586"/>
      <c r="AY21" s="586"/>
      <c r="AZ21" s="586"/>
      <c r="BA21" s="586"/>
      <c r="BB21" s="586"/>
      <c r="BC21" s="586"/>
      <c r="BD21" s="586"/>
      <c r="BE21" s="586"/>
      <c r="BF21" s="586"/>
      <c r="BG21" s="586"/>
      <c r="BH21" s="586"/>
      <c r="BI21" s="586"/>
      <c r="BJ21" s="586"/>
      <c r="BK21" s="586"/>
      <c r="BL21" s="586"/>
      <c r="BM21" s="436"/>
    </row>
    <row r="22" spans="1:68" s="40" customFormat="1" ht="34.9" hidden="1" customHeight="1">
      <c r="A22" s="500"/>
      <c r="C22" s="225"/>
      <c r="D22" s="306">
        <f>D20-D21</f>
        <v>0</v>
      </c>
      <c r="E22" s="124"/>
      <c r="F22" s="124"/>
      <c r="G22" s="124"/>
      <c r="H22" s="124"/>
      <c r="I22" s="124"/>
      <c r="J22" s="124"/>
      <c r="K22" s="124"/>
      <c r="L22" s="306">
        <f>L20-L21</f>
        <v>0</v>
      </c>
      <c r="M22" s="124"/>
      <c r="N22" s="124"/>
      <c r="O22" s="124"/>
      <c r="P22" s="306">
        <f>P20-P21</f>
        <v>0</v>
      </c>
      <c r="Q22" s="124"/>
      <c r="R22" s="124"/>
      <c r="S22" s="124"/>
      <c r="T22" s="306">
        <f>T20-T21</f>
        <v>0</v>
      </c>
      <c r="U22" s="306">
        <f>U20-U21</f>
        <v>0</v>
      </c>
      <c r="V22" s="500"/>
      <c r="W22" s="500"/>
      <c r="X22" s="500"/>
      <c r="Y22" s="500"/>
      <c r="Z22" s="500"/>
      <c r="AA22" s="500"/>
      <c r="AD22" s="551"/>
      <c r="AE22" s="586"/>
      <c r="AF22" s="586"/>
      <c r="AG22" s="586"/>
      <c r="AH22" s="586"/>
      <c r="AI22" s="586"/>
      <c r="AJ22" s="586"/>
      <c r="AK22" s="586"/>
      <c r="AL22" s="232"/>
      <c r="AM22" s="232"/>
      <c r="AN22" s="312"/>
      <c r="AO22" s="232"/>
      <c r="AP22" s="232"/>
      <c r="AQ22" s="232"/>
      <c r="AR22" s="232"/>
      <c r="AS22" s="232"/>
      <c r="AT22" s="232"/>
      <c r="AU22" s="586"/>
      <c r="AV22" s="586"/>
      <c r="AW22" s="586"/>
      <c r="AX22" s="586"/>
      <c r="AY22" s="586"/>
      <c r="AZ22" s="586"/>
      <c r="BA22" s="586"/>
      <c r="BB22" s="586"/>
      <c r="BC22" s="586"/>
      <c r="BD22" s="586"/>
      <c r="BE22" s="586"/>
      <c r="BF22" s="586"/>
      <c r="BG22" s="586"/>
      <c r="BH22" s="586"/>
      <c r="BI22" s="586"/>
      <c r="BJ22" s="586"/>
      <c r="BK22" s="586"/>
      <c r="BL22" s="586"/>
      <c r="BM22" s="436"/>
    </row>
    <row r="23" spans="1:68" ht="15" hidden="1" customHeight="1"/>
    <row r="24" spans="1:68">
      <c r="AX24" s="323" t="s">
        <v>814</v>
      </c>
    </row>
    <row r="27" spans="1:68">
      <c r="AL27" s="436" t="s">
        <v>1050</v>
      </c>
      <c r="AN27" s="547">
        <f>AN18+AN16</f>
        <v>1365000</v>
      </c>
    </row>
    <row r="131" spans="1:1">
      <c r="A131" s="436">
        <f>COUNT(A6:A130)</f>
        <v>15</v>
      </c>
    </row>
    <row r="134" spans="1:1">
      <c r="A134" s="436">
        <f>A131+1</f>
        <v>16</v>
      </c>
    </row>
    <row r="137" spans="1:1" ht="37.9" customHeight="1"/>
    <row r="140" spans="1:1" ht="70.900000000000006" customHeight="1"/>
    <row r="143" spans="1:1" ht="72" customHeight="1"/>
    <row r="145" ht="43.9" customHeight="1"/>
    <row r="147" ht="30" customHeight="1"/>
  </sheetData>
  <mergeCells count="7">
    <mergeCell ref="BE4:BF4"/>
    <mergeCell ref="BG4:BL4"/>
    <mergeCell ref="AD4:AK4"/>
    <mergeCell ref="AO4:AT4"/>
    <mergeCell ref="A4:C4"/>
    <mergeCell ref="T4:U4"/>
    <mergeCell ref="V4:AA4"/>
  </mergeCells>
  <conditionalFormatting sqref="F6:F12 F18 F14:F16">
    <cfRule type="cellIs" dxfId="103" priority="68" operator="equal">
      <formula>0</formula>
    </cfRule>
  </conditionalFormatting>
  <conditionalFormatting sqref="A2:W3 AB11:AC11 B7:C9 Z2:AA3 Z1:AB1 X1:Y3 V5:W5 AC1:AC3 A1:M1 O1:W1 X5:AB6 D18:G18 I18:Z18 B6:W6 B5:L5 D16:L16 N16:Z16 D14:AC14 A6:A19 D15:Z15 D7:AA12 AC5:AC10">
    <cfRule type="cellIs" dxfId="102" priority="67" operator="equal">
      <formula>0</formula>
    </cfRule>
  </conditionalFormatting>
  <conditionalFormatting sqref="AB9">
    <cfRule type="cellIs" dxfId="101" priority="64" operator="equal">
      <formula>0</formula>
    </cfRule>
  </conditionalFormatting>
  <conditionalFormatting sqref="AB7">
    <cfRule type="cellIs" dxfId="100" priority="66" operator="equal">
      <formula>0</formula>
    </cfRule>
  </conditionalFormatting>
  <conditionalFormatting sqref="AB8">
    <cfRule type="cellIs" dxfId="99" priority="65" operator="equal">
      <formula>0</formula>
    </cfRule>
  </conditionalFormatting>
  <conditionalFormatting sqref="B10:C10">
    <cfRule type="cellIs" dxfId="98" priority="63" operator="equal">
      <formula>0</formula>
    </cfRule>
  </conditionalFormatting>
  <conditionalFormatting sqref="AB10">
    <cfRule type="cellIs" dxfId="97" priority="62" operator="equal">
      <formula>0</formula>
    </cfRule>
  </conditionalFormatting>
  <conditionalFormatting sqref="B14:C14 B11">
    <cfRule type="cellIs" dxfId="96" priority="61" operator="equal">
      <formula>0</formula>
    </cfRule>
  </conditionalFormatting>
  <conditionalFormatting sqref="B11">
    <cfRule type="cellIs" dxfId="95" priority="60" operator="equal">
      <formula>0</formula>
    </cfRule>
  </conditionalFormatting>
  <conditionalFormatting sqref="AB12">
    <cfRule type="cellIs" dxfId="94" priority="59" operator="equal">
      <formula>0</formula>
    </cfRule>
  </conditionalFormatting>
  <conditionalFormatting sqref="B12:C12">
    <cfRule type="cellIs" dxfId="93" priority="58" operator="equal">
      <formula>0</formula>
    </cfRule>
  </conditionalFormatting>
  <conditionalFormatting sqref="AC12">
    <cfRule type="cellIs" dxfId="92" priority="57" operator="equal">
      <formula>0</formula>
    </cfRule>
  </conditionalFormatting>
  <conditionalFormatting sqref="AB2:AB3">
    <cfRule type="cellIs" dxfId="91" priority="56" operator="equal">
      <formula>0</formula>
    </cfRule>
  </conditionalFormatting>
  <conditionalFormatting sqref="C16">
    <cfRule type="cellIs" dxfId="90" priority="55" operator="equal">
      <formula>0</formula>
    </cfRule>
  </conditionalFormatting>
  <conditionalFormatting sqref="AB16">
    <cfRule type="cellIs" dxfId="89" priority="54" operator="equal">
      <formula>0</formula>
    </cfRule>
  </conditionalFormatting>
  <conditionalFormatting sqref="C11">
    <cfRule type="cellIs" dxfId="88" priority="53" operator="equal">
      <formula>0</formula>
    </cfRule>
  </conditionalFormatting>
  <conditionalFormatting sqref="C11">
    <cfRule type="cellIs" dxfId="87" priority="52" operator="equal">
      <formula>0</formula>
    </cfRule>
  </conditionalFormatting>
  <conditionalFormatting sqref="D17:G17 I17:Z17 M16">
    <cfRule type="cellIs" dxfId="86" priority="50" operator="equal">
      <formula>0</formula>
    </cfRule>
  </conditionalFormatting>
  <conditionalFormatting sqref="F17">
    <cfRule type="cellIs" dxfId="85" priority="51" operator="equal">
      <formula>0</formula>
    </cfRule>
  </conditionalFormatting>
  <conditionalFormatting sqref="H17:H18">
    <cfRule type="cellIs" dxfId="84" priority="49" operator="equal">
      <formula>0</formula>
    </cfRule>
  </conditionalFormatting>
  <conditionalFormatting sqref="M5:N5">
    <cfRule type="cellIs" dxfId="83" priority="48" operator="equal">
      <formula>0</formula>
    </cfRule>
  </conditionalFormatting>
  <conditionalFormatting sqref="AD1:AD3 AD21:AD1048576">
    <cfRule type="cellIs" dxfId="82" priority="47" operator="equal">
      <formula>0</formula>
    </cfRule>
  </conditionalFormatting>
  <conditionalFormatting sqref="AI21:AI22">
    <cfRule type="cellIs" dxfId="81" priority="46" operator="equal">
      <formula>0</formula>
    </cfRule>
  </conditionalFormatting>
  <conditionalFormatting sqref="AK21:AK22">
    <cfRule type="cellIs" dxfId="80" priority="45" operator="equal">
      <formula>0</formula>
    </cfRule>
  </conditionalFormatting>
  <conditionalFormatting sqref="O13">
    <cfRule type="cellIs" dxfId="79" priority="44" operator="lessThan">
      <formula>0</formula>
    </cfRule>
  </conditionalFormatting>
  <conditionalFormatting sqref="AN6">
    <cfRule type="cellIs" dxfId="78" priority="29" operator="equal">
      <formula>0</formula>
    </cfRule>
  </conditionalFormatting>
  <conditionalFormatting sqref="AA15:AA19">
    <cfRule type="cellIs" dxfId="77" priority="42" operator="equal">
      <formula>0</formula>
    </cfRule>
  </conditionalFormatting>
  <conditionalFormatting sqref="AD6:AD19 AI6:AK19">
    <cfRule type="cellIs" dxfId="76" priority="36" operator="equal">
      <formula>0</formula>
    </cfRule>
  </conditionalFormatting>
  <conditionalFormatting sqref="AJ5">
    <cfRule type="cellIs" dxfId="75" priority="38" operator="equal">
      <formula>0</formula>
    </cfRule>
  </conditionalFormatting>
  <conditionalFormatting sqref="AF21:AF22">
    <cfRule type="cellIs" dxfId="74" priority="33" operator="equal">
      <formula>0</formula>
    </cfRule>
  </conditionalFormatting>
  <conditionalFormatting sqref="AE21:AE22">
    <cfRule type="cellIs" dxfId="73" priority="35" operator="equal">
      <formula>0</formula>
    </cfRule>
  </conditionalFormatting>
  <conditionalFormatting sqref="AE6:AE19">
    <cfRule type="cellIs" dxfId="72" priority="34" operator="equal">
      <formula>0</formula>
    </cfRule>
  </conditionalFormatting>
  <conditionalFormatting sqref="AF6:AF19">
    <cfRule type="cellIs" dxfId="71" priority="32" operator="equal">
      <formula>0</formula>
    </cfRule>
  </conditionalFormatting>
  <conditionalFormatting sqref="AL6:AM19">
    <cfRule type="cellIs" dxfId="70" priority="31" operator="equal">
      <formula>0</formula>
    </cfRule>
  </conditionalFormatting>
  <conditionalFormatting sqref="AN5">
    <cfRule type="cellIs" dxfId="69" priority="30" operator="equal">
      <formula>0</formula>
    </cfRule>
  </conditionalFormatting>
  <conditionalFormatting sqref="AN7:AN19 AQ7:AT15 AQ17:AT19 AQ16:AS16">
    <cfRule type="cellIs" dxfId="68" priority="27" operator="equal">
      <formula>0</formula>
    </cfRule>
  </conditionalFormatting>
  <conditionalFormatting sqref="AO6:AT6 AO7:AP19">
    <cfRule type="cellIs" dxfId="67" priority="28" operator="equal">
      <formula>0</formula>
    </cfRule>
  </conditionalFormatting>
  <conditionalFormatting sqref="AT16">
    <cfRule type="cellIs" dxfId="66" priority="26" operator="equal">
      <formula>0</formula>
    </cfRule>
  </conditionalFormatting>
  <conditionalFormatting sqref="AG21:AG22">
    <cfRule type="cellIs" dxfId="65" priority="25" operator="equal">
      <formula>0</formula>
    </cfRule>
  </conditionalFormatting>
  <conditionalFormatting sqref="AG6:AG19">
    <cfRule type="cellIs" dxfId="64" priority="24" operator="equal">
      <formula>0</formula>
    </cfRule>
  </conditionalFormatting>
  <conditionalFormatting sqref="AH21:AH22">
    <cfRule type="cellIs" dxfId="63" priority="23" operator="equal">
      <formula>0</formula>
    </cfRule>
  </conditionalFormatting>
  <conditionalFormatting sqref="AH6:AH19">
    <cfRule type="cellIs" dxfId="62" priority="22" operator="equal">
      <formula>0</formula>
    </cfRule>
  </conditionalFormatting>
  <conditionalFormatting sqref="AN27">
    <cfRule type="cellIs" dxfId="61" priority="21" operator="equal">
      <formula>0</formula>
    </cfRule>
  </conditionalFormatting>
  <conditionalFormatting sqref="AW21:BD22">
    <cfRule type="cellIs" dxfId="60" priority="20" operator="equal">
      <formula>0</formula>
    </cfRule>
  </conditionalFormatting>
  <conditionalFormatting sqref="AW6:BD19">
    <cfRule type="cellIs" dxfId="59" priority="19" operator="equal">
      <formula>0</formula>
    </cfRule>
  </conditionalFormatting>
  <conditionalFormatting sqref="BE21:BE22 BG21:BL22">
    <cfRule type="cellIs" dxfId="58" priority="18" operator="equal">
      <formula>0</formula>
    </cfRule>
  </conditionalFormatting>
  <conditionalFormatting sqref="BE6:BE19 BG16:BK16 BG17:BL19 BG12:BK12 BG13:BL15 BG6:BL11">
    <cfRule type="cellIs" dxfId="57" priority="17" operator="equal">
      <formula>0</formula>
    </cfRule>
  </conditionalFormatting>
  <conditionalFormatting sqref="BL12">
    <cfRule type="cellIs" dxfId="56" priority="16" operator="equal">
      <formula>0</formula>
    </cfRule>
  </conditionalFormatting>
  <conditionalFormatting sqref="BL16">
    <cfRule type="cellIs" dxfId="55" priority="15" operator="equal">
      <formula>0</formula>
    </cfRule>
  </conditionalFormatting>
  <conditionalFormatting sqref="AU21:AV22">
    <cfRule type="cellIs" dxfId="54" priority="14" operator="equal">
      <formula>0</formula>
    </cfRule>
  </conditionalFormatting>
  <conditionalFormatting sqref="AU6:AV19">
    <cfRule type="cellIs" dxfId="53" priority="13" operator="equal">
      <formula>0</formula>
    </cfRule>
  </conditionalFormatting>
  <conditionalFormatting sqref="BF21:BF22">
    <cfRule type="cellIs" dxfId="52" priority="12" operator="equal">
      <formula>0</formula>
    </cfRule>
  </conditionalFormatting>
  <conditionalFormatting sqref="BF6:BF19">
    <cfRule type="cellIs" dxfId="51" priority="11" operator="equal">
      <formula>0</formula>
    </cfRule>
  </conditionalFormatting>
  <conditionalFormatting sqref="BN4">
    <cfRule type="cellIs" dxfId="50" priority="1" operator="equal">
      <formula>0</formula>
    </cfRule>
  </conditionalFormatting>
  <conditionalFormatting sqref="AO4 AL4:AM4">
    <cfRule type="cellIs" dxfId="49" priority="10" operator="equal">
      <formula>0</formula>
    </cfRule>
  </conditionalFormatting>
  <conditionalFormatting sqref="AL4:AM4 AO4">
    <cfRule type="cellIs" dxfId="48" priority="9" operator="equal">
      <formula>0</formula>
    </cfRule>
  </conditionalFormatting>
  <conditionalFormatting sqref="BM4:BO4">
    <cfRule type="cellIs" dxfId="47" priority="8" operator="equal">
      <formula>0</formula>
    </cfRule>
  </conditionalFormatting>
  <conditionalFormatting sqref="BM4:BO4">
    <cfRule type="cellIs" dxfId="46" priority="7" operator="equal">
      <formula>0</formula>
    </cfRule>
  </conditionalFormatting>
  <conditionalFormatting sqref="BM4:BO4">
    <cfRule type="cellIs" dxfId="45" priority="6" operator="equal">
      <formula>0</formula>
    </cfRule>
  </conditionalFormatting>
  <conditionalFormatting sqref="BM4:BO4">
    <cfRule type="cellIs" dxfId="44" priority="4" operator="equal">
      <formula>0</formula>
    </cfRule>
  </conditionalFormatting>
  <conditionalFormatting sqref="BM4:BO4">
    <cfRule type="cellIs" dxfId="43" priority="5" operator="equal">
      <formula>0</formula>
    </cfRule>
  </conditionalFormatting>
  <conditionalFormatting sqref="BQ4">
    <cfRule type="cellIs" dxfId="42" priority="3" operator="equal">
      <formula>0</formula>
    </cfRule>
  </conditionalFormatting>
  <conditionalFormatting sqref="BN4">
    <cfRule type="cellIs" dxfId="41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B7D9-2967-432B-A373-D0A12527313B}">
  <dimension ref="A1:BQ145"/>
  <sheetViews>
    <sheetView showZeros="0" rightToLeft="1" zoomScaleNormal="100" workbookViewId="0">
      <pane xSplit="3" ySplit="5" topLeftCell="V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8.85546875" defaultRowHeight="15"/>
  <cols>
    <col min="1" max="1" width="3.7109375" style="559" customWidth="1"/>
    <col min="2" max="2" width="5.7109375" style="559" customWidth="1"/>
    <col min="3" max="3" width="28" style="559" customWidth="1"/>
    <col min="4" max="5" width="10.28515625" style="576" hidden="1" customWidth="1"/>
    <col min="6" max="6" width="8.7109375" style="576" hidden="1" customWidth="1"/>
    <col min="7" max="12" width="9.85546875" style="576" hidden="1" customWidth="1"/>
    <col min="13" max="13" width="8.140625" style="576" hidden="1" customWidth="1"/>
    <col min="14" max="19" width="9.85546875" style="576" hidden="1" customWidth="1"/>
    <col min="20" max="20" width="10.42578125" style="576" customWidth="1"/>
    <col min="21" max="23" width="9.85546875" style="559" customWidth="1"/>
    <col min="24" max="24" width="9.7109375" style="559" customWidth="1"/>
    <col min="25" max="26" width="9.85546875" style="559" hidden="1" customWidth="1"/>
    <col min="27" max="27" width="9.85546875" style="559" customWidth="1"/>
    <col min="28" max="28" width="31.7109375" style="559" hidden="1" customWidth="1"/>
    <col min="29" max="29" width="7" style="559" hidden="1" customWidth="1"/>
    <col min="30" max="30" width="10.42578125" style="559" hidden="1" customWidth="1"/>
    <col min="31" max="36" width="9.28515625" style="559" hidden="1" customWidth="1"/>
    <col min="37" max="37" width="10.5703125" style="559" hidden="1" customWidth="1"/>
    <col min="38" max="39" width="9.28515625" style="589" hidden="1" customWidth="1"/>
    <col min="40" max="40" width="8.85546875" style="559" hidden="1" customWidth="1"/>
    <col min="41" max="44" width="10.7109375" style="589" hidden="1" customWidth="1"/>
    <col min="45" max="45" width="8.85546875" style="589" hidden="1" customWidth="1"/>
    <col min="46" max="46" width="8.85546875" style="559" hidden="1" customWidth="1"/>
    <col min="47" max="56" width="9.28515625" style="589" hidden="1" customWidth="1"/>
    <col min="57" max="57" width="12.7109375" style="589" customWidth="1"/>
    <col min="58" max="58" width="9.85546875" style="559" customWidth="1"/>
    <col min="59" max="59" width="10.85546875" style="589" customWidth="1"/>
    <col min="60" max="60" width="10.5703125" style="589" customWidth="1"/>
    <col min="61" max="61" width="10.7109375" style="589" customWidth="1"/>
    <col min="62" max="63" width="9.28515625" style="589" hidden="1" customWidth="1"/>
    <col min="64" max="64" width="10.7109375" style="589" customWidth="1"/>
    <col min="65" max="66" width="9.28515625" style="559" customWidth="1"/>
    <col min="67" max="16384" width="8.85546875" style="559"/>
  </cols>
  <sheetData>
    <row r="1" spans="1:69" s="585" customFormat="1" ht="18.75">
      <c r="A1" s="582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D1" s="559"/>
      <c r="AE1" s="559"/>
      <c r="AF1" s="559"/>
      <c r="AG1" s="559"/>
      <c r="AH1" s="559"/>
      <c r="AI1" s="559"/>
      <c r="AJ1" s="559"/>
      <c r="AK1" s="559"/>
      <c r="AL1" s="589"/>
      <c r="AM1" s="589"/>
      <c r="AO1" s="589"/>
      <c r="AP1" s="589"/>
      <c r="AQ1" s="589"/>
      <c r="AR1" s="589"/>
      <c r="AS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59"/>
      <c r="BG1" s="589"/>
      <c r="BH1" s="589"/>
      <c r="BI1" s="589"/>
      <c r="BJ1" s="589"/>
      <c r="BK1" s="589"/>
      <c r="BL1" s="589"/>
      <c r="BM1" s="559"/>
      <c r="BN1" s="559"/>
    </row>
    <row r="2" spans="1:69" ht="18.75">
      <c r="A2" s="582" t="s">
        <v>1391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2"/>
      <c r="Y2" s="582"/>
      <c r="Z2" s="582"/>
    </row>
    <row r="3" spans="1:69" ht="18.75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  <c r="U3" s="582"/>
      <c r="V3" s="582"/>
      <c r="W3" s="582"/>
      <c r="X3" s="582"/>
      <c r="Y3" s="582"/>
      <c r="Z3" s="582"/>
    </row>
    <row r="4" spans="1:69" s="10" customFormat="1" ht="20.45" customHeight="1">
      <c r="A4" s="822"/>
      <c r="B4" s="823"/>
      <c r="C4" s="82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D4" s="807" t="s">
        <v>902</v>
      </c>
      <c r="AE4" s="808"/>
      <c r="AF4" s="808"/>
      <c r="AG4" s="808"/>
      <c r="AH4" s="808"/>
      <c r="AI4" s="808"/>
      <c r="AJ4" s="808"/>
      <c r="AK4" s="809"/>
      <c r="AL4" s="573"/>
      <c r="AM4" s="573"/>
      <c r="AO4" s="807" t="s">
        <v>904</v>
      </c>
      <c r="AP4" s="808"/>
      <c r="AQ4" s="808"/>
      <c r="AR4" s="808"/>
      <c r="AS4" s="808"/>
      <c r="AT4" s="809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  <c r="BM4" s="572"/>
      <c r="BN4" s="573"/>
      <c r="BO4" s="572"/>
      <c r="BQ4" s="573"/>
    </row>
    <row r="5" spans="1:69" s="589" customFormat="1" ht="67.5" customHeight="1">
      <c r="A5" s="270" t="s">
        <v>0</v>
      </c>
      <c r="B5" s="270" t="s">
        <v>1</v>
      </c>
      <c r="C5" s="270" t="s">
        <v>2</v>
      </c>
      <c r="D5" s="270" t="s">
        <v>3</v>
      </c>
      <c r="E5" s="270" t="s">
        <v>4</v>
      </c>
      <c r="F5" s="270" t="s">
        <v>5</v>
      </c>
      <c r="G5" s="270" t="s">
        <v>6</v>
      </c>
      <c r="H5" s="270" t="s">
        <v>7</v>
      </c>
      <c r="I5" s="270" t="s">
        <v>9</v>
      </c>
      <c r="J5" s="270" t="s">
        <v>101</v>
      </c>
      <c r="K5" s="270" t="s">
        <v>10</v>
      </c>
      <c r="L5" s="270" t="s">
        <v>11</v>
      </c>
      <c r="M5" s="270" t="s">
        <v>568</v>
      </c>
      <c r="N5" s="270" t="s">
        <v>569</v>
      </c>
      <c r="O5" s="494" t="s">
        <v>570</v>
      </c>
      <c r="P5" s="494" t="s">
        <v>12</v>
      </c>
      <c r="Q5" s="494" t="s">
        <v>571</v>
      </c>
      <c r="R5" s="494" t="s">
        <v>572</v>
      </c>
      <c r="S5" s="494" t="s">
        <v>573</v>
      </c>
      <c r="T5" s="494" t="s">
        <v>574</v>
      </c>
      <c r="U5" s="494" t="s">
        <v>575</v>
      </c>
      <c r="V5" s="270" t="s">
        <v>13</v>
      </c>
      <c r="W5" s="270" t="s">
        <v>14</v>
      </c>
      <c r="X5" s="270" t="s">
        <v>15</v>
      </c>
      <c r="Y5" s="270" t="s">
        <v>185</v>
      </c>
      <c r="Z5" s="270" t="s">
        <v>385</v>
      </c>
      <c r="AA5" s="270" t="s">
        <v>67</v>
      </c>
      <c r="AB5" s="590" t="s">
        <v>207</v>
      </c>
      <c r="AC5" s="270" t="s">
        <v>16</v>
      </c>
      <c r="AD5" s="568" t="s">
        <v>905</v>
      </c>
      <c r="AE5" s="568" t="s">
        <v>906</v>
      </c>
      <c r="AF5" s="568" t="s">
        <v>907</v>
      </c>
      <c r="AG5" s="568" t="s">
        <v>908</v>
      </c>
      <c r="AH5" s="568" t="s">
        <v>909</v>
      </c>
      <c r="AI5" s="568" t="s">
        <v>910</v>
      </c>
      <c r="AJ5" s="568" t="s">
        <v>911</v>
      </c>
      <c r="AK5" s="568" t="s">
        <v>912</v>
      </c>
      <c r="AL5" s="568" t="s">
        <v>913</v>
      </c>
      <c r="AM5" s="568" t="s">
        <v>914</v>
      </c>
      <c r="AN5" s="568" t="s">
        <v>915</v>
      </c>
      <c r="AO5" s="494" t="s">
        <v>13</v>
      </c>
      <c r="AP5" s="494" t="s">
        <v>14</v>
      </c>
      <c r="AQ5" s="494" t="s">
        <v>15</v>
      </c>
      <c r="AR5" s="494" t="s">
        <v>185</v>
      </c>
      <c r="AS5" s="494" t="s">
        <v>385</v>
      </c>
      <c r="AT5" s="494" t="s">
        <v>67</v>
      </c>
      <c r="AU5" s="494" t="s">
        <v>916</v>
      </c>
      <c r="AV5" s="494" t="s">
        <v>917</v>
      </c>
      <c r="AW5" s="494" t="s">
        <v>918</v>
      </c>
      <c r="AX5" s="494" t="s">
        <v>919</v>
      </c>
      <c r="AY5" s="494" t="s">
        <v>13</v>
      </c>
      <c r="AZ5" s="494" t="s">
        <v>14</v>
      </c>
      <c r="BA5" s="494" t="s">
        <v>15</v>
      </c>
      <c r="BB5" s="494" t="s">
        <v>185</v>
      </c>
      <c r="BC5" s="494" t="s">
        <v>385</v>
      </c>
      <c r="BD5" s="494" t="s">
        <v>67</v>
      </c>
      <c r="BE5" s="494" t="s">
        <v>1355</v>
      </c>
      <c r="BF5" s="494" t="s">
        <v>1350</v>
      </c>
      <c r="BG5" s="494" t="s">
        <v>13</v>
      </c>
      <c r="BH5" s="494" t="s">
        <v>14</v>
      </c>
      <c r="BI5" s="494" t="s">
        <v>15</v>
      </c>
      <c r="BJ5" s="494" t="s">
        <v>185</v>
      </c>
      <c r="BK5" s="494" t="s">
        <v>385</v>
      </c>
      <c r="BL5" s="494" t="s">
        <v>67</v>
      </c>
      <c r="BM5" s="559"/>
      <c r="BN5" s="559"/>
    </row>
    <row r="6" spans="1:69" s="578" customFormat="1" ht="30" customHeight="1">
      <c r="A6" s="213">
        <v>1</v>
      </c>
      <c r="B6" s="213">
        <v>470</v>
      </c>
      <c r="C6" s="213" t="s">
        <v>54</v>
      </c>
      <c r="D6" s="257">
        <v>2130000</v>
      </c>
      <c r="E6" s="257">
        <v>2130000</v>
      </c>
      <c r="F6" s="257">
        <f t="shared" ref="F6:F19" si="0">D6-E6</f>
        <v>0</v>
      </c>
      <c r="G6" s="257">
        <v>1830000</v>
      </c>
      <c r="H6" s="257">
        <v>1737007</v>
      </c>
      <c r="I6" s="257"/>
      <c r="J6" s="257"/>
      <c r="K6" s="257">
        <f>SUM(I6:J6)</f>
        <v>0</v>
      </c>
      <c r="L6" s="257">
        <f t="shared" ref="L6:L19" si="1">H6+K6</f>
        <v>1737007</v>
      </c>
      <c r="M6" s="257">
        <f>P6+S6-90000</f>
        <v>2993</v>
      </c>
      <c r="N6" s="257">
        <v>90000</v>
      </c>
      <c r="O6" s="257">
        <f t="shared" ref="O6:O19" si="2">D6-L6-M6-N6</f>
        <v>300000</v>
      </c>
      <c r="P6" s="257">
        <f t="shared" ref="P6:P19" si="3">G6-L6</f>
        <v>92993</v>
      </c>
      <c r="Q6" s="257"/>
      <c r="R6" s="257"/>
      <c r="S6" s="257">
        <f t="shared" ref="S6:S19" si="4">SUM(Q6:R6)</f>
        <v>0</v>
      </c>
      <c r="T6" s="257">
        <f t="shared" ref="T6:T19" si="5">P6-M6+S6</f>
        <v>90000</v>
      </c>
      <c r="U6" s="257">
        <f t="shared" ref="U6:U19" si="6">N6-T6</f>
        <v>0</v>
      </c>
      <c r="V6" s="257">
        <f t="shared" ref="V6:V18" si="7">U6-W6-Z6-AA6</f>
        <v>0</v>
      </c>
      <c r="W6" s="257"/>
      <c r="X6" s="257"/>
      <c r="Y6" s="257"/>
      <c r="Z6" s="257"/>
      <c r="AA6" s="213"/>
      <c r="AB6" s="207" t="s">
        <v>239</v>
      </c>
      <c r="AC6" s="213">
        <v>935000</v>
      </c>
      <c r="AD6" s="257"/>
      <c r="AE6" s="257"/>
      <c r="AF6" s="257"/>
      <c r="AG6" s="257"/>
      <c r="AH6" s="257"/>
      <c r="AI6" s="257"/>
      <c r="AJ6" s="257">
        <f t="shared" ref="AJ6:AJ20" si="8">SUM(AD6:AI6)+AL6</f>
        <v>0</v>
      </c>
      <c r="AK6" s="257">
        <f>U6-AJ6</f>
        <v>0</v>
      </c>
      <c r="AL6" s="257"/>
      <c r="AM6" s="257"/>
      <c r="AN6" s="257">
        <f t="shared" ref="AN6:AN20" si="9">AK6+AM6</f>
        <v>0</v>
      </c>
      <c r="AO6" s="494">
        <f>AN6-AP6-AQ6-AR6-AS6-AT6</f>
        <v>0</v>
      </c>
      <c r="AP6" s="494"/>
      <c r="AQ6" s="494"/>
      <c r="AR6" s="494"/>
      <c r="AS6" s="494"/>
      <c r="AT6" s="494"/>
      <c r="AU6" s="257">
        <f>AM6-AW6</f>
        <v>0</v>
      </c>
      <c r="AV6" s="257">
        <f>AM6-AW6</f>
        <v>0</v>
      </c>
      <c r="AW6" s="257"/>
      <c r="AX6" s="257">
        <f>AN6-AW6</f>
        <v>0</v>
      </c>
      <c r="AY6" s="257">
        <f>AX6-AZ6-BA6-BB6-BC6-BD6</f>
        <v>0</v>
      </c>
      <c r="AZ6" s="257"/>
      <c r="BA6" s="257"/>
      <c r="BB6" s="257"/>
      <c r="BC6" s="257"/>
      <c r="BD6" s="257"/>
      <c r="BE6" s="257">
        <f>AX6+AJ6</f>
        <v>0</v>
      </c>
      <c r="BF6" s="257">
        <f>U6-BE6</f>
        <v>0</v>
      </c>
      <c r="BG6" s="257">
        <f>BE6</f>
        <v>0</v>
      </c>
      <c r="BH6" s="257"/>
      <c r="BI6" s="257"/>
      <c r="BJ6" s="257"/>
      <c r="BK6" s="257"/>
      <c r="BL6" s="257"/>
      <c r="BM6" s="559"/>
      <c r="BN6" s="559"/>
    </row>
    <row r="7" spans="1:69" s="578" customFormat="1" ht="30" customHeight="1">
      <c r="A7" s="213">
        <f>A6+1</f>
        <v>2</v>
      </c>
      <c r="B7" s="213">
        <v>1066</v>
      </c>
      <c r="C7" s="213" t="s">
        <v>55</v>
      </c>
      <c r="D7" s="257">
        <v>75000</v>
      </c>
      <c r="E7" s="257">
        <v>75000</v>
      </c>
      <c r="F7" s="257">
        <f t="shared" si="0"/>
        <v>0</v>
      </c>
      <c r="G7" s="257">
        <v>75000</v>
      </c>
      <c r="H7" s="257">
        <v>40172</v>
      </c>
      <c r="I7" s="257"/>
      <c r="J7" s="257"/>
      <c r="K7" s="257">
        <f t="shared" ref="K7:K19" si="10">SUM(I7:J7)</f>
        <v>0</v>
      </c>
      <c r="L7" s="257">
        <f t="shared" si="1"/>
        <v>40172</v>
      </c>
      <c r="M7" s="257">
        <f>P7+S7-30000</f>
        <v>4828</v>
      </c>
      <c r="N7" s="257">
        <v>30000</v>
      </c>
      <c r="O7" s="257">
        <f t="shared" si="2"/>
        <v>0</v>
      </c>
      <c r="P7" s="257">
        <f t="shared" si="3"/>
        <v>34828</v>
      </c>
      <c r="Q7" s="257"/>
      <c r="R7" s="257"/>
      <c r="S7" s="257">
        <f t="shared" si="4"/>
        <v>0</v>
      </c>
      <c r="T7" s="257">
        <f t="shared" si="5"/>
        <v>30000</v>
      </c>
      <c r="U7" s="257">
        <f t="shared" si="6"/>
        <v>0</v>
      </c>
      <c r="V7" s="257">
        <f t="shared" si="7"/>
        <v>0</v>
      </c>
      <c r="W7" s="257"/>
      <c r="X7" s="257"/>
      <c r="Y7" s="257"/>
      <c r="Z7" s="257"/>
      <c r="AA7" s="213"/>
      <c r="AB7" s="213" t="s">
        <v>253</v>
      </c>
      <c r="AC7" s="213">
        <v>935000</v>
      </c>
      <c r="AD7" s="257"/>
      <c r="AE7" s="257"/>
      <c r="AF7" s="257"/>
      <c r="AG7" s="257"/>
      <c r="AH7" s="257"/>
      <c r="AI7" s="257"/>
      <c r="AJ7" s="257">
        <f t="shared" si="8"/>
        <v>0</v>
      </c>
      <c r="AK7" s="257">
        <f t="shared" ref="AK7:AK20" si="11">U7-AJ7</f>
        <v>0</v>
      </c>
      <c r="AL7" s="257"/>
      <c r="AM7" s="257"/>
      <c r="AN7" s="257">
        <f t="shared" si="9"/>
        <v>0</v>
      </c>
      <c r="AO7" s="494">
        <f t="shared" ref="AO7:AO20" si="12">AN7-AP7-AQ7-AR7-AS7-AT7</f>
        <v>0</v>
      </c>
      <c r="AP7" s="257"/>
      <c r="AQ7" s="257"/>
      <c r="AR7" s="257"/>
      <c r="AS7" s="257"/>
      <c r="AT7" s="257"/>
      <c r="AU7" s="257"/>
      <c r="AV7" s="257"/>
      <c r="AW7" s="257"/>
      <c r="AX7" s="257">
        <f t="shared" ref="AX7:AX20" si="13">AN7-AW7</f>
        <v>0</v>
      </c>
      <c r="AY7" s="257">
        <f t="shared" ref="AY7:AY20" si="14">AX7-AZ7-BA7-BB7-BC7-BD7</f>
        <v>0</v>
      </c>
      <c r="AZ7" s="257"/>
      <c r="BA7" s="257"/>
      <c r="BB7" s="257"/>
      <c r="BC7" s="257"/>
      <c r="BD7" s="257"/>
      <c r="BE7" s="257">
        <f t="shared" ref="BE7:BE20" si="15">AX7+AJ7</f>
        <v>0</v>
      </c>
      <c r="BF7" s="257">
        <f t="shared" ref="BF7:BF20" si="16">U7-BE7</f>
        <v>0</v>
      </c>
      <c r="BG7" s="257">
        <f t="shared" ref="BG7:BG20" si="17">BE7</f>
        <v>0</v>
      </c>
      <c r="BH7" s="257"/>
      <c r="BI7" s="257"/>
      <c r="BJ7" s="257"/>
      <c r="BK7" s="257"/>
      <c r="BL7" s="257"/>
      <c r="BM7" s="559"/>
      <c r="BN7" s="559"/>
    </row>
    <row r="8" spans="1:69" s="578" customFormat="1" ht="30" customHeight="1">
      <c r="A8" s="213">
        <f t="shared" ref="A8:A20" si="18">A7+1</f>
        <v>3</v>
      </c>
      <c r="B8" s="213">
        <v>1177</v>
      </c>
      <c r="C8" s="213" t="s">
        <v>1051</v>
      </c>
      <c r="D8" s="257">
        <v>41850000</v>
      </c>
      <c r="E8" s="257">
        <v>41850000</v>
      </c>
      <c r="F8" s="257">
        <f t="shared" si="0"/>
        <v>0</v>
      </c>
      <c r="G8" s="257">
        <v>28957000</v>
      </c>
      <c r="H8" s="257">
        <v>26879753</v>
      </c>
      <c r="I8" s="257"/>
      <c r="J8" s="257"/>
      <c r="K8" s="257">
        <f t="shared" si="10"/>
        <v>0</v>
      </c>
      <c r="L8" s="257">
        <f t="shared" si="1"/>
        <v>26879753</v>
      </c>
      <c r="M8" s="257">
        <f>P8+S8-2000000-70000</f>
        <v>7247</v>
      </c>
      <c r="N8" s="257">
        <f>2000000+70000</f>
        <v>2070000</v>
      </c>
      <c r="O8" s="257">
        <f t="shared" si="2"/>
        <v>12893000</v>
      </c>
      <c r="P8" s="257">
        <f t="shared" si="3"/>
        <v>2077247</v>
      </c>
      <c r="Q8" s="257"/>
      <c r="R8" s="257"/>
      <c r="S8" s="257">
        <f t="shared" si="4"/>
        <v>0</v>
      </c>
      <c r="T8" s="257">
        <f t="shared" si="5"/>
        <v>2070000</v>
      </c>
      <c r="U8" s="257">
        <f t="shared" si="6"/>
        <v>0</v>
      </c>
      <c r="V8" s="257">
        <f t="shared" si="7"/>
        <v>0</v>
      </c>
      <c r="W8" s="257"/>
      <c r="X8" s="257"/>
      <c r="Y8" s="257"/>
      <c r="Z8" s="257"/>
      <c r="AA8" s="213"/>
      <c r="AB8" s="213" t="s">
        <v>1052</v>
      </c>
      <c r="AC8" s="213">
        <v>930000</v>
      </c>
      <c r="AD8" s="257"/>
      <c r="AE8" s="257"/>
      <c r="AF8" s="257"/>
      <c r="AG8" s="257"/>
      <c r="AH8" s="257"/>
      <c r="AI8" s="257"/>
      <c r="AJ8" s="257">
        <f t="shared" si="8"/>
        <v>0</v>
      </c>
      <c r="AK8" s="257">
        <f t="shared" si="11"/>
        <v>0</v>
      </c>
      <c r="AL8" s="257"/>
      <c r="AM8" s="257"/>
      <c r="AN8" s="257">
        <f t="shared" si="9"/>
        <v>0</v>
      </c>
      <c r="AO8" s="257">
        <f t="shared" si="12"/>
        <v>0</v>
      </c>
      <c r="AP8" s="257"/>
      <c r="AQ8" s="257"/>
      <c r="AR8" s="257"/>
      <c r="AS8" s="257"/>
      <c r="AT8" s="257"/>
      <c r="AU8" s="257"/>
      <c r="AV8" s="257"/>
      <c r="AW8" s="257"/>
      <c r="AX8" s="257">
        <f t="shared" si="13"/>
        <v>0</v>
      </c>
      <c r="AY8" s="257">
        <f t="shared" si="14"/>
        <v>0</v>
      </c>
      <c r="AZ8" s="257"/>
      <c r="BA8" s="257"/>
      <c r="BB8" s="257"/>
      <c r="BC8" s="257"/>
      <c r="BD8" s="257"/>
      <c r="BE8" s="257">
        <f t="shared" si="15"/>
        <v>0</v>
      </c>
      <c r="BF8" s="257">
        <f t="shared" si="16"/>
        <v>0</v>
      </c>
      <c r="BG8" s="257">
        <f t="shared" si="17"/>
        <v>0</v>
      </c>
      <c r="BH8" s="257"/>
      <c r="BI8" s="257"/>
      <c r="BJ8" s="257"/>
      <c r="BK8" s="257"/>
      <c r="BL8" s="257"/>
      <c r="BM8" s="559"/>
      <c r="BN8" s="559"/>
    </row>
    <row r="9" spans="1:69" s="578" customFormat="1" ht="30" customHeight="1">
      <c r="A9" s="213">
        <f t="shared" si="18"/>
        <v>4</v>
      </c>
      <c r="B9" s="213">
        <v>1258</v>
      </c>
      <c r="C9" s="213" t="s">
        <v>56</v>
      </c>
      <c r="D9" s="257">
        <v>1400000</v>
      </c>
      <c r="E9" s="257">
        <v>1400000</v>
      </c>
      <c r="F9" s="257">
        <f t="shared" si="0"/>
        <v>0</v>
      </c>
      <c r="G9" s="257">
        <v>1300000</v>
      </c>
      <c r="H9" s="257">
        <v>963794</v>
      </c>
      <c r="I9" s="257"/>
      <c r="J9" s="257"/>
      <c r="K9" s="257">
        <f t="shared" si="10"/>
        <v>0</v>
      </c>
      <c r="L9" s="257">
        <f t="shared" si="1"/>
        <v>963794</v>
      </c>
      <c r="M9" s="257">
        <f>P9+S9-300000-35000</f>
        <v>1206</v>
      </c>
      <c r="N9" s="257">
        <f>300000+35000-100000</f>
        <v>235000</v>
      </c>
      <c r="O9" s="257">
        <f t="shared" si="2"/>
        <v>200000</v>
      </c>
      <c r="P9" s="257">
        <f t="shared" si="3"/>
        <v>336206</v>
      </c>
      <c r="Q9" s="257"/>
      <c r="R9" s="257"/>
      <c r="S9" s="257">
        <f t="shared" si="4"/>
        <v>0</v>
      </c>
      <c r="T9" s="257">
        <f t="shared" si="5"/>
        <v>335000</v>
      </c>
      <c r="U9" s="257">
        <f t="shared" si="6"/>
        <v>-100000</v>
      </c>
      <c r="V9" s="257">
        <f t="shared" si="7"/>
        <v>-100000</v>
      </c>
      <c r="W9" s="257"/>
      <c r="X9" s="257"/>
      <c r="Y9" s="257"/>
      <c r="Z9" s="257"/>
      <c r="AA9" s="213"/>
      <c r="AB9" s="203" t="s">
        <v>206</v>
      </c>
      <c r="AC9" s="213">
        <v>930000</v>
      </c>
      <c r="AD9" s="257">
        <v>-100000</v>
      </c>
      <c r="AE9" s="257"/>
      <c r="AF9" s="257"/>
      <c r="AG9" s="257"/>
      <c r="AH9" s="257"/>
      <c r="AI9" s="257"/>
      <c r="AJ9" s="257">
        <f t="shared" si="8"/>
        <v>-100000</v>
      </c>
      <c r="AK9" s="257">
        <f t="shared" si="11"/>
        <v>0</v>
      </c>
      <c r="AL9" s="257"/>
      <c r="AM9" s="257"/>
      <c r="AN9" s="257">
        <f t="shared" si="9"/>
        <v>0</v>
      </c>
      <c r="AO9" s="257">
        <f t="shared" si="12"/>
        <v>0</v>
      </c>
      <c r="AP9" s="257"/>
      <c r="AQ9" s="257"/>
      <c r="AR9" s="257"/>
      <c r="AS9" s="257"/>
      <c r="AT9" s="257"/>
      <c r="AU9" s="257"/>
      <c r="AV9" s="257"/>
      <c r="AW9" s="257"/>
      <c r="AX9" s="257">
        <f t="shared" si="13"/>
        <v>0</v>
      </c>
      <c r="AY9" s="257">
        <f t="shared" si="14"/>
        <v>0</v>
      </c>
      <c r="AZ9" s="257"/>
      <c r="BA9" s="257"/>
      <c r="BB9" s="257"/>
      <c r="BC9" s="257"/>
      <c r="BD9" s="257"/>
      <c r="BE9" s="257">
        <f t="shared" si="15"/>
        <v>-100000</v>
      </c>
      <c r="BF9" s="257">
        <f t="shared" si="16"/>
        <v>0</v>
      </c>
      <c r="BG9" s="257">
        <f t="shared" si="17"/>
        <v>-100000</v>
      </c>
      <c r="BH9" s="257"/>
      <c r="BI9" s="257"/>
      <c r="BJ9" s="257"/>
      <c r="BK9" s="257"/>
      <c r="BL9" s="257"/>
      <c r="BM9" s="559"/>
      <c r="BN9" s="559"/>
    </row>
    <row r="10" spans="1:69" s="578" customFormat="1" ht="30" customHeight="1">
      <c r="A10" s="213">
        <f t="shared" si="18"/>
        <v>5</v>
      </c>
      <c r="B10" s="213">
        <v>1330</v>
      </c>
      <c r="C10" s="213" t="s">
        <v>57</v>
      </c>
      <c r="D10" s="257">
        <v>60700000</v>
      </c>
      <c r="E10" s="257">
        <v>60700000</v>
      </c>
      <c r="F10" s="257">
        <f t="shared" si="0"/>
        <v>0</v>
      </c>
      <c r="G10" s="257">
        <v>17249825</v>
      </c>
      <c r="H10" s="257">
        <v>8203636</v>
      </c>
      <c r="I10" s="257"/>
      <c r="J10" s="257">
        <v>21341</v>
      </c>
      <c r="K10" s="257">
        <f t="shared" si="10"/>
        <v>21341</v>
      </c>
      <c r="L10" s="257">
        <f t="shared" si="1"/>
        <v>8224977</v>
      </c>
      <c r="M10" s="257">
        <f>P10+S10-9000000-20000</f>
        <v>4848</v>
      </c>
      <c r="N10" s="257">
        <f>9000000+20000</f>
        <v>9020000</v>
      </c>
      <c r="O10" s="257">
        <f t="shared" si="2"/>
        <v>43450175</v>
      </c>
      <c r="P10" s="257">
        <f t="shared" si="3"/>
        <v>9024848</v>
      </c>
      <c r="Q10" s="257"/>
      <c r="R10" s="257"/>
      <c r="S10" s="257">
        <f t="shared" si="4"/>
        <v>0</v>
      </c>
      <c r="T10" s="257">
        <f t="shared" si="5"/>
        <v>9020000</v>
      </c>
      <c r="U10" s="257">
        <f t="shared" si="6"/>
        <v>0</v>
      </c>
      <c r="V10" s="257">
        <f t="shared" si="7"/>
        <v>0</v>
      </c>
      <c r="W10" s="257"/>
      <c r="X10" s="257"/>
      <c r="Y10" s="257"/>
      <c r="Z10" s="257"/>
      <c r="AA10" s="213"/>
      <c r="AB10" s="213" t="s">
        <v>1053</v>
      </c>
      <c r="AC10" s="213">
        <v>930000</v>
      </c>
      <c r="AD10" s="257"/>
      <c r="AE10" s="257"/>
      <c r="AF10" s="257"/>
      <c r="AG10" s="257"/>
      <c r="AH10" s="257"/>
      <c r="AI10" s="257"/>
      <c r="AJ10" s="257">
        <f t="shared" si="8"/>
        <v>0</v>
      </c>
      <c r="AK10" s="257">
        <f t="shared" si="11"/>
        <v>0</v>
      </c>
      <c r="AL10" s="257"/>
      <c r="AM10" s="257"/>
      <c r="AN10" s="257">
        <f t="shared" si="9"/>
        <v>0</v>
      </c>
      <c r="AO10" s="257">
        <f t="shared" si="12"/>
        <v>0</v>
      </c>
      <c r="AP10" s="257"/>
      <c r="AQ10" s="257"/>
      <c r="AR10" s="257"/>
      <c r="AS10" s="257"/>
      <c r="AT10" s="257"/>
      <c r="AU10" s="257"/>
      <c r="AV10" s="257"/>
      <c r="AW10" s="257"/>
      <c r="AX10" s="257">
        <f t="shared" si="13"/>
        <v>0</v>
      </c>
      <c r="AY10" s="257">
        <f t="shared" si="14"/>
        <v>0</v>
      </c>
      <c r="AZ10" s="257"/>
      <c r="BA10" s="257"/>
      <c r="BB10" s="257"/>
      <c r="BC10" s="257"/>
      <c r="BD10" s="257"/>
      <c r="BE10" s="257">
        <f t="shared" si="15"/>
        <v>0</v>
      </c>
      <c r="BF10" s="257">
        <f t="shared" si="16"/>
        <v>0</v>
      </c>
      <c r="BG10" s="257">
        <f t="shared" si="17"/>
        <v>0</v>
      </c>
      <c r="BH10" s="257"/>
      <c r="BI10" s="257"/>
      <c r="BJ10" s="257"/>
      <c r="BK10" s="257"/>
      <c r="BL10" s="257"/>
      <c r="BM10" s="559"/>
      <c r="BN10" s="559"/>
    </row>
    <row r="11" spans="1:69" s="578" customFormat="1" ht="30" customHeight="1">
      <c r="A11" s="213">
        <f t="shared" si="18"/>
        <v>6</v>
      </c>
      <c r="B11" s="213">
        <v>1704</v>
      </c>
      <c r="C11" s="213" t="s">
        <v>1473</v>
      </c>
      <c r="D11" s="257">
        <v>5784000</v>
      </c>
      <c r="E11" s="257">
        <v>5784000</v>
      </c>
      <c r="F11" s="257">
        <f t="shared" si="0"/>
        <v>0</v>
      </c>
      <c r="G11" s="257">
        <v>1580000</v>
      </c>
      <c r="H11" s="257">
        <v>803706</v>
      </c>
      <c r="I11" s="257"/>
      <c r="J11" s="257"/>
      <c r="K11" s="257">
        <f t="shared" si="10"/>
        <v>0</v>
      </c>
      <c r="L11" s="257">
        <f t="shared" si="1"/>
        <v>803706</v>
      </c>
      <c r="M11" s="257">
        <f>P11+S11-600000-175000</f>
        <v>1294</v>
      </c>
      <c r="N11" s="257">
        <v>600000</v>
      </c>
      <c r="O11" s="257">
        <f t="shared" si="2"/>
        <v>4379000</v>
      </c>
      <c r="P11" s="257">
        <f t="shared" si="3"/>
        <v>776294</v>
      </c>
      <c r="Q11" s="257"/>
      <c r="R11" s="257"/>
      <c r="S11" s="257">
        <f t="shared" si="4"/>
        <v>0</v>
      </c>
      <c r="T11" s="257">
        <f t="shared" si="5"/>
        <v>775000</v>
      </c>
      <c r="U11" s="257">
        <f t="shared" si="6"/>
        <v>-175000</v>
      </c>
      <c r="V11" s="257">
        <f t="shared" si="7"/>
        <v>-175000</v>
      </c>
      <c r="W11" s="257"/>
      <c r="X11" s="257"/>
      <c r="Y11" s="257"/>
      <c r="Z11" s="257"/>
      <c r="AA11" s="213"/>
      <c r="AB11" s="203" t="s">
        <v>562</v>
      </c>
      <c r="AC11" s="213">
        <v>930000</v>
      </c>
      <c r="AD11" s="257">
        <v>-175000</v>
      </c>
      <c r="AE11" s="257"/>
      <c r="AF11" s="257"/>
      <c r="AG11" s="257"/>
      <c r="AH11" s="257"/>
      <c r="AI11" s="257"/>
      <c r="AJ11" s="257">
        <f t="shared" si="8"/>
        <v>-175000</v>
      </c>
      <c r="AK11" s="257">
        <f t="shared" si="11"/>
        <v>0</v>
      </c>
      <c r="AL11" s="257"/>
      <c r="AM11" s="257"/>
      <c r="AN11" s="257">
        <f t="shared" si="9"/>
        <v>0</v>
      </c>
      <c r="AO11" s="257">
        <f t="shared" si="12"/>
        <v>0</v>
      </c>
      <c r="AP11" s="257"/>
      <c r="AQ11" s="257"/>
      <c r="AR11" s="257"/>
      <c r="AS11" s="257"/>
      <c r="AT11" s="257"/>
      <c r="AU11" s="257"/>
      <c r="AV11" s="257"/>
      <c r="AW11" s="257"/>
      <c r="AX11" s="257">
        <f t="shared" si="13"/>
        <v>0</v>
      </c>
      <c r="AY11" s="257">
        <f t="shared" si="14"/>
        <v>0</v>
      </c>
      <c r="AZ11" s="257"/>
      <c r="BA11" s="257"/>
      <c r="BB11" s="257"/>
      <c r="BC11" s="257"/>
      <c r="BD11" s="257"/>
      <c r="BE11" s="257">
        <f t="shared" si="15"/>
        <v>-175000</v>
      </c>
      <c r="BF11" s="257">
        <f t="shared" si="16"/>
        <v>0</v>
      </c>
      <c r="BG11" s="257">
        <f t="shared" si="17"/>
        <v>-175000</v>
      </c>
      <c r="BH11" s="257"/>
      <c r="BI11" s="257"/>
      <c r="BJ11" s="257"/>
      <c r="BK11" s="257"/>
      <c r="BL11" s="257"/>
      <c r="BM11" s="559"/>
      <c r="BN11" s="559"/>
    </row>
    <row r="12" spans="1:69" s="499" customFormat="1" ht="30" customHeight="1">
      <c r="A12" s="213">
        <f t="shared" si="18"/>
        <v>7</v>
      </c>
      <c r="B12" s="19">
        <v>1805</v>
      </c>
      <c r="C12" s="19" t="s">
        <v>1198</v>
      </c>
      <c r="D12" s="257">
        <v>2250000</v>
      </c>
      <c r="E12" s="257">
        <v>2250000</v>
      </c>
      <c r="F12" s="257">
        <f t="shared" si="0"/>
        <v>0</v>
      </c>
      <c r="G12" s="257">
        <v>850000</v>
      </c>
      <c r="H12" s="257">
        <v>45476</v>
      </c>
      <c r="I12" s="257"/>
      <c r="J12" s="257"/>
      <c r="K12" s="257">
        <f t="shared" si="10"/>
        <v>0</v>
      </c>
      <c r="L12" s="257">
        <f t="shared" si="1"/>
        <v>45476</v>
      </c>
      <c r="M12" s="257">
        <f>P12+S12-800000</f>
        <v>4524</v>
      </c>
      <c r="N12" s="257"/>
      <c r="O12" s="257">
        <f t="shared" si="2"/>
        <v>2200000</v>
      </c>
      <c r="P12" s="257">
        <f t="shared" si="3"/>
        <v>804524</v>
      </c>
      <c r="Q12" s="257"/>
      <c r="R12" s="257"/>
      <c r="S12" s="257">
        <f t="shared" si="4"/>
        <v>0</v>
      </c>
      <c r="T12" s="257">
        <f t="shared" si="5"/>
        <v>800000</v>
      </c>
      <c r="U12" s="257">
        <f t="shared" si="6"/>
        <v>-800000</v>
      </c>
      <c r="V12" s="257">
        <f t="shared" si="7"/>
        <v>-800000</v>
      </c>
      <c r="W12" s="257"/>
      <c r="X12" s="257"/>
      <c r="Y12" s="257"/>
      <c r="Z12" s="257"/>
      <c r="AA12" s="213"/>
      <c r="AB12" s="19" t="s">
        <v>1054</v>
      </c>
      <c r="AC12" s="19">
        <v>742000</v>
      </c>
      <c r="AD12" s="257">
        <v>-800000</v>
      </c>
      <c r="AE12" s="257"/>
      <c r="AF12" s="257"/>
      <c r="AG12" s="257"/>
      <c r="AH12" s="257"/>
      <c r="AI12" s="257"/>
      <c r="AJ12" s="257">
        <f t="shared" si="8"/>
        <v>-800000</v>
      </c>
      <c r="AK12" s="257">
        <f t="shared" si="11"/>
        <v>0</v>
      </c>
      <c r="AL12" s="257"/>
      <c r="AM12" s="257"/>
      <c r="AN12" s="257">
        <f t="shared" si="9"/>
        <v>0</v>
      </c>
      <c r="AO12" s="257">
        <f t="shared" si="12"/>
        <v>0</v>
      </c>
      <c r="AP12" s="257"/>
      <c r="AQ12" s="257"/>
      <c r="AR12" s="257"/>
      <c r="AS12" s="257"/>
      <c r="AT12" s="257"/>
      <c r="AU12" s="257"/>
      <c r="AV12" s="257"/>
      <c r="AW12" s="257"/>
      <c r="AX12" s="257">
        <f t="shared" si="13"/>
        <v>0</v>
      </c>
      <c r="AY12" s="257">
        <f t="shared" si="14"/>
        <v>0</v>
      </c>
      <c r="AZ12" s="257"/>
      <c r="BA12" s="257"/>
      <c r="BB12" s="257"/>
      <c r="BC12" s="257"/>
      <c r="BD12" s="257"/>
      <c r="BE12" s="257">
        <f t="shared" si="15"/>
        <v>-800000</v>
      </c>
      <c r="BF12" s="257">
        <f t="shared" si="16"/>
        <v>0</v>
      </c>
      <c r="BG12" s="257">
        <f t="shared" si="17"/>
        <v>-800000</v>
      </c>
      <c r="BH12" s="257"/>
      <c r="BI12" s="257"/>
      <c r="BJ12" s="257"/>
      <c r="BK12" s="257"/>
      <c r="BL12" s="257"/>
      <c r="BM12" s="559"/>
      <c r="BN12" s="559"/>
    </row>
    <row r="13" spans="1:69" s="578" customFormat="1" ht="30" customHeight="1">
      <c r="A13" s="213">
        <f t="shared" si="18"/>
        <v>8</v>
      </c>
      <c r="B13" s="213">
        <v>1983</v>
      </c>
      <c r="C13" s="213" t="s">
        <v>1199</v>
      </c>
      <c r="D13" s="257">
        <v>800000</v>
      </c>
      <c r="E13" s="257">
        <v>800000</v>
      </c>
      <c r="F13" s="257">
        <f t="shared" si="0"/>
        <v>0</v>
      </c>
      <c r="G13" s="257">
        <v>100000</v>
      </c>
      <c r="H13" s="257">
        <v>10249</v>
      </c>
      <c r="I13" s="257"/>
      <c r="J13" s="257"/>
      <c r="K13" s="257">
        <f t="shared" si="10"/>
        <v>0</v>
      </c>
      <c r="L13" s="257">
        <f t="shared" si="1"/>
        <v>10249</v>
      </c>
      <c r="M13" s="257">
        <f>P13+S13-85000</f>
        <v>4751</v>
      </c>
      <c r="N13" s="257">
        <v>85000</v>
      </c>
      <c r="O13" s="257">
        <f t="shared" si="2"/>
        <v>700000</v>
      </c>
      <c r="P13" s="257">
        <f t="shared" si="3"/>
        <v>89751</v>
      </c>
      <c r="Q13" s="257"/>
      <c r="R13" s="257"/>
      <c r="S13" s="257">
        <f t="shared" si="4"/>
        <v>0</v>
      </c>
      <c r="T13" s="257">
        <f t="shared" si="5"/>
        <v>85000</v>
      </c>
      <c r="U13" s="257">
        <f t="shared" si="6"/>
        <v>0</v>
      </c>
      <c r="V13" s="257">
        <f t="shared" si="7"/>
        <v>0</v>
      </c>
      <c r="W13" s="257"/>
      <c r="X13" s="257"/>
      <c r="Y13" s="257"/>
      <c r="Z13" s="257"/>
      <c r="AA13" s="213"/>
      <c r="AB13" s="203" t="s">
        <v>1055</v>
      </c>
      <c r="AC13" s="213">
        <v>930000</v>
      </c>
      <c r="AD13" s="257"/>
      <c r="AE13" s="257"/>
      <c r="AF13" s="257"/>
      <c r="AG13" s="257"/>
      <c r="AH13" s="257"/>
      <c r="AI13" s="257"/>
      <c r="AJ13" s="257">
        <f t="shared" si="8"/>
        <v>0</v>
      </c>
      <c r="AK13" s="257">
        <f t="shared" si="11"/>
        <v>0</v>
      </c>
      <c r="AL13" s="257"/>
      <c r="AM13" s="257"/>
      <c r="AN13" s="257">
        <f t="shared" si="9"/>
        <v>0</v>
      </c>
      <c r="AO13" s="257">
        <f t="shared" si="12"/>
        <v>0</v>
      </c>
      <c r="AP13" s="257"/>
      <c r="AQ13" s="257"/>
      <c r="AR13" s="257"/>
      <c r="AS13" s="257"/>
      <c r="AT13" s="257"/>
      <c r="AU13" s="257"/>
      <c r="AV13" s="257"/>
      <c r="AW13" s="257"/>
      <c r="AX13" s="257">
        <f t="shared" si="13"/>
        <v>0</v>
      </c>
      <c r="AY13" s="257">
        <f t="shared" si="14"/>
        <v>0</v>
      </c>
      <c r="AZ13" s="257"/>
      <c r="BA13" s="257"/>
      <c r="BB13" s="257"/>
      <c r="BC13" s="257"/>
      <c r="BD13" s="257"/>
      <c r="BE13" s="257">
        <f t="shared" si="15"/>
        <v>0</v>
      </c>
      <c r="BF13" s="257">
        <f t="shared" si="16"/>
        <v>0</v>
      </c>
      <c r="BG13" s="257">
        <f t="shared" si="17"/>
        <v>0</v>
      </c>
      <c r="BH13" s="257"/>
      <c r="BI13" s="257"/>
      <c r="BJ13" s="257"/>
      <c r="BK13" s="257"/>
      <c r="BL13" s="257"/>
      <c r="BM13" s="559"/>
      <c r="BN13" s="559"/>
    </row>
    <row r="14" spans="1:69" s="578" customFormat="1" ht="30" customHeight="1">
      <c r="A14" s="213">
        <f t="shared" si="18"/>
        <v>9</v>
      </c>
      <c r="B14" s="213">
        <v>1993</v>
      </c>
      <c r="C14" s="213" t="s">
        <v>104</v>
      </c>
      <c r="D14" s="257">
        <v>6000000</v>
      </c>
      <c r="E14" s="257">
        <v>6000000</v>
      </c>
      <c r="F14" s="257">
        <f t="shared" si="0"/>
        <v>0</v>
      </c>
      <c r="G14" s="257">
        <v>6000000</v>
      </c>
      <c r="H14" s="257">
        <v>5968176</v>
      </c>
      <c r="I14" s="257"/>
      <c r="J14" s="257"/>
      <c r="K14" s="257">
        <f t="shared" si="10"/>
        <v>0</v>
      </c>
      <c r="L14" s="257">
        <f t="shared" si="1"/>
        <v>5968176</v>
      </c>
      <c r="M14" s="257">
        <f>P14+S14-30000</f>
        <v>1824</v>
      </c>
      <c r="N14" s="257">
        <v>30000</v>
      </c>
      <c r="O14" s="257">
        <f t="shared" si="2"/>
        <v>0</v>
      </c>
      <c r="P14" s="257">
        <f t="shared" si="3"/>
        <v>31824</v>
      </c>
      <c r="Q14" s="257"/>
      <c r="R14" s="257"/>
      <c r="S14" s="257">
        <f t="shared" si="4"/>
        <v>0</v>
      </c>
      <c r="T14" s="257">
        <f t="shared" si="5"/>
        <v>30000</v>
      </c>
      <c r="U14" s="257">
        <f t="shared" si="6"/>
        <v>0</v>
      </c>
      <c r="V14" s="257">
        <f t="shared" si="7"/>
        <v>0</v>
      </c>
      <c r="W14" s="257"/>
      <c r="X14" s="257"/>
      <c r="Y14" s="257"/>
      <c r="Z14" s="257"/>
      <c r="AA14" s="213"/>
      <c r="AB14" s="213" t="s">
        <v>240</v>
      </c>
      <c r="AC14" s="213">
        <v>930000</v>
      </c>
      <c r="AD14" s="257"/>
      <c r="AE14" s="257"/>
      <c r="AF14" s="257"/>
      <c r="AG14" s="257"/>
      <c r="AH14" s="257"/>
      <c r="AI14" s="257"/>
      <c r="AJ14" s="257">
        <f t="shared" si="8"/>
        <v>0</v>
      </c>
      <c r="AK14" s="257">
        <f t="shared" si="11"/>
        <v>0</v>
      </c>
      <c r="AL14" s="257"/>
      <c r="AM14" s="257"/>
      <c r="AN14" s="257">
        <f t="shared" si="9"/>
        <v>0</v>
      </c>
      <c r="AO14" s="257">
        <f t="shared" si="12"/>
        <v>0</v>
      </c>
      <c r="AP14" s="257"/>
      <c r="AQ14" s="257"/>
      <c r="AR14" s="257"/>
      <c r="AS14" s="257"/>
      <c r="AT14" s="257"/>
      <c r="AU14" s="257"/>
      <c r="AV14" s="257"/>
      <c r="AW14" s="257"/>
      <c r="AX14" s="257">
        <f t="shared" si="13"/>
        <v>0</v>
      </c>
      <c r="AY14" s="257">
        <f t="shared" si="14"/>
        <v>0</v>
      </c>
      <c r="AZ14" s="257"/>
      <c r="BA14" s="257"/>
      <c r="BB14" s="257"/>
      <c r="BC14" s="257"/>
      <c r="BD14" s="257"/>
      <c r="BE14" s="257">
        <f t="shared" si="15"/>
        <v>0</v>
      </c>
      <c r="BF14" s="257">
        <f t="shared" si="16"/>
        <v>0</v>
      </c>
      <c r="BG14" s="257">
        <f t="shared" si="17"/>
        <v>0</v>
      </c>
      <c r="BH14" s="257"/>
      <c r="BI14" s="257"/>
      <c r="BJ14" s="257"/>
      <c r="BK14" s="257"/>
      <c r="BL14" s="257"/>
      <c r="BM14" s="559"/>
      <c r="BN14" s="559"/>
    </row>
    <row r="15" spans="1:69" s="578" customFormat="1" ht="30" customHeight="1">
      <c r="A15" s="213">
        <f t="shared" si="18"/>
        <v>10</v>
      </c>
      <c r="B15" s="213">
        <v>2055</v>
      </c>
      <c r="C15" s="213" t="s">
        <v>238</v>
      </c>
      <c r="D15" s="257">
        <v>220000</v>
      </c>
      <c r="E15" s="257">
        <v>220000</v>
      </c>
      <c r="F15" s="257">
        <f t="shared" si="0"/>
        <v>0</v>
      </c>
      <c r="G15" s="257">
        <v>200000</v>
      </c>
      <c r="H15" s="257">
        <v>122292</v>
      </c>
      <c r="I15" s="257"/>
      <c r="J15" s="257"/>
      <c r="K15" s="257">
        <f t="shared" si="10"/>
        <v>0</v>
      </c>
      <c r="L15" s="257">
        <f t="shared" si="1"/>
        <v>122292</v>
      </c>
      <c r="M15" s="257">
        <f>P15+S15-70000</f>
        <v>7708</v>
      </c>
      <c r="N15" s="257">
        <v>70000</v>
      </c>
      <c r="O15" s="257">
        <f t="shared" si="2"/>
        <v>20000</v>
      </c>
      <c r="P15" s="257">
        <f t="shared" si="3"/>
        <v>77708</v>
      </c>
      <c r="Q15" s="257"/>
      <c r="R15" s="257"/>
      <c r="S15" s="257">
        <f t="shared" si="4"/>
        <v>0</v>
      </c>
      <c r="T15" s="257">
        <f t="shared" si="5"/>
        <v>70000</v>
      </c>
      <c r="U15" s="257">
        <f t="shared" si="6"/>
        <v>0</v>
      </c>
      <c r="V15" s="257">
        <f t="shared" si="7"/>
        <v>0</v>
      </c>
      <c r="W15" s="257"/>
      <c r="X15" s="257"/>
      <c r="Y15" s="257"/>
      <c r="Z15" s="257"/>
      <c r="AA15" s="213"/>
      <c r="AB15" s="213" t="s">
        <v>254</v>
      </c>
      <c r="AC15" s="213">
        <v>930000</v>
      </c>
      <c r="AD15" s="257"/>
      <c r="AE15" s="257"/>
      <c r="AF15" s="257"/>
      <c r="AG15" s="257"/>
      <c r="AH15" s="257"/>
      <c r="AI15" s="257"/>
      <c r="AJ15" s="257">
        <f t="shared" si="8"/>
        <v>0</v>
      </c>
      <c r="AK15" s="257">
        <f t="shared" si="11"/>
        <v>0</v>
      </c>
      <c r="AL15" s="257"/>
      <c r="AM15" s="257"/>
      <c r="AN15" s="257">
        <f t="shared" si="9"/>
        <v>0</v>
      </c>
      <c r="AO15" s="257">
        <f t="shared" si="12"/>
        <v>0</v>
      </c>
      <c r="AP15" s="257"/>
      <c r="AQ15" s="257"/>
      <c r="AR15" s="257"/>
      <c r="AS15" s="257"/>
      <c r="AT15" s="257"/>
      <c r="AU15" s="257"/>
      <c r="AV15" s="257"/>
      <c r="AW15" s="257"/>
      <c r="AX15" s="257">
        <f t="shared" si="13"/>
        <v>0</v>
      </c>
      <c r="AY15" s="257">
        <f t="shared" si="14"/>
        <v>0</v>
      </c>
      <c r="AZ15" s="257"/>
      <c r="BA15" s="257"/>
      <c r="BB15" s="257"/>
      <c r="BC15" s="257"/>
      <c r="BD15" s="257"/>
      <c r="BE15" s="257">
        <f t="shared" si="15"/>
        <v>0</v>
      </c>
      <c r="BF15" s="257">
        <f t="shared" si="16"/>
        <v>0</v>
      </c>
      <c r="BG15" s="257">
        <f t="shared" si="17"/>
        <v>0</v>
      </c>
      <c r="BH15" s="257"/>
      <c r="BI15" s="257"/>
      <c r="BJ15" s="257"/>
      <c r="BK15" s="257"/>
      <c r="BL15" s="257"/>
      <c r="BM15" s="559"/>
      <c r="BN15" s="559"/>
    </row>
    <row r="16" spans="1:69" s="578" customFormat="1" ht="30" customHeight="1">
      <c r="A16" s="213">
        <f t="shared" si="18"/>
        <v>11</v>
      </c>
      <c r="B16" s="213">
        <v>2072</v>
      </c>
      <c r="C16" s="213" t="s">
        <v>272</v>
      </c>
      <c r="D16" s="257">
        <v>100000</v>
      </c>
      <c r="E16" s="257">
        <v>100000</v>
      </c>
      <c r="F16" s="257">
        <f t="shared" si="0"/>
        <v>0</v>
      </c>
      <c r="G16" s="257">
        <v>100000</v>
      </c>
      <c r="H16" s="257">
        <v>33398</v>
      </c>
      <c r="I16" s="257"/>
      <c r="J16" s="257"/>
      <c r="K16" s="257">
        <f t="shared" si="10"/>
        <v>0</v>
      </c>
      <c r="L16" s="257">
        <f t="shared" si="1"/>
        <v>33398</v>
      </c>
      <c r="M16" s="257">
        <f>P16+S16-60000</f>
        <v>6602</v>
      </c>
      <c r="N16" s="257">
        <v>60000</v>
      </c>
      <c r="O16" s="257">
        <f t="shared" si="2"/>
        <v>0</v>
      </c>
      <c r="P16" s="257">
        <f t="shared" si="3"/>
        <v>66602</v>
      </c>
      <c r="Q16" s="257"/>
      <c r="R16" s="257"/>
      <c r="S16" s="257">
        <f t="shared" si="4"/>
        <v>0</v>
      </c>
      <c r="T16" s="257">
        <f t="shared" si="5"/>
        <v>60000</v>
      </c>
      <c r="U16" s="257">
        <f t="shared" si="6"/>
        <v>0</v>
      </c>
      <c r="V16" s="257">
        <f t="shared" si="7"/>
        <v>0</v>
      </c>
      <c r="W16" s="257"/>
      <c r="X16" s="257"/>
      <c r="Y16" s="257"/>
      <c r="Z16" s="257"/>
      <c r="AA16" s="213"/>
      <c r="AB16" s="213" t="s">
        <v>255</v>
      </c>
      <c r="AC16" s="213">
        <v>930000</v>
      </c>
      <c r="AD16" s="257"/>
      <c r="AE16" s="257"/>
      <c r="AF16" s="257"/>
      <c r="AG16" s="257"/>
      <c r="AH16" s="257"/>
      <c r="AI16" s="257"/>
      <c r="AJ16" s="257">
        <f t="shared" si="8"/>
        <v>0</v>
      </c>
      <c r="AK16" s="257">
        <f t="shared" si="11"/>
        <v>0</v>
      </c>
      <c r="AL16" s="257"/>
      <c r="AM16" s="257"/>
      <c r="AN16" s="257">
        <f t="shared" si="9"/>
        <v>0</v>
      </c>
      <c r="AO16" s="257">
        <f t="shared" si="12"/>
        <v>0</v>
      </c>
      <c r="AP16" s="257"/>
      <c r="AQ16" s="257"/>
      <c r="AR16" s="257"/>
      <c r="AS16" s="257"/>
      <c r="AT16" s="257"/>
      <c r="AU16" s="257"/>
      <c r="AV16" s="257"/>
      <c r="AW16" s="257"/>
      <c r="AX16" s="257">
        <f t="shared" si="13"/>
        <v>0</v>
      </c>
      <c r="AY16" s="257">
        <f t="shared" si="14"/>
        <v>0</v>
      </c>
      <c r="AZ16" s="257"/>
      <c r="BA16" s="257"/>
      <c r="BB16" s="257"/>
      <c r="BC16" s="257"/>
      <c r="BD16" s="257"/>
      <c r="BE16" s="257">
        <f t="shared" si="15"/>
        <v>0</v>
      </c>
      <c r="BF16" s="257">
        <f t="shared" si="16"/>
        <v>0</v>
      </c>
      <c r="BG16" s="257">
        <f t="shared" si="17"/>
        <v>0</v>
      </c>
      <c r="BH16" s="257"/>
      <c r="BI16" s="257"/>
      <c r="BJ16" s="257"/>
      <c r="BK16" s="257"/>
      <c r="BL16" s="257"/>
      <c r="BM16" s="559"/>
      <c r="BN16" s="559"/>
    </row>
    <row r="17" spans="1:66" s="578" customFormat="1" ht="30" customHeight="1">
      <c r="A17" s="213">
        <f t="shared" si="18"/>
        <v>12</v>
      </c>
      <c r="B17" s="213">
        <v>2223</v>
      </c>
      <c r="C17" s="213" t="s">
        <v>1200</v>
      </c>
      <c r="D17" s="257">
        <f>600000+30000</f>
        <v>630000</v>
      </c>
      <c r="E17" s="257">
        <v>600000</v>
      </c>
      <c r="F17" s="257">
        <f t="shared" si="0"/>
        <v>30000</v>
      </c>
      <c r="G17" s="257">
        <v>300000</v>
      </c>
      <c r="H17" s="257">
        <v>250000</v>
      </c>
      <c r="I17" s="257"/>
      <c r="J17" s="257"/>
      <c r="K17" s="257">
        <f t="shared" si="10"/>
        <v>0</v>
      </c>
      <c r="L17" s="257">
        <f t="shared" si="1"/>
        <v>250000</v>
      </c>
      <c r="M17" s="257">
        <f>P17+S17-50000</f>
        <v>0</v>
      </c>
      <c r="N17" s="257">
        <f>50000+325000+5000</f>
        <v>380000</v>
      </c>
      <c r="O17" s="257">
        <f t="shared" si="2"/>
        <v>0</v>
      </c>
      <c r="P17" s="257">
        <f t="shared" si="3"/>
        <v>50000</v>
      </c>
      <c r="Q17" s="257"/>
      <c r="R17" s="257"/>
      <c r="S17" s="257">
        <f t="shared" si="4"/>
        <v>0</v>
      </c>
      <c r="T17" s="257">
        <f t="shared" si="5"/>
        <v>50000</v>
      </c>
      <c r="U17" s="257">
        <f t="shared" si="6"/>
        <v>330000</v>
      </c>
      <c r="V17" s="257">
        <f t="shared" si="7"/>
        <v>330000</v>
      </c>
      <c r="W17" s="257"/>
      <c r="X17" s="257"/>
      <c r="Y17" s="257"/>
      <c r="Z17" s="257"/>
      <c r="AA17" s="213"/>
      <c r="AB17" s="213" t="s">
        <v>1056</v>
      </c>
      <c r="AC17" s="213">
        <v>930000</v>
      </c>
      <c r="AD17" s="257"/>
      <c r="AE17" s="257">
        <v>325000</v>
      </c>
      <c r="AF17" s="257"/>
      <c r="AG17" s="257"/>
      <c r="AH17" s="257"/>
      <c r="AI17" s="257"/>
      <c r="AJ17" s="257">
        <f t="shared" si="8"/>
        <v>325000</v>
      </c>
      <c r="AK17" s="257">
        <f t="shared" si="11"/>
        <v>5000</v>
      </c>
      <c r="AL17" s="257"/>
      <c r="AM17" s="257"/>
      <c r="AN17" s="257">
        <f t="shared" si="9"/>
        <v>5000</v>
      </c>
      <c r="AO17" s="257">
        <f t="shared" si="12"/>
        <v>5000</v>
      </c>
      <c r="AP17" s="257"/>
      <c r="AQ17" s="257"/>
      <c r="AR17" s="257"/>
      <c r="AS17" s="257"/>
      <c r="AT17" s="257"/>
      <c r="AU17" s="257"/>
      <c r="AV17" s="257"/>
      <c r="AW17" s="257">
        <v>5000</v>
      </c>
      <c r="AX17" s="257">
        <f t="shared" si="13"/>
        <v>0</v>
      </c>
      <c r="AY17" s="257">
        <f t="shared" si="14"/>
        <v>0</v>
      </c>
      <c r="AZ17" s="257"/>
      <c r="BA17" s="257"/>
      <c r="BB17" s="257"/>
      <c r="BC17" s="257"/>
      <c r="BD17" s="257"/>
      <c r="BE17" s="257">
        <f t="shared" si="15"/>
        <v>325000</v>
      </c>
      <c r="BF17" s="257">
        <f t="shared" si="16"/>
        <v>5000</v>
      </c>
      <c r="BG17" s="257">
        <f t="shared" si="17"/>
        <v>325000</v>
      </c>
      <c r="BH17" s="257"/>
      <c r="BI17" s="257"/>
      <c r="BJ17" s="257"/>
      <c r="BK17" s="257"/>
      <c r="BL17" s="257"/>
      <c r="BM17" s="559"/>
      <c r="BN17" s="559"/>
    </row>
    <row r="18" spans="1:66" s="578" customFormat="1" ht="30" customHeight="1">
      <c r="A18" s="213">
        <f t="shared" si="18"/>
        <v>13</v>
      </c>
      <c r="B18" s="213">
        <v>20090</v>
      </c>
      <c r="C18" s="213" t="s">
        <v>1474</v>
      </c>
      <c r="D18" s="257">
        <v>280000</v>
      </c>
      <c r="E18" s="257">
        <v>280000</v>
      </c>
      <c r="F18" s="257">
        <f t="shared" si="0"/>
        <v>0</v>
      </c>
      <c r="G18" s="257">
        <v>280000</v>
      </c>
      <c r="H18" s="257">
        <v>257697</v>
      </c>
      <c r="I18" s="257"/>
      <c r="J18" s="257"/>
      <c r="K18" s="257">
        <f>SUM(I18:J18)</f>
        <v>0</v>
      </c>
      <c r="L18" s="257">
        <f t="shared" si="1"/>
        <v>257697</v>
      </c>
      <c r="M18" s="257">
        <f>P18+S18-20000</f>
        <v>2303</v>
      </c>
      <c r="N18" s="257">
        <v>20000</v>
      </c>
      <c r="O18" s="257">
        <f t="shared" si="2"/>
        <v>0</v>
      </c>
      <c r="P18" s="257">
        <f t="shared" si="3"/>
        <v>22303</v>
      </c>
      <c r="Q18" s="257"/>
      <c r="R18" s="257"/>
      <c r="S18" s="257">
        <f t="shared" si="4"/>
        <v>0</v>
      </c>
      <c r="T18" s="257">
        <f t="shared" si="5"/>
        <v>20000</v>
      </c>
      <c r="U18" s="257">
        <f t="shared" si="6"/>
        <v>0</v>
      </c>
      <c r="V18" s="257">
        <f t="shared" si="7"/>
        <v>0</v>
      </c>
      <c r="W18" s="257"/>
      <c r="X18" s="257"/>
      <c r="Y18" s="257"/>
      <c r="Z18" s="257"/>
      <c r="AA18" s="213"/>
      <c r="AB18" s="213" t="s">
        <v>601</v>
      </c>
      <c r="AC18" s="213">
        <v>930000</v>
      </c>
      <c r="AD18" s="257"/>
      <c r="AE18" s="257"/>
      <c r="AF18" s="257"/>
      <c r="AG18" s="257"/>
      <c r="AH18" s="257"/>
      <c r="AI18" s="257"/>
      <c r="AJ18" s="257">
        <f t="shared" si="8"/>
        <v>0</v>
      </c>
      <c r="AK18" s="257">
        <f t="shared" si="11"/>
        <v>0</v>
      </c>
      <c r="AL18" s="257"/>
      <c r="AM18" s="257"/>
      <c r="AN18" s="257">
        <f t="shared" si="9"/>
        <v>0</v>
      </c>
      <c r="AO18" s="257">
        <f t="shared" si="12"/>
        <v>0</v>
      </c>
      <c r="AP18" s="257"/>
      <c r="AQ18" s="257"/>
      <c r="AR18" s="257"/>
      <c r="AS18" s="257"/>
      <c r="AT18" s="257"/>
      <c r="AU18" s="257"/>
      <c r="AV18" s="257"/>
      <c r="AW18" s="257"/>
      <c r="AX18" s="257">
        <f t="shared" si="13"/>
        <v>0</v>
      </c>
      <c r="AY18" s="257">
        <f t="shared" si="14"/>
        <v>0</v>
      </c>
      <c r="AZ18" s="257"/>
      <c r="BA18" s="257"/>
      <c r="BB18" s="257"/>
      <c r="BC18" s="257"/>
      <c r="BD18" s="257"/>
      <c r="BE18" s="257">
        <f t="shared" si="15"/>
        <v>0</v>
      </c>
      <c r="BF18" s="257">
        <f t="shared" si="16"/>
        <v>0</v>
      </c>
      <c r="BG18" s="257">
        <f t="shared" si="17"/>
        <v>0</v>
      </c>
      <c r="BH18" s="257"/>
      <c r="BI18" s="257"/>
      <c r="BJ18" s="257"/>
      <c r="BK18" s="257"/>
      <c r="BL18" s="257"/>
      <c r="BM18" s="559"/>
      <c r="BN18" s="559"/>
    </row>
    <row r="19" spans="1:66" s="578" customFormat="1" ht="30" customHeight="1">
      <c r="A19" s="213">
        <f t="shared" si="18"/>
        <v>14</v>
      </c>
      <c r="B19" s="213">
        <v>20103</v>
      </c>
      <c r="C19" s="213" t="s">
        <v>1201</v>
      </c>
      <c r="D19" s="257">
        <v>770000</v>
      </c>
      <c r="E19" s="257">
        <v>770000</v>
      </c>
      <c r="F19" s="257">
        <f t="shared" si="0"/>
        <v>0</v>
      </c>
      <c r="G19" s="257"/>
      <c r="H19" s="257"/>
      <c r="I19" s="257"/>
      <c r="J19" s="257"/>
      <c r="K19" s="257">
        <f t="shared" si="10"/>
        <v>0</v>
      </c>
      <c r="L19" s="257">
        <f t="shared" si="1"/>
        <v>0</v>
      </c>
      <c r="M19" s="257">
        <f>P19+S19-770000</f>
        <v>0</v>
      </c>
      <c r="N19" s="257"/>
      <c r="O19" s="257">
        <f t="shared" si="2"/>
        <v>770000</v>
      </c>
      <c r="P19" s="257">
        <f t="shared" si="3"/>
        <v>0</v>
      </c>
      <c r="Q19" s="257"/>
      <c r="R19" s="257">
        <v>770000</v>
      </c>
      <c r="S19" s="257">
        <f t="shared" si="4"/>
        <v>770000</v>
      </c>
      <c r="T19" s="257">
        <f t="shared" si="5"/>
        <v>770000</v>
      </c>
      <c r="U19" s="257">
        <f t="shared" si="6"/>
        <v>-770000</v>
      </c>
      <c r="V19" s="257">
        <f>U19-W19-Z19-AA19-X19</f>
        <v>0</v>
      </c>
      <c r="W19" s="257"/>
      <c r="X19" s="257">
        <v>-770000</v>
      </c>
      <c r="Y19" s="257"/>
      <c r="Z19" s="257"/>
      <c r="AA19" s="213"/>
      <c r="AB19" s="213" t="s">
        <v>1057</v>
      </c>
      <c r="AC19" s="213">
        <v>930000</v>
      </c>
      <c r="AD19" s="257">
        <v>-770000</v>
      </c>
      <c r="AE19" s="257"/>
      <c r="AF19" s="257"/>
      <c r="AG19" s="257"/>
      <c r="AH19" s="257"/>
      <c r="AI19" s="257"/>
      <c r="AJ19" s="257">
        <f t="shared" si="8"/>
        <v>-770000</v>
      </c>
      <c r="AK19" s="257">
        <f t="shared" si="11"/>
        <v>0</v>
      </c>
      <c r="AL19" s="257"/>
      <c r="AM19" s="257"/>
      <c r="AN19" s="257">
        <f t="shared" si="9"/>
        <v>0</v>
      </c>
      <c r="AO19" s="257">
        <f t="shared" si="12"/>
        <v>0</v>
      </c>
      <c r="AP19" s="257"/>
      <c r="AQ19" s="257"/>
      <c r="AR19" s="257"/>
      <c r="AS19" s="257"/>
      <c r="AT19" s="257"/>
      <c r="AU19" s="257"/>
      <c r="AV19" s="257"/>
      <c r="AW19" s="257"/>
      <c r="AX19" s="257">
        <f t="shared" si="13"/>
        <v>0</v>
      </c>
      <c r="AY19" s="257">
        <f t="shared" si="14"/>
        <v>0</v>
      </c>
      <c r="AZ19" s="257"/>
      <c r="BA19" s="257"/>
      <c r="BB19" s="257"/>
      <c r="BC19" s="257"/>
      <c r="BD19" s="257"/>
      <c r="BE19" s="257">
        <f t="shared" si="15"/>
        <v>-770000</v>
      </c>
      <c r="BF19" s="257">
        <f t="shared" si="16"/>
        <v>0</v>
      </c>
      <c r="BG19" s="257"/>
      <c r="BH19" s="257"/>
      <c r="BI19" s="257">
        <f>BE19</f>
        <v>-770000</v>
      </c>
      <c r="BJ19" s="257"/>
      <c r="BK19" s="257"/>
      <c r="BL19" s="257"/>
      <c r="BM19" s="559"/>
      <c r="BN19" s="559"/>
    </row>
    <row r="20" spans="1:66" s="499" customFormat="1" ht="30" customHeight="1">
      <c r="A20" s="213">
        <f t="shared" si="18"/>
        <v>15</v>
      </c>
      <c r="B20" s="19">
        <v>20135</v>
      </c>
      <c r="C20" s="213" t="s">
        <v>749</v>
      </c>
      <c r="D20" s="257">
        <v>5000000</v>
      </c>
      <c r="E20" s="257"/>
      <c r="F20" s="257">
        <f>D20-E20</f>
        <v>5000000</v>
      </c>
      <c r="G20" s="257">
        <v>0</v>
      </c>
      <c r="H20" s="257"/>
      <c r="I20" s="257"/>
      <c r="J20" s="257"/>
      <c r="K20" s="257">
        <f>I20+J20</f>
        <v>0</v>
      </c>
      <c r="L20" s="257">
        <f>H20+K20</f>
        <v>0</v>
      </c>
      <c r="M20" s="257">
        <f>P20+S20</f>
        <v>0</v>
      </c>
      <c r="N20" s="257">
        <v>4550000</v>
      </c>
      <c r="O20" s="257">
        <f>D20-L20-M20-N20</f>
        <v>450000</v>
      </c>
      <c r="P20" s="257">
        <f>G20-L20</f>
        <v>0</v>
      </c>
      <c r="Q20" s="257"/>
      <c r="R20" s="257"/>
      <c r="S20" s="257">
        <f>SUM(Q20:R20)</f>
        <v>0</v>
      </c>
      <c r="T20" s="257">
        <f>P20-M20+S20</f>
        <v>0</v>
      </c>
      <c r="U20" s="257">
        <f>N20-T20</f>
        <v>4550000</v>
      </c>
      <c r="V20" s="257">
        <f>U20-W20-Z20-AA20</f>
        <v>4550000</v>
      </c>
      <c r="W20" s="257"/>
      <c r="X20" s="257"/>
      <c r="Y20" s="257"/>
      <c r="Z20" s="257"/>
      <c r="AA20" s="257"/>
      <c r="AB20" s="19" t="s">
        <v>750</v>
      </c>
      <c r="AC20" s="19">
        <v>930000</v>
      </c>
      <c r="AD20" s="257"/>
      <c r="AE20" s="257">
        <v>3412500</v>
      </c>
      <c r="AF20" s="257"/>
      <c r="AG20" s="257"/>
      <c r="AH20" s="257"/>
      <c r="AI20" s="257"/>
      <c r="AJ20" s="257">
        <f t="shared" si="8"/>
        <v>3412500</v>
      </c>
      <c r="AK20" s="257">
        <f t="shared" si="11"/>
        <v>1137500</v>
      </c>
      <c r="AL20" s="257"/>
      <c r="AM20" s="257"/>
      <c r="AN20" s="257">
        <f t="shared" si="9"/>
        <v>1137500</v>
      </c>
      <c r="AO20" s="257">
        <f t="shared" si="12"/>
        <v>1137500</v>
      </c>
      <c r="AP20" s="257"/>
      <c r="AQ20" s="257"/>
      <c r="AR20" s="257"/>
      <c r="AS20" s="257"/>
      <c r="AT20" s="257"/>
      <c r="AU20" s="257"/>
      <c r="AV20" s="257"/>
      <c r="AW20" s="257"/>
      <c r="AX20" s="257">
        <f t="shared" si="13"/>
        <v>1137500</v>
      </c>
      <c r="AY20" s="257">
        <f t="shared" si="14"/>
        <v>1137500</v>
      </c>
      <c r="AZ20" s="257"/>
      <c r="BA20" s="257"/>
      <c r="BB20" s="257"/>
      <c r="BC20" s="257"/>
      <c r="BD20" s="257"/>
      <c r="BE20" s="257">
        <f t="shared" si="15"/>
        <v>4550000</v>
      </c>
      <c r="BF20" s="257">
        <f t="shared" si="16"/>
        <v>0</v>
      </c>
      <c r="BG20" s="257">
        <f t="shared" si="17"/>
        <v>4550000</v>
      </c>
      <c r="BH20" s="257"/>
      <c r="BI20" s="257"/>
      <c r="BJ20" s="257"/>
      <c r="BK20" s="257"/>
      <c r="BL20" s="257"/>
      <c r="BM20" s="559"/>
      <c r="BN20" s="559"/>
    </row>
    <row r="21" spans="1:66" s="40" customFormat="1" ht="30" customHeight="1">
      <c r="A21" s="236">
        <f>COUNT(A6:A20)</f>
        <v>15</v>
      </c>
      <c r="B21" s="20"/>
      <c r="C21" s="208" t="s">
        <v>244</v>
      </c>
      <c r="D21" s="236">
        <f t="shared" ref="D21:BL21" si="19">SUM(D6:D20)</f>
        <v>127989000</v>
      </c>
      <c r="E21" s="236">
        <f t="shared" si="19"/>
        <v>122959000</v>
      </c>
      <c r="F21" s="236">
        <f t="shared" si="19"/>
        <v>5030000</v>
      </c>
      <c r="G21" s="236">
        <f t="shared" si="19"/>
        <v>58821825</v>
      </c>
      <c r="H21" s="236">
        <f t="shared" si="19"/>
        <v>45315356</v>
      </c>
      <c r="I21" s="236">
        <f t="shared" si="19"/>
        <v>0</v>
      </c>
      <c r="J21" s="236">
        <f t="shared" si="19"/>
        <v>21341</v>
      </c>
      <c r="K21" s="236">
        <f t="shared" si="19"/>
        <v>21341</v>
      </c>
      <c r="L21" s="236">
        <f t="shared" si="19"/>
        <v>45336697</v>
      </c>
      <c r="M21" s="236">
        <f t="shared" si="19"/>
        <v>50128</v>
      </c>
      <c r="N21" s="236">
        <f t="shared" si="19"/>
        <v>17240000</v>
      </c>
      <c r="O21" s="236">
        <f t="shared" si="19"/>
        <v>65362175</v>
      </c>
      <c r="P21" s="236">
        <f t="shared" si="19"/>
        <v>13485128</v>
      </c>
      <c r="Q21" s="236">
        <f t="shared" si="19"/>
        <v>0</v>
      </c>
      <c r="R21" s="236">
        <f t="shared" si="19"/>
        <v>770000</v>
      </c>
      <c r="S21" s="236">
        <f t="shared" si="19"/>
        <v>770000</v>
      </c>
      <c r="T21" s="236">
        <f t="shared" si="19"/>
        <v>14205000</v>
      </c>
      <c r="U21" s="236">
        <f t="shared" si="19"/>
        <v>3035000</v>
      </c>
      <c r="V21" s="236">
        <f t="shared" si="19"/>
        <v>3805000</v>
      </c>
      <c r="W21" s="236">
        <f t="shared" si="19"/>
        <v>0</v>
      </c>
      <c r="X21" s="236">
        <f t="shared" si="19"/>
        <v>-770000</v>
      </c>
      <c r="Y21" s="236">
        <f t="shared" si="19"/>
        <v>0</v>
      </c>
      <c r="Z21" s="236">
        <f t="shared" si="19"/>
        <v>0</v>
      </c>
      <c r="AA21" s="236">
        <f t="shared" si="19"/>
        <v>0</v>
      </c>
      <c r="AB21" s="236">
        <f t="shared" si="19"/>
        <v>0</v>
      </c>
      <c r="AC21" s="236">
        <f t="shared" si="19"/>
        <v>13772000</v>
      </c>
      <c r="AD21" s="236">
        <f t="shared" si="19"/>
        <v>-1845000</v>
      </c>
      <c r="AE21" s="236">
        <f>SUM(AE6:AE20)</f>
        <v>3737500</v>
      </c>
      <c r="AF21" s="236">
        <f>SUM(AF6:AF20)</f>
        <v>0</v>
      </c>
      <c r="AG21" s="236">
        <f t="shared" ref="AG21:AH21" si="20">SUM(AG6:AG20)</f>
        <v>0</v>
      </c>
      <c r="AH21" s="236">
        <f t="shared" si="20"/>
        <v>0</v>
      </c>
      <c r="AI21" s="236">
        <f t="shared" si="19"/>
        <v>0</v>
      </c>
      <c r="AJ21" s="236">
        <f t="shared" si="19"/>
        <v>1892500</v>
      </c>
      <c r="AK21" s="236">
        <f t="shared" si="19"/>
        <v>1142500</v>
      </c>
      <c r="AL21" s="236">
        <f t="shared" si="19"/>
        <v>0</v>
      </c>
      <c r="AM21" s="236">
        <f t="shared" si="19"/>
        <v>0</v>
      </c>
      <c r="AN21" s="236">
        <f t="shared" si="19"/>
        <v>1142500</v>
      </c>
      <c r="AO21" s="236">
        <f t="shared" si="19"/>
        <v>1142500</v>
      </c>
      <c r="AP21" s="236">
        <f t="shared" si="19"/>
        <v>0</v>
      </c>
      <c r="AQ21" s="236">
        <f t="shared" si="19"/>
        <v>0</v>
      </c>
      <c r="AR21" s="236">
        <f t="shared" si="19"/>
        <v>0</v>
      </c>
      <c r="AS21" s="236">
        <f t="shared" si="19"/>
        <v>0</v>
      </c>
      <c r="AT21" s="236">
        <f t="shared" si="19"/>
        <v>0</v>
      </c>
      <c r="AU21" s="236">
        <f t="shared" ref="AU21:AV21" si="21">SUM(AU6:AU20)</f>
        <v>0</v>
      </c>
      <c r="AV21" s="236">
        <f t="shared" si="21"/>
        <v>0</v>
      </c>
      <c r="AW21" s="236">
        <f t="shared" si="19"/>
        <v>5000</v>
      </c>
      <c r="AX21" s="236">
        <f t="shared" si="19"/>
        <v>1137500</v>
      </c>
      <c r="AY21" s="236">
        <f t="shared" si="19"/>
        <v>1137500</v>
      </c>
      <c r="AZ21" s="236">
        <f t="shared" si="19"/>
        <v>0</v>
      </c>
      <c r="BA21" s="236">
        <f t="shared" si="19"/>
        <v>0</v>
      </c>
      <c r="BB21" s="236">
        <f t="shared" si="19"/>
        <v>0</v>
      </c>
      <c r="BC21" s="236">
        <f t="shared" si="19"/>
        <v>0</v>
      </c>
      <c r="BD21" s="236">
        <f t="shared" si="19"/>
        <v>0</v>
      </c>
      <c r="BE21" s="236">
        <f t="shared" si="19"/>
        <v>3030000</v>
      </c>
      <c r="BF21" s="236">
        <f t="shared" si="19"/>
        <v>5000</v>
      </c>
      <c r="BG21" s="236">
        <f t="shared" si="19"/>
        <v>3800000</v>
      </c>
      <c r="BH21" s="236">
        <f t="shared" si="19"/>
        <v>0</v>
      </c>
      <c r="BI21" s="236">
        <f t="shared" si="19"/>
        <v>-770000</v>
      </c>
      <c r="BJ21" s="236">
        <f t="shared" si="19"/>
        <v>0</v>
      </c>
      <c r="BK21" s="236">
        <f t="shared" si="19"/>
        <v>0</v>
      </c>
      <c r="BL21" s="236">
        <f t="shared" si="19"/>
        <v>0</v>
      </c>
      <c r="BM21" s="559"/>
      <c r="BN21" s="559"/>
    </row>
    <row r="22" spans="1:66" ht="15" hidden="1" customHeight="1">
      <c r="D22" s="579">
        <f>SUM(L21:O21)</f>
        <v>127989000</v>
      </c>
      <c r="F22" s="576">
        <f>D21-E21</f>
        <v>5030000</v>
      </c>
      <c r="L22" s="579">
        <f>H21+K21</f>
        <v>45336697</v>
      </c>
      <c r="P22" s="579">
        <f>G21-L22</f>
        <v>13485128</v>
      </c>
      <c r="T22" s="579">
        <f>P22+S21-M21</f>
        <v>14205000</v>
      </c>
      <c r="U22" s="579">
        <f>N21-T22</f>
        <v>3035000</v>
      </c>
    </row>
    <row r="23" spans="1:66" ht="15" hidden="1" customHeight="1">
      <c r="D23" s="579">
        <f>D21-D22</f>
        <v>0</v>
      </c>
      <c r="L23" s="579">
        <f>L21-L22</f>
        <v>0</v>
      </c>
      <c r="P23" s="579">
        <f>P21-P22</f>
        <v>0</v>
      </c>
      <c r="T23" s="579">
        <f>T21-T22</f>
        <v>0</v>
      </c>
      <c r="U23" s="579">
        <f>U21-U22</f>
        <v>0</v>
      </c>
    </row>
    <row r="24" spans="1:66" ht="15" hidden="1" customHeight="1"/>
    <row r="25" spans="1:66" ht="15" hidden="1" customHeight="1"/>
    <row r="129" spans="1:1">
      <c r="A129" s="559">
        <f>COUNT(A6:A128)</f>
        <v>16</v>
      </c>
    </row>
    <row r="132" spans="1:1">
      <c r="A132" s="559">
        <f>A129+1</f>
        <v>17</v>
      </c>
    </row>
    <row r="135" spans="1:1" ht="37.9" customHeight="1"/>
    <row r="138" spans="1:1" ht="70.900000000000006" customHeight="1"/>
    <row r="141" spans="1:1" ht="72" customHeight="1"/>
    <row r="143" spans="1:1" ht="43.9" customHeight="1"/>
    <row r="145" ht="30" customHeight="1"/>
  </sheetData>
  <sheetProtection formatCells="0" formatColumns="0" formatRows="0" insertColumns="0" insertRows="0" insertHyperlinks="0" deleteColumns="0" deleteRows="0" sort="0" autoFilter="0" pivotTables="0"/>
  <mergeCells count="7">
    <mergeCell ref="BE4:BF4"/>
    <mergeCell ref="BG4:BL4"/>
    <mergeCell ref="AD4:AK4"/>
    <mergeCell ref="AO4:AT4"/>
    <mergeCell ref="A4:C4"/>
    <mergeCell ref="T4:U4"/>
    <mergeCell ref="V4:AA4"/>
  </mergeCells>
  <conditionalFormatting sqref="AB5">
    <cfRule type="cellIs" dxfId="40" priority="14" operator="equal">
      <formula>0</formula>
    </cfRule>
  </conditionalFormatting>
  <conditionalFormatting sqref="AJ5">
    <cfRule type="cellIs" dxfId="39" priority="13" operator="equal">
      <formula>0</formula>
    </cfRule>
  </conditionalFormatting>
  <conditionalFormatting sqref="AN5">
    <cfRule type="cellIs" dxfId="38" priority="11" operator="equal">
      <formula>0</formula>
    </cfRule>
  </conditionalFormatting>
  <conditionalFormatting sqref="BN4">
    <cfRule type="cellIs" dxfId="37" priority="1" operator="equal">
      <formula>0</formula>
    </cfRule>
  </conditionalFormatting>
  <conditionalFormatting sqref="AO4 AL4:AM4">
    <cfRule type="cellIs" dxfId="36" priority="10" operator="equal">
      <formula>0</formula>
    </cfRule>
  </conditionalFormatting>
  <conditionalFormatting sqref="AL4:AM4 AO4">
    <cfRule type="cellIs" dxfId="35" priority="9" operator="equal">
      <formula>0</formula>
    </cfRule>
  </conditionalFormatting>
  <conditionalFormatting sqref="BM4:BO4">
    <cfRule type="cellIs" dxfId="34" priority="8" operator="equal">
      <formula>0</formula>
    </cfRule>
  </conditionalFormatting>
  <conditionalFormatting sqref="BM4:BO4">
    <cfRule type="cellIs" dxfId="33" priority="7" operator="equal">
      <formula>0</formula>
    </cfRule>
  </conditionalFormatting>
  <conditionalFormatting sqref="BM4:BO4">
    <cfRule type="cellIs" dxfId="32" priority="6" operator="equal">
      <formula>0</formula>
    </cfRule>
  </conditionalFormatting>
  <conditionalFormatting sqref="BM4:BO4">
    <cfRule type="cellIs" dxfId="31" priority="4" operator="equal">
      <formula>0</formula>
    </cfRule>
  </conditionalFormatting>
  <conditionalFormatting sqref="BM4:BO4">
    <cfRule type="cellIs" dxfId="30" priority="5" operator="equal">
      <formula>0</formula>
    </cfRule>
  </conditionalFormatting>
  <conditionalFormatting sqref="BQ4">
    <cfRule type="cellIs" dxfId="29" priority="3" operator="equal">
      <formula>0</formula>
    </cfRule>
  </conditionalFormatting>
  <conditionalFormatting sqref="BN4">
    <cfRule type="cellIs" dxfId="28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AA85-9D66-4568-B246-6CB7D91DA67D}">
  <dimension ref="A1:BQ145"/>
  <sheetViews>
    <sheetView showZeros="0" rightToLeft="1" zoomScaleNormal="100" workbookViewId="0">
      <pane xSplit="3" ySplit="5" topLeftCell="AM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"/>
  <cols>
    <col min="1" max="1" width="3.7109375" style="123" customWidth="1"/>
    <col min="2" max="2" width="5.7109375" style="123" customWidth="1"/>
    <col min="3" max="3" width="18.7109375" style="123" customWidth="1"/>
    <col min="4" max="4" width="8.7109375" style="124" hidden="1" customWidth="1"/>
    <col min="5" max="8" width="11.140625" style="124" hidden="1" customWidth="1"/>
    <col min="9" max="9" width="7.5703125" style="124" hidden="1" customWidth="1"/>
    <col min="10" max="11" width="9.140625" style="124" hidden="1" customWidth="1"/>
    <col min="12" max="12" width="9.5703125" style="124" hidden="1" customWidth="1"/>
    <col min="13" max="13" width="7.85546875" style="124" hidden="1" customWidth="1"/>
    <col min="14" max="14" width="8.5703125" style="124" hidden="1" customWidth="1"/>
    <col min="15" max="15" width="7.28515625" style="124" hidden="1" customWidth="1"/>
    <col min="16" max="16" width="10.140625" style="124" hidden="1" customWidth="1"/>
    <col min="17" max="18" width="13.5703125" style="124" hidden="1" customWidth="1"/>
    <col min="19" max="19" width="8.42578125" style="124" hidden="1" customWidth="1"/>
    <col min="20" max="20" width="10.7109375" style="124" customWidth="1"/>
    <col min="21" max="23" width="10.7109375" style="123" customWidth="1"/>
    <col min="24" max="24" width="10.7109375" style="123" hidden="1" customWidth="1"/>
    <col min="25" max="25" width="10.7109375" style="123" customWidth="1"/>
    <col min="26" max="26" width="10.7109375" style="123" hidden="1" customWidth="1"/>
    <col min="27" max="27" width="10.7109375" style="123" customWidth="1"/>
    <col min="28" max="28" width="38.42578125" style="131" hidden="1" customWidth="1"/>
    <col min="29" max="29" width="7" style="123" hidden="1" customWidth="1"/>
    <col min="30" max="36" width="9.28515625" style="232" hidden="1" customWidth="1"/>
    <col min="37" max="39" width="9.28515625" style="123" hidden="1" customWidth="1"/>
    <col min="40" max="40" width="9.140625" style="123" hidden="1" customWidth="1"/>
    <col min="41" max="44" width="9.28515625" style="123" hidden="1" customWidth="1"/>
    <col min="45" max="46" width="10.7109375" style="123" hidden="1" customWidth="1"/>
    <col min="47" max="56" width="9.140625" style="123" hidden="1" customWidth="1"/>
    <col min="57" max="57" width="13.5703125" style="123" customWidth="1"/>
    <col min="58" max="60" width="10.7109375" style="123" customWidth="1"/>
    <col min="61" max="61" width="10.7109375" style="123" hidden="1" customWidth="1"/>
    <col min="62" max="62" width="10.7109375" style="123" customWidth="1"/>
    <col min="63" max="63" width="10.7109375" style="123" hidden="1" customWidth="1"/>
    <col min="64" max="64" width="10.7109375" style="123" customWidth="1"/>
    <col min="65" max="65" width="9.28515625" style="123" customWidth="1"/>
    <col min="66" max="16384" width="9.140625" style="123"/>
  </cols>
  <sheetData>
    <row r="1" spans="1:69" s="132" customFormat="1" ht="18.75">
      <c r="A1" s="825"/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825"/>
      <c r="Q1" s="825"/>
      <c r="R1" s="825"/>
      <c r="S1" s="825"/>
      <c r="T1" s="825"/>
      <c r="U1" s="825"/>
      <c r="V1" s="825"/>
      <c r="W1" s="825"/>
      <c r="X1" s="215"/>
      <c r="Y1" s="215"/>
      <c r="Z1" s="215"/>
      <c r="AB1" s="204"/>
      <c r="AD1" s="232"/>
      <c r="AE1" s="232"/>
      <c r="AF1" s="232"/>
      <c r="AG1" s="232"/>
      <c r="AH1" s="232"/>
      <c r="AI1" s="232"/>
      <c r="AJ1" s="232"/>
      <c r="AK1" s="123"/>
      <c r="AL1" s="123"/>
      <c r="AM1" s="123"/>
      <c r="AO1" s="123"/>
      <c r="AP1" s="123"/>
      <c r="AQ1" s="123"/>
      <c r="AR1" s="123"/>
      <c r="AS1" s="123"/>
      <c r="AT1" s="123"/>
      <c r="BM1" s="123"/>
    </row>
    <row r="2" spans="1:69" ht="18.75">
      <c r="A2" s="145" t="s">
        <v>1477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spans="1:69" ht="18.7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69" s="10" customFormat="1" ht="20.45" customHeight="1">
      <c r="A4" s="822"/>
      <c r="B4" s="823"/>
      <c r="C4" s="82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D4" s="807" t="s">
        <v>902</v>
      </c>
      <c r="AE4" s="808"/>
      <c r="AF4" s="808"/>
      <c r="AG4" s="808"/>
      <c r="AH4" s="808"/>
      <c r="AI4" s="808"/>
      <c r="AJ4" s="808"/>
      <c r="AK4" s="809"/>
      <c r="AL4" s="573"/>
      <c r="AM4" s="573"/>
      <c r="AO4" s="807" t="s">
        <v>904</v>
      </c>
      <c r="AP4" s="808"/>
      <c r="AQ4" s="808"/>
      <c r="AR4" s="808"/>
      <c r="AS4" s="808"/>
      <c r="AT4" s="809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  <c r="BM4" s="572"/>
      <c r="BN4" s="573"/>
      <c r="BO4" s="572"/>
      <c r="BQ4" s="573"/>
    </row>
    <row r="5" spans="1:69" s="133" customFormat="1" ht="69" customHeight="1">
      <c r="A5" s="122" t="s">
        <v>0</v>
      </c>
      <c r="B5" s="122" t="s">
        <v>1</v>
      </c>
      <c r="C5" s="122" t="s">
        <v>2</v>
      </c>
      <c r="D5" s="122" t="s">
        <v>3</v>
      </c>
      <c r="E5" s="122" t="s">
        <v>4</v>
      </c>
      <c r="F5" s="122" t="s">
        <v>5</v>
      </c>
      <c r="G5" s="122" t="s">
        <v>6</v>
      </c>
      <c r="H5" s="122" t="s">
        <v>7</v>
      </c>
      <c r="I5" s="122" t="s">
        <v>9</v>
      </c>
      <c r="J5" s="122" t="s">
        <v>101</v>
      </c>
      <c r="K5" s="122" t="s">
        <v>10</v>
      </c>
      <c r="L5" s="122" t="s">
        <v>11</v>
      </c>
      <c r="M5" s="122" t="s">
        <v>568</v>
      </c>
      <c r="N5" s="122" t="s">
        <v>569</v>
      </c>
      <c r="O5" s="2" t="s">
        <v>570</v>
      </c>
      <c r="P5" s="2" t="s">
        <v>12</v>
      </c>
      <c r="Q5" s="2" t="s">
        <v>571</v>
      </c>
      <c r="R5" s="2" t="s">
        <v>572</v>
      </c>
      <c r="S5" s="2" t="s">
        <v>573</v>
      </c>
      <c r="T5" s="2" t="s">
        <v>574</v>
      </c>
      <c r="U5" s="2" t="s">
        <v>575</v>
      </c>
      <c r="V5" s="122" t="s">
        <v>13</v>
      </c>
      <c r="W5" s="122" t="s">
        <v>14</v>
      </c>
      <c r="X5" s="122" t="s">
        <v>15</v>
      </c>
      <c r="Y5" s="122" t="s">
        <v>185</v>
      </c>
      <c r="Z5" s="122" t="s">
        <v>385</v>
      </c>
      <c r="AA5" s="122" t="s">
        <v>67</v>
      </c>
      <c r="AB5" s="557" t="s">
        <v>207</v>
      </c>
      <c r="AC5" s="122" t="s">
        <v>16</v>
      </c>
      <c r="AD5" s="518" t="s">
        <v>905</v>
      </c>
      <c r="AE5" s="518" t="s">
        <v>906</v>
      </c>
      <c r="AF5" s="518" t="s">
        <v>907</v>
      </c>
      <c r="AG5" s="518" t="s">
        <v>908</v>
      </c>
      <c r="AH5" s="518" t="s">
        <v>909</v>
      </c>
      <c r="AI5" s="518" t="s">
        <v>910</v>
      </c>
      <c r="AJ5" s="518" t="s">
        <v>911</v>
      </c>
      <c r="AK5" s="518" t="s">
        <v>912</v>
      </c>
      <c r="AL5" s="519" t="s">
        <v>913</v>
      </c>
      <c r="AM5" s="519" t="s">
        <v>914</v>
      </c>
      <c r="AN5" s="518" t="s">
        <v>915</v>
      </c>
      <c r="AO5" s="2" t="s">
        <v>13</v>
      </c>
      <c r="AP5" s="2" t="s">
        <v>14</v>
      </c>
      <c r="AQ5" s="2" t="s">
        <v>15</v>
      </c>
      <c r="AR5" s="2" t="s">
        <v>185</v>
      </c>
      <c r="AS5" s="2" t="s">
        <v>385</v>
      </c>
      <c r="AT5" s="2" t="s">
        <v>67</v>
      </c>
      <c r="AU5" s="520" t="s">
        <v>916</v>
      </c>
      <c r="AV5" s="2" t="s">
        <v>917</v>
      </c>
      <c r="AW5" s="518" t="s">
        <v>918</v>
      </c>
      <c r="AX5" s="518" t="s">
        <v>919</v>
      </c>
      <c r="AY5" s="518" t="s">
        <v>13</v>
      </c>
      <c r="AZ5" s="518" t="s">
        <v>14</v>
      </c>
      <c r="BA5" s="518" t="s">
        <v>15</v>
      </c>
      <c r="BB5" s="518" t="s">
        <v>185</v>
      </c>
      <c r="BC5" s="518" t="s">
        <v>385</v>
      </c>
      <c r="BD5" s="518" t="s">
        <v>67</v>
      </c>
      <c r="BE5" s="494" t="s">
        <v>1355</v>
      </c>
      <c r="BF5" s="494" t="s">
        <v>1350</v>
      </c>
      <c r="BG5" s="2" t="s">
        <v>13</v>
      </c>
      <c r="BH5" s="2" t="s">
        <v>14</v>
      </c>
      <c r="BI5" s="2" t="s">
        <v>15</v>
      </c>
      <c r="BJ5" s="2" t="s">
        <v>185</v>
      </c>
      <c r="BK5" s="2" t="s">
        <v>385</v>
      </c>
      <c r="BL5" s="2" t="s">
        <v>67</v>
      </c>
      <c r="BM5" s="123"/>
    </row>
    <row r="6" spans="1:69" s="148" customFormat="1" ht="30" customHeight="1">
      <c r="A6" s="3">
        <v>1</v>
      </c>
      <c r="B6" s="3">
        <v>1134</v>
      </c>
      <c r="C6" s="127" t="s">
        <v>49</v>
      </c>
      <c r="D6" s="112">
        <f>2905000+200000</f>
        <v>3105000</v>
      </c>
      <c r="E6" s="112">
        <v>2905000</v>
      </c>
      <c r="F6" s="112">
        <f t="shared" ref="F6:F12" si="0">D6-E6</f>
        <v>200000</v>
      </c>
      <c r="G6" s="112">
        <v>2755000</v>
      </c>
      <c r="H6" s="112">
        <v>2641458</v>
      </c>
      <c r="I6" s="112"/>
      <c r="J6" s="112">
        <v>14144</v>
      </c>
      <c r="K6" s="112">
        <f t="shared" ref="K6:K12" si="1">I6+J6</f>
        <v>14144</v>
      </c>
      <c r="L6" s="112">
        <f t="shared" ref="L6:L12" si="2">H6+K6</f>
        <v>2655602</v>
      </c>
      <c r="M6" s="112">
        <f>P6+S6-199000</f>
        <v>398</v>
      </c>
      <c r="N6" s="112">
        <f>150000-50000</f>
        <v>100000</v>
      </c>
      <c r="O6" s="112">
        <f t="shared" ref="O6:O12" si="3">D6-L6-M6-N6</f>
        <v>349000</v>
      </c>
      <c r="P6" s="112">
        <f t="shared" ref="P6:P12" si="4">G6-L6</f>
        <v>99398</v>
      </c>
      <c r="Q6" s="112">
        <v>100000</v>
      </c>
      <c r="R6" s="112"/>
      <c r="S6" s="112">
        <f t="shared" ref="S6:S12" si="5">SUM(Q6:R6)</f>
        <v>100000</v>
      </c>
      <c r="T6" s="112">
        <f t="shared" ref="T6:T12" si="6">P6-M6+S6</f>
        <v>199000</v>
      </c>
      <c r="U6" s="112">
        <f t="shared" ref="U6:U12" si="7">N6-T6</f>
        <v>-99000</v>
      </c>
      <c r="V6" s="112">
        <f t="shared" ref="V6:V12" si="8">U6-W6-Z6-AA6</f>
        <v>-99000</v>
      </c>
      <c r="W6" s="112"/>
      <c r="X6" s="112"/>
      <c r="Y6" s="112"/>
      <c r="Z6" s="112"/>
      <c r="AA6" s="112"/>
      <c r="AB6" s="3" t="s">
        <v>1058</v>
      </c>
      <c r="AC6" s="3">
        <v>746000</v>
      </c>
      <c r="AD6" s="112">
        <v>-99000</v>
      </c>
      <c r="AE6" s="112">
        <v>91000</v>
      </c>
      <c r="AF6" s="112"/>
      <c r="AG6" s="112"/>
      <c r="AH6" s="112"/>
      <c r="AI6" s="112"/>
      <c r="AJ6" s="112">
        <f t="shared" ref="AJ6:AJ13" si="9">SUM(AD6:AI6)+AL6</f>
        <v>-8000</v>
      </c>
      <c r="AK6" s="112">
        <f>U6-AJ6</f>
        <v>-91000</v>
      </c>
      <c r="AL6" s="112"/>
      <c r="AM6" s="112"/>
      <c r="AN6" s="112">
        <f t="shared" ref="AN6:AN13" si="10">AK6+AM6</f>
        <v>-91000</v>
      </c>
      <c r="AO6" s="112">
        <v>-91000</v>
      </c>
      <c r="AP6" s="112">
        <f t="shared" ref="AP6:AP13" si="11">AN6-AO6-AQ6-AR6-AS6-AT6</f>
        <v>0</v>
      </c>
      <c r="AQ6" s="112"/>
      <c r="AR6" s="112"/>
      <c r="AS6" s="112"/>
      <c r="AT6" s="2"/>
      <c r="AU6" s="112"/>
      <c r="AV6" s="112"/>
      <c r="AW6" s="112">
        <f t="shared" ref="AW6:AW13" si="12">AN6-AX6</f>
        <v>-91000</v>
      </c>
      <c r="AX6" s="112"/>
      <c r="AY6" s="112">
        <f>AX6-AZ6-BA6-BB6-BC6-BD6</f>
        <v>0</v>
      </c>
      <c r="AZ6" s="112"/>
      <c r="BA6" s="112"/>
      <c r="BB6" s="112"/>
      <c r="BC6" s="112"/>
      <c r="BD6" s="112"/>
      <c r="BE6" s="112">
        <f t="shared" ref="BE6:BE13" si="13">AX6+AJ6</f>
        <v>-8000</v>
      </c>
      <c r="BF6" s="112">
        <f>U6-BE6</f>
        <v>-91000</v>
      </c>
      <c r="BG6" s="112">
        <v>-8000</v>
      </c>
      <c r="BH6" s="112">
        <f>BE6-BG6-BI6-BJ6-BK6-BL6</f>
        <v>0</v>
      </c>
      <c r="BI6" s="112"/>
      <c r="BJ6" s="112"/>
      <c r="BK6" s="112"/>
      <c r="BL6" s="112"/>
      <c r="BM6" s="123"/>
    </row>
    <row r="7" spans="1:69" s="148" customFormat="1" ht="30" customHeight="1">
      <c r="A7" s="3">
        <f t="shared" ref="A7:A13" si="14">1+A6</f>
        <v>2</v>
      </c>
      <c r="B7" s="3">
        <v>1598</v>
      </c>
      <c r="C7" s="127" t="s">
        <v>50</v>
      </c>
      <c r="D7" s="112">
        <f>716500-28000</f>
        <v>688500</v>
      </c>
      <c r="E7" s="112">
        <v>716500</v>
      </c>
      <c r="F7" s="112">
        <f t="shared" si="0"/>
        <v>-28000</v>
      </c>
      <c r="G7" s="112">
        <v>616500</v>
      </c>
      <c r="H7" s="112">
        <v>596016</v>
      </c>
      <c r="I7" s="112"/>
      <c r="J7" s="112"/>
      <c r="K7" s="112">
        <f t="shared" si="1"/>
        <v>0</v>
      </c>
      <c r="L7" s="112">
        <f t="shared" si="2"/>
        <v>596016</v>
      </c>
      <c r="M7" s="112">
        <f>P7+S7-90000</f>
        <v>2484</v>
      </c>
      <c r="N7" s="112">
        <v>90000</v>
      </c>
      <c r="O7" s="112">
        <f t="shared" si="3"/>
        <v>0</v>
      </c>
      <c r="P7" s="112">
        <f t="shared" si="4"/>
        <v>20484</v>
      </c>
      <c r="Q7" s="112">
        <v>72000</v>
      </c>
      <c r="R7" s="112"/>
      <c r="S7" s="112">
        <f t="shared" si="5"/>
        <v>72000</v>
      </c>
      <c r="T7" s="112">
        <f t="shared" si="6"/>
        <v>90000</v>
      </c>
      <c r="U7" s="112">
        <f t="shared" si="7"/>
        <v>0</v>
      </c>
      <c r="V7" s="112">
        <f t="shared" si="8"/>
        <v>0</v>
      </c>
      <c r="W7" s="112">
        <v>27881</v>
      </c>
      <c r="X7" s="112"/>
      <c r="Y7" s="112"/>
      <c r="Z7" s="112"/>
      <c r="AA7" s="112">
        <v>-27881</v>
      </c>
      <c r="AB7" s="3" t="s">
        <v>747</v>
      </c>
      <c r="AC7" s="3">
        <v>870000</v>
      </c>
      <c r="AD7" s="530"/>
      <c r="AE7" s="112"/>
      <c r="AF7" s="112"/>
      <c r="AG7" s="112"/>
      <c r="AH7" s="112"/>
      <c r="AI7" s="112"/>
      <c r="AJ7" s="112">
        <f t="shared" si="9"/>
        <v>0</v>
      </c>
      <c r="AK7" s="112">
        <f t="shared" ref="AK7:AK13" si="15">U7-AJ7</f>
        <v>0</v>
      </c>
      <c r="AL7" s="112"/>
      <c r="AM7" s="112"/>
      <c r="AN7" s="112">
        <f t="shared" si="10"/>
        <v>0</v>
      </c>
      <c r="AO7" s="112"/>
      <c r="AP7" s="112">
        <f t="shared" si="11"/>
        <v>0</v>
      </c>
      <c r="AQ7" s="112"/>
      <c r="AR7" s="112"/>
      <c r="AS7" s="112"/>
      <c r="AT7" s="112"/>
      <c r="AU7" s="112"/>
      <c r="AV7" s="112"/>
      <c r="AW7" s="112">
        <f t="shared" si="12"/>
        <v>0</v>
      </c>
      <c r="AX7" s="112"/>
      <c r="AY7" s="112">
        <f t="shared" ref="AY7:AY13" si="16">AX7-AZ7-BA7-BB7-BC7-BD7</f>
        <v>0</v>
      </c>
      <c r="AZ7" s="112"/>
      <c r="BA7" s="112"/>
      <c r="BB7" s="112"/>
      <c r="BC7" s="112"/>
      <c r="BD7" s="112"/>
      <c r="BE7" s="112">
        <f t="shared" si="13"/>
        <v>0</v>
      </c>
      <c r="BF7" s="112">
        <f t="shared" ref="BF7:BF13" si="17">U7-BE7</f>
        <v>0</v>
      </c>
      <c r="BG7" s="112"/>
      <c r="BH7" s="112">
        <f t="shared" ref="BH7:BH13" si="18">BE7-BG7-BI7-BJ7-BK7-BL7</f>
        <v>27881</v>
      </c>
      <c r="BI7" s="112"/>
      <c r="BJ7" s="112"/>
      <c r="BK7" s="112"/>
      <c r="BL7" s="112">
        <v>-27881</v>
      </c>
      <c r="BM7" s="123"/>
    </row>
    <row r="8" spans="1:69" s="148" customFormat="1" ht="30" customHeight="1">
      <c r="A8" s="3">
        <f t="shared" si="14"/>
        <v>3</v>
      </c>
      <c r="B8" s="3">
        <v>1817</v>
      </c>
      <c r="C8" s="127" t="s">
        <v>81</v>
      </c>
      <c r="D8" s="112">
        <v>940000</v>
      </c>
      <c r="E8" s="112">
        <v>940000</v>
      </c>
      <c r="F8" s="112">
        <f t="shared" si="0"/>
        <v>0</v>
      </c>
      <c r="G8" s="112">
        <v>840000</v>
      </c>
      <c r="H8" s="112">
        <v>798502</v>
      </c>
      <c r="I8" s="112"/>
      <c r="J8" s="112"/>
      <c r="K8" s="112">
        <f t="shared" si="1"/>
        <v>0</v>
      </c>
      <c r="L8" s="112">
        <f t="shared" si="2"/>
        <v>798502</v>
      </c>
      <c r="M8" s="112">
        <f>P8+S8-38000-2000</f>
        <v>1498</v>
      </c>
      <c r="N8" s="112">
        <f>100000+38000+2000</f>
        <v>140000</v>
      </c>
      <c r="O8" s="112">
        <f t="shared" si="3"/>
        <v>0</v>
      </c>
      <c r="P8" s="112">
        <f t="shared" si="4"/>
        <v>41498</v>
      </c>
      <c r="Q8" s="112"/>
      <c r="R8" s="112"/>
      <c r="S8" s="112">
        <f t="shared" si="5"/>
        <v>0</v>
      </c>
      <c r="T8" s="112">
        <f t="shared" si="6"/>
        <v>40000</v>
      </c>
      <c r="U8" s="112">
        <f t="shared" si="7"/>
        <v>100000</v>
      </c>
      <c r="V8" s="112">
        <f t="shared" si="8"/>
        <v>0</v>
      </c>
      <c r="W8" s="112"/>
      <c r="X8" s="112"/>
      <c r="Y8" s="112"/>
      <c r="Z8" s="112"/>
      <c r="AA8" s="112">
        <v>100000</v>
      </c>
      <c r="AB8" s="3" t="s">
        <v>393</v>
      </c>
      <c r="AC8" s="3">
        <v>810000</v>
      </c>
      <c r="AD8" s="112"/>
      <c r="AE8" s="112">
        <v>100000</v>
      </c>
      <c r="AF8" s="112"/>
      <c r="AG8" s="112"/>
      <c r="AH8" s="112"/>
      <c r="AI8" s="112"/>
      <c r="AJ8" s="112">
        <f t="shared" si="9"/>
        <v>100000</v>
      </c>
      <c r="AK8" s="112">
        <f t="shared" si="15"/>
        <v>0</v>
      </c>
      <c r="AL8" s="112"/>
      <c r="AM8" s="112"/>
      <c r="AN8" s="112">
        <f t="shared" si="10"/>
        <v>0</v>
      </c>
      <c r="AO8" s="112"/>
      <c r="AP8" s="112">
        <f t="shared" si="11"/>
        <v>0</v>
      </c>
      <c r="AQ8" s="112"/>
      <c r="AR8" s="112"/>
      <c r="AS8" s="112"/>
      <c r="AT8" s="112"/>
      <c r="AU8" s="112"/>
      <c r="AV8" s="112"/>
      <c r="AW8" s="112">
        <f t="shared" si="12"/>
        <v>0</v>
      </c>
      <c r="AX8" s="112"/>
      <c r="AY8" s="112">
        <f t="shared" si="16"/>
        <v>0</v>
      </c>
      <c r="AZ8" s="112"/>
      <c r="BA8" s="112"/>
      <c r="BB8" s="112"/>
      <c r="BC8" s="112"/>
      <c r="BD8" s="112"/>
      <c r="BE8" s="112">
        <f t="shared" si="13"/>
        <v>100000</v>
      </c>
      <c r="BF8" s="112">
        <f t="shared" si="17"/>
        <v>0</v>
      </c>
      <c r="BG8" s="112"/>
      <c r="BH8" s="112">
        <f t="shared" si="18"/>
        <v>0</v>
      </c>
      <c r="BI8" s="112"/>
      <c r="BJ8" s="112"/>
      <c r="BK8" s="112"/>
      <c r="BL8" s="112">
        <v>100000</v>
      </c>
      <c r="BM8" s="123"/>
    </row>
    <row r="9" spans="1:69" s="148" customFormat="1" ht="30" customHeight="1">
      <c r="A9" s="3">
        <f t="shared" si="14"/>
        <v>4</v>
      </c>
      <c r="B9" s="3">
        <v>1922</v>
      </c>
      <c r="C9" s="127" t="s">
        <v>93</v>
      </c>
      <c r="D9" s="112">
        <v>330000</v>
      </c>
      <c r="E9" s="112">
        <v>330000</v>
      </c>
      <c r="F9" s="112">
        <f t="shared" si="0"/>
        <v>0</v>
      </c>
      <c r="G9" s="112">
        <v>200000</v>
      </c>
      <c r="H9" s="112">
        <v>97444</v>
      </c>
      <c r="I9" s="112"/>
      <c r="J9" s="112"/>
      <c r="K9" s="112">
        <f t="shared" si="1"/>
        <v>0</v>
      </c>
      <c r="L9" s="112">
        <f t="shared" si="2"/>
        <v>97444</v>
      </c>
      <c r="M9" s="112">
        <f>P9+S9-100000</f>
        <v>2556</v>
      </c>
      <c r="N9" s="112">
        <v>100000</v>
      </c>
      <c r="O9" s="112">
        <f t="shared" si="3"/>
        <v>130000</v>
      </c>
      <c r="P9" s="112">
        <f t="shared" si="4"/>
        <v>102556</v>
      </c>
      <c r="Q9" s="112"/>
      <c r="R9" s="112"/>
      <c r="S9" s="112">
        <f t="shared" si="5"/>
        <v>0</v>
      </c>
      <c r="T9" s="112">
        <f t="shared" si="6"/>
        <v>100000</v>
      </c>
      <c r="U9" s="112">
        <f t="shared" si="7"/>
        <v>0</v>
      </c>
      <c r="V9" s="112">
        <f t="shared" si="8"/>
        <v>0</v>
      </c>
      <c r="W9" s="112"/>
      <c r="X9" s="112"/>
      <c r="Y9" s="112"/>
      <c r="Z9" s="112"/>
      <c r="AA9" s="112"/>
      <c r="AB9" s="3" t="s">
        <v>561</v>
      </c>
      <c r="AC9" s="3">
        <v>870000</v>
      </c>
      <c r="AD9" s="112"/>
      <c r="AE9" s="112"/>
      <c r="AF9" s="112"/>
      <c r="AG9" s="112"/>
      <c r="AH9" s="112"/>
      <c r="AI9" s="112"/>
      <c r="AJ9" s="112">
        <f t="shared" si="9"/>
        <v>0</v>
      </c>
      <c r="AK9" s="112">
        <f t="shared" si="15"/>
        <v>0</v>
      </c>
      <c r="AL9" s="112"/>
      <c r="AM9" s="112"/>
      <c r="AN9" s="112">
        <f t="shared" si="10"/>
        <v>0</v>
      </c>
      <c r="AO9" s="112"/>
      <c r="AP9" s="112">
        <f t="shared" si="11"/>
        <v>0</v>
      </c>
      <c r="AQ9" s="112"/>
      <c r="AR9" s="112"/>
      <c r="AS9" s="112"/>
      <c r="AT9" s="112"/>
      <c r="AU9" s="112"/>
      <c r="AV9" s="112"/>
      <c r="AW9" s="112">
        <f t="shared" si="12"/>
        <v>0</v>
      </c>
      <c r="AX9" s="112"/>
      <c r="AY9" s="112">
        <f t="shared" si="16"/>
        <v>0</v>
      </c>
      <c r="AZ9" s="112"/>
      <c r="BA9" s="112"/>
      <c r="BB9" s="112"/>
      <c r="BC9" s="112"/>
      <c r="BD9" s="112"/>
      <c r="BE9" s="112">
        <f t="shared" si="13"/>
        <v>0</v>
      </c>
      <c r="BF9" s="112">
        <f t="shared" si="17"/>
        <v>0</v>
      </c>
      <c r="BG9" s="112"/>
      <c r="BH9" s="112">
        <f t="shared" si="18"/>
        <v>0</v>
      </c>
      <c r="BI9" s="112"/>
      <c r="BJ9" s="112"/>
      <c r="BK9" s="112"/>
      <c r="BL9" s="112"/>
      <c r="BM9" s="123"/>
    </row>
    <row r="10" spans="1:69" s="148" customFormat="1" ht="30" customHeight="1">
      <c r="A10" s="3">
        <f t="shared" si="14"/>
        <v>5</v>
      </c>
      <c r="B10" s="19">
        <v>2168</v>
      </c>
      <c r="C10" s="127" t="s">
        <v>319</v>
      </c>
      <c r="D10" s="112">
        <f>100000+60000-60000</f>
        <v>100000</v>
      </c>
      <c r="E10" s="112">
        <v>100000</v>
      </c>
      <c r="F10" s="112">
        <f t="shared" si="0"/>
        <v>0</v>
      </c>
      <c r="G10" s="112">
        <v>100000</v>
      </c>
      <c r="H10" s="112">
        <v>10000</v>
      </c>
      <c r="I10" s="112"/>
      <c r="J10" s="112"/>
      <c r="K10" s="112">
        <f t="shared" si="1"/>
        <v>0</v>
      </c>
      <c r="L10" s="112">
        <f t="shared" si="2"/>
        <v>10000</v>
      </c>
      <c r="M10" s="112">
        <f>P10+S10-90000</f>
        <v>0</v>
      </c>
      <c r="N10" s="112">
        <f>150000-60000</f>
        <v>90000</v>
      </c>
      <c r="O10" s="112">
        <f t="shared" si="3"/>
        <v>0</v>
      </c>
      <c r="P10" s="112">
        <f t="shared" si="4"/>
        <v>90000</v>
      </c>
      <c r="Q10" s="112"/>
      <c r="R10" s="112"/>
      <c r="S10" s="112">
        <f t="shared" si="5"/>
        <v>0</v>
      </c>
      <c r="T10" s="112">
        <f t="shared" si="6"/>
        <v>90000</v>
      </c>
      <c r="U10" s="112">
        <f t="shared" si="7"/>
        <v>0</v>
      </c>
      <c r="V10" s="112">
        <f t="shared" si="8"/>
        <v>0</v>
      </c>
      <c r="W10" s="112"/>
      <c r="X10" s="112"/>
      <c r="Y10" s="112"/>
      <c r="Z10" s="112"/>
      <c r="AA10" s="112"/>
      <c r="AB10" s="3" t="s">
        <v>502</v>
      </c>
      <c r="AC10" s="3">
        <v>746000</v>
      </c>
      <c r="AD10" s="112"/>
      <c r="AE10" s="112"/>
      <c r="AF10" s="112"/>
      <c r="AG10" s="112"/>
      <c r="AH10" s="112"/>
      <c r="AI10" s="112"/>
      <c r="AJ10" s="112">
        <f t="shared" si="9"/>
        <v>0</v>
      </c>
      <c r="AK10" s="112">
        <f t="shared" si="15"/>
        <v>0</v>
      </c>
      <c r="AL10" s="112"/>
      <c r="AM10" s="112"/>
      <c r="AN10" s="112">
        <f t="shared" si="10"/>
        <v>0</v>
      </c>
      <c r="AO10" s="112"/>
      <c r="AP10" s="112">
        <f t="shared" si="11"/>
        <v>0</v>
      </c>
      <c r="AQ10" s="112"/>
      <c r="AR10" s="112"/>
      <c r="AS10" s="112"/>
      <c r="AT10" s="112"/>
      <c r="AU10" s="112"/>
      <c r="AV10" s="112"/>
      <c r="AW10" s="112">
        <f t="shared" si="12"/>
        <v>0</v>
      </c>
      <c r="AX10" s="112"/>
      <c r="AY10" s="112">
        <f t="shared" si="16"/>
        <v>0</v>
      </c>
      <c r="AZ10" s="112"/>
      <c r="BA10" s="112"/>
      <c r="BB10" s="112"/>
      <c r="BC10" s="112"/>
      <c r="BD10" s="112"/>
      <c r="BE10" s="112">
        <f t="shared" si="13"/>
        <v>0</v>
      </c>
      <c r="BF10" s="112">
        <f t="shared" si="17"/>
        <v>0</v>
      </c>
      <c r="BG10" s="112"/>
      <c r="BH10" s="112">
        <f t="shared" si="18"/>
        <v>0</v>
      </c>
      <c r="BI10" s="112"/>
      <c r="BJ10" s="112"/>
      <c r="BK10" s="112"/>
      <c r="BL10" s="112"/>
      <c r="BM10" s="123"/>
    </row>
    <row r="11" spans="1:69" s="148" customFormat="1" ht="30" customHeight="1">
      <c r="A11" s="3">
        <f t="shared" si="14"/>
        <v>6</v>
      </c>
      <c r="B11" s="19">
        <v>20019</v>
      </c>
      <c r="C11" s="127" t="s">
        <v>435</v>
      </c>
      <c r="D11" s="112">
        <f>100000+250000</f>
        <v>350000</v>
      </c>
      <c r="E11" s="112">
        <v>100000</v>
      </c>
      <c r="F11" s="112">
        <f t="shared" si="0"/>
        <v>250000</v>
      </c>
      <c r="G11" s="112">
        <v>100000</v>
      </c>
      <c r="H11" s="112">
        <v>1000</v>
      </c>
      <c r="I11" s="112"/>
      <c r="J11" s="112"/>
      <c r="K11" s="112">
        <f t="shared" si="1"/>
        <v>0</v>
      </c>
      <c r="L11" s="112">
        <f t="shared" si="2"/>
        <v>1000</v>
      </c>
      <c r="M11" s="112">
        <f>P11+S11-99000</f>
        <v>0</v>
      </c>
      <c r="N11" s="112">
        <f>250000+60000</f>
        <v>310000</v>
      </c>
      <c r="O11" s="112">
        <f t="shared" si="3"/>
        <v>39000</v>
      </c>
      <c r="P11" s="112">
        <f t="shared" si="4"/>
        <v>99000</v>
      </c>
      <c r="Q11" s="112"/>
      <c r="R11" s="112"/>
      <c r="S11" s="112">
        <f t="shared" si="5"/>
        <v>0</v>
      </c>
      <c r="T11" s="112">
        <f t="shared" si="6"/>
        <v>99000</v>
      </c>
      <c r="U11" s="112">
        <f t="shared" si="7"/>
        <v>211000</v>
      </c>
      <c r="V11" s="112">
        <f t="shared" si="8"/>
        <v>0</v>
      </c>
      <c r="W11" s="112">
        <v>-37000</v>
      </c>
      <c r="X11" s="112"/>
      <c r="Y11" s="112"/>
      <c r="Z11" s="112"/>
      <c r="AA11" s="112">
        <v>248000</v>
      </c>
      <c r="AB11" s="3" t="s">
        <v>684</v>
      </c>
      <c r="AC11" s="3">
        <v>870000</v>
      </c>
      <c r="AD11" s="530">
        <f>37000-37000</f>
        <v>0</v>
      </c>
      <c r="AE11" s="112">
        <v>50000</v>
      </c>
      <c r="AF11" s="112"/>
      <c r="AG11" s="112"/>
      <c r="AH11" s="112"/>
      <c r="AI11" s="112"/>
      <c r="AJ11" s="112">
        <f t="shared" si="9"/>
        <v>50000</v>
      </c>
      <c r="AK11" s="112">
        <f t="shared" si="15"/>
        <v>161000</v>
      </c>
      <c r="AL11" s="112"/>
      <c r="AM11" s="112"/>
      <c r="AN11" s="112">
        <f t="shared" si="10"/>
        <v>161000</v>
      </c>
      <c r="AO11" s="112"/>
      <c r="AP11" s="112">
        <f t="shared" si="11"/>
        <v>0</v>
      </c>
      <c r="AQ11" s="112"/>
      <c r="AR11" s="112"/>
      <c r="AS11" s="112"/>
      <c r="AT11" s="112">
        <v>161000</v>
      </c>
      <c r="AU11" s="112"/>
      <c r="AV11" s="112"/>
      <c r="AW11" s="112">
        <f t="shared" si="12"/>
        <v>0</v>
      </c>
      <c r="AX11" s="112">
        <v>161000</v>
      </c>
      <c r="AY11" s="112">
        <f t="shared" si="16"/>
        <v>0</v>
      </c>
      <c r="AZ11" s="112"/>
      <c r="BA11" s="112"/>
      <c r="BB11" s="112"/>
      <c r="BC11" s="112"/>
      <c r="BD11" s="112">
        <v>161000</v>
      </c>
      <c r="BE11" s="112">
        <f t="shared" si="13"/>
        <v>211000</v>
      </c>
      <c r="BF11" s="112">
        <f t="shared" si="17"/>
        <v>0</v>
      </c>
      <c r="BG11" s="112"/>
      <c r="BH11" s="112">
        <f t="shared" si="18"/>
        <v>-37000</v>
      </c>
      <c r="BI11" s="112"/>
      <c r="BJ11" s="112"/>
      <c r="BK11" s="112"/>
      <c r="BL11" s="112">
        <v>248000</v>
      </c>
      <c r="BM11" s="123"/>
    </row>
    <row r="12" spans="1:69" s="5" customFormat="1" ht="30" customHeight="1">
      <c r="A12" s="3">
        <f t="shared" si="14"/>
        <v>7</v>
      </c>
      <c r="B12" s="19">
        <v>20079</v>
      </c>
      <c r="C12" s="127" t="s">
        <v>496</v>
      </c>
      <c r="D12" s="112">
        <v>100000</v>
      </c>
      <c r="E12" s="112">
        <v>100000</v>
      </c>
      <c r="F12" s="112">
        <f t="shared" si="0"/>
        <v>0</v>
      </c>
      <c r="G12" s="112">
        <v>0</v>
      </c>
      <c r="H12" s="112"/>
      <c r="I12" s="112"/>
      <c r="J12" s="112"/>
      <c r="K12" s="112">
        <f t="shared" si="1"/>
        <v>0</v>
      </c>
      <c r="L12" s="112">
        <f t="shared" si="2"/>
        <v>0</v>
      </c>
      <c r="M12" s="112">
        <f>P12+S12-50000</f>
        <v>0</v>
      </c>
      <c r="N12" s="112">
        <f>50000+50000</f>
        <v>100000</v>
      </c>
      <c r="O12" s="112">
        <f t="shared" si="3"/>
        <v>0</v>
      </c>
      <c r="P12" s="112">
        <f t="shared" si="4"/>
        <v>0</v>
      </c>
      <c r="Q12" s="112">
        <v>50000</v>
      </c>
      <c r="R12" s="112"/>
      <c r="S12" s="112">
        <f t="shared" si="5"/>
        <v>50000</v>
      </c>
      <c r="T12" s="112">
        <f t="shared" si="6"/>
        <v>50000</v>
      </c>
      <c r="U12" s="112">
        <f t="shared" si="7"/>
        <v>50000</v>
      </c>
      <c r="V12" s="112">
        <f t="shared" si="8"/>
        <v>0</v>
      </c>
      <c r="W12" s="112">
        <v>50000</v>
      </c>
      <c r="X12" s="112"/>
      <c r="Y12" s="112"/>
      <c r="Z12" s="112"/>
      <c r="AA12" s="112"/>
      <c r="AB12" s="3" t="s">
        <v>559</v>
      </c>
      <c r="AC12" s="3">
        <v>870000</v>
      </c>
      <c r="AD12" s="112"/>
      <c r="AE12" s="112">
        <v>50000</v>
      </c>
      <c r="AF12" s="112"/>
      <c r="AG12" s="112"/>
      <c r="AH12" s="112"/>
      <c r="AI12" s="112"/>
      <c r="AJ12" s="112">
        <f t="shared" si="9"/>
        <v>50000</v>
      </c>
      <c r="AK12" s="112">
        <f t="shared" si="15"/>
        <v>0</v>
      </c>
      <c r="AL12" s="112"/>
      <c r="AM12" s="112"/>
      <c r="AN12" s="112">
        <f t="shared" si="10"/>
        <v>0</v>
      </c>
      <c r="AO12" s="112"/>
      <c r="AP12" s="112">
        <f t="shared" si="11"/>
        <v>0</v>
      </c>
      <c r="AQ12" s="112"/>
      <c r="AR12" s="112"/>
      <c r="AS12" s="112"/>
      <c r="AT12" s="112"/>
      <c r="AU12" s="112"/>
      <c r="AV12" s="112"/>
      <c r="AW12" s="112">
        <f t="shared" si="12"/>
        <v>0</v>
      </c>
      <c r="AX12" s="112"/>
      <c r="AY12" s="112">
        <f t="shared" si="16"/>
        <v>0</v>
      </c>
      <c r="AZ12" s="112"/>
      <c r="BA12" s="112"/>
      <c r="BB12" s="112"/>
      <c r="BC12" s="112"/>
      <c r="BD12" s="112"/>
      <c r="BE12" s="112">
        <f t="shared" si="13"/>
        <v>50000</v>
      </c>
      <c r="BF12" s="112">
        <f t="shared" si="17"/>
        <v>0</v>
      </c>
      <c r="BG12" s="112"/>
      <c r="BH12" s="112">
        <f t="shared" si="18"/>
        <v>50000</v>
      </c>
      <c r="BI12" s="112"/>
      <c r="BJ12" s="112"/>
      <c r="BK12" s="112"/>
      <c r="BL12" s="112"/>
      <c r="BM12" s="123"/>
    </row>
    <row r="13" spans="1:69" s="5" customFormat="1" ht="30" customHeight="1">
      <c r="A13" s="3">
        <f t="shared" si="14"/>
        <v>8</v>
      </c>
      <c r="B13" s="19">
        <v>20136</v>
      </c>
      <c r="C13" s="127" t="s">
        <v>636</v>
      </c>
      <c r="D13" s="112">
        <v>344000</v>
      </c>
      <c r="E13" s="112"/>
      <c r="F13" s="112">
        <f>D13-E13</f>
        <v>344000</v>
      </c>
      <c r="G13" s="112">
        <v>0</v>
      </c>
      <c r="H13" s="112"/>
      <c r="I13" s="112"/>
      <c r="J13" s="112"/>
      <c r="K13" s="112">
        <f>I13+J13</f>
        <v>0</v>
      </c>
      <c r="L13" s="112">
        <f>H13+K13</f>
        <v>0</v>
      </c>
      <c r="M13" s="112">
        <f>P13+S13</f>
        <v>0</v>
      </c>
      <c r="N13" s="112">
        <v>344000</v>
      </c>
      <c r="O13" s="112">
        <f>D13-L13-M13-N13</f>
        <v>0</v>
      </c>
      <c r="P13" s="112">
        <f>G13-L13</f>
        <v>0</v>
      </c>
      <c r="Q13" s="112"/>
      <c r="R13" s="112"/>
      <c r="S13" s="112">
        <f>SUM(Q13:R13)</f>
        <v>0</v>
      </c>
      <c r="T13" s="112">
        <f>P13-M13+S13</f>
        <v>0</v>
      </c>
      <c r="U13" s="112">
        <f>N13-T13</f>
        <v>344000</v>
      </c>
      <c r="V13" s="112">
        <f>U13-W13-Z13-AA13</f>
        <v>0</v>
      </c>
      <c r="W13" s="112">
        <v>69086</v>
      </c>
      <c r="X13" s="112"/>
      <c r="Y13" s="112"/>
      <c r="Z13" s="112"/>
      <c r="AA13" s="112">
        <v>274914</v>
      </c>
      <c r="AB13" s="3" t="s">
        <v>770</v>
      </c>
      <c r="AC13" s="3">
        <v>870000</v>
      </c>
      <c r="AD13" s="112"/>
      <c r="AE13" s="112">
        <v>150000</v>
      </c>
      <c r="AF13" s="112"/>
      <c r="AG13" s="112"/>
      <c r="AH13" s="112"/>
      <c r="AI13" s="112"/>
      <c r="AJ13" s="112">
        <f t="shared" si="9"/>
        <v>150000</v>
      </c>
      <c r="AK13" s="112">
        <f t="shared" si="15"/>
        <v>194000</v>
      </c>
      <c r="AL13" s="112"/>
      <c r="AM13" s="112"/>
      <c r="AN13" s="112">
        <f t="shared" si="10"/>
        <v>194000</v>
      </c>
      <c r="AO13" s="112"/>
      <c r="AP13" s="112">
        <f t="shared" si="11"/>
        <v>38961</v>
      </c>
      <c r="AQ13" s="112"/>
      <c r="AR13" s="112"/>
      <c r="AS13" s="112"/>
      <c r="AT13" s="112">
        <v>155039</v>
      </c>
      <c r="AU13" s="112"/>
      <c r="AV13" s="112"/>
      <c r="AW13" s="112">
        <f t="shared" si="12"/>
        <v>0</v>
      </c>
      <c r="AX13" s="112">
        <v>194000</v>
      </c>
      <c r="AY13" s="112">
        <f t="shared" si="16"/>
        <v>38961</v>
      </c>
      <c r="AZ13" s="112"/>
      <c r="BA13" s="112"/>
      <c r="BB13" s="112"/>
      <c r="BC13" s="112"/>
      <c r="BD13" s="112">
        <v>155039</v>
      </c>
      <c r="BE13" s="112">
        <f t="shared" si="13"/>
        <v>344000</v>
      </c>
      <c r="BF13" s="112">
        <f t="shared" si="17"/>
        <v>0</v>
      </c>
      <c r="BG13" s="112"/>
      <c r="BH13" s="112">
        <f t="shared" si="18"/>
        <v>69086</v>
      </c>
      <c r="BI13" s="112"/>
      <c r="BJ13" s="112"/>
      <c r="BK13" s="112"/>
      <c r="BL13" s="112">
        <v>274914</v>
      </c>
      <c r="BM13" s="123"/>
    </row>
    <row r="14" spans="1:69" s="40" customFormat="1" ht="30" customHeight="1">
      <c r="A14" s="236">
        <f>COUNT(A6:A13)</f>
        <v>8</v>
      </c>
      <c r="B14" s="20"/>
      <c r="C14" s="208" t="s">
        <v>497</v>
      </c>
      <c r="D14" s="236">
        <f t="shared" ref="D14:BL14" si="19">SUM(D6:D13)</f>
        <v>5957500</v>
      </c>
      <c r="E14" s="236">
        <f t="shared" si="19"/>
        <v>5191500</v>
      </c>
      <c r="F14" s="236">
        <f t="shared" si="19"/>
        <v>766000</v>
      </c>
      <c r="G14" s="236">
        <f t="shared" si="19"/>
        <v>4611500</v>
      </c>
      <c r="H14" s="236">
        <f t="shared" si="19"/>
        <v>4144420</v>
      </c>
      <c r="I14" s="236">
        <f t="shared" si="19"/>
        <v>0</v>
      </c>
      <c r="J14" s="236">
        <f t="shared" si="19"/>
        <v>14144</v>
      </c>
      <c r="K14" s="236">
        <f t="shared" si="19"/>
        <v>14144</v>
      </c>
      <c r="L14" s="236">
        <f t="shared" si="19"/>
        <v>4158564</v>
      </c>
      <c r="M14" s="236">
        <f t="shared" si="19"/>
        <v>6936</v>
      </c>
      <c r="N14" s="236">
        <f t="shared" si="19"/>
        <v>1274000</v>
      </c>
      <c r="O14" s="236">
        <f t="shared" si="19"/>
        <v>518000</v>
      </c>
      <c r="P14" s="236">
        <f t="shared" si="19"/>
        <v>452936</v>
      </c>
      <c r="Q14" s="236">
        <f t="shared" si="19"/>
        <v>222000</v>
      </c>
      <c r="R14" s="236">
        <f t="shared" si="19"/>
        <v>0</v>
      </c>
      <c r="S14" s="236">
        <f t="shared" si="19"/>
        <v>222000</v>
      </c>
      <c r="T14" s="236">
        <f t="shared" si="19"/>
        <v>668000</v>
      </c>
      <c r="U14" s="236">
        <f t="shared" si="19"/>
        <v>606000</v>
      </c>
      <c r="V14" s="236">
        <f t="shared" si="19"/>
        <v>-99000</v>
      </c>
      <c r="W14" s="236">
        <f t="shared" si="19"/>
        <v>109967</v>
      </c>
      <c r="X14" s="236">
        <f t="shared" si="19"/>
        <v>0</v>
      </c>
      <c r="Y14" s="236">
        <f t="shared" si="19"/>
        <v>0</v>
      </c>
      <c r="Z14" s="236">
        <f t="shared" si="19"/>
        <v>0</v>
      </c>
      <c r="AA14" s="236">
        <f t="shared" si="19"/>
        <v>595033</v>
      </c>
      <c r="AB14" s="236">
        <f t="shared" si="19"/>
        <v>0</v>
      </c>
      <c r="AC14" s="236">
        <f t="shared" si="19"/>
        <v>6652000</v>
      </c>
      <c r="AD14" s="236">
        <f t="shared" si="19"/>
        <v>-99000</v>
      </c>
      <c r="AE14" s="236">
        <f>SUM(AE6:AE13)</f>
        <v>441000</v>
      </c>
      <c r="AF14" s="236">
        <f>SUM(AF6:AF13)</f>
        <v>0</v>
      </c>
      <c r="AG14" s="236">
        <f t="shared" ref="AG14:AH14" si="20">SUM(AG6:AG13)</f>
        <v>0</v>
      </c>
      <c r="AH14" s="236">
        <f t="shared" si="20"/>
        <v>0</v>
      </c>
      <c r="AI14" s="236">
        <f t="shared" si="19"/>
        <v>0</v>
      </c>
      <c r="AJ14" s="236">
        <f t="shared" si="19"/>
        <v>342000</v>
      </c>
      <c r="AK14" s="236">
        <f t="shared" si="19"/>
        <v>264000</v>
      </c>
      <c r="AL14" s="236">
        <f t="shared" si="19"/>
        <v>0</v>
      </c>
      <c r="AM14" s="236">
        <f t="shared" si="19"/>
        <v>0</v>
      </c>
      <c r="AN14" s="236">
        <f t="shared" si="19"/>
        <v>264000</v>
      </c>
      <c r="AO14" s="236">
        <f t="shared" si="19"/>
        <v>-91000</v>
      </c>
      <c r="AP14" s="236">
        <f t="shared" si="19"/>
        <v>38961</v>
      </c>
      <c r="AQ14" s="236">
        <f t="shared" si="19"/>
        <v>0</v>
      </c>
      <c r="AR14" s="236">
        <f t="shared" si="19"/>
        <v>0</v>
      </c>
      <c r="AS14" s="236">
        <f t="shared" si="19"/>
        <v>0</v>
      </c>
      <c r="AT14" s="236">
        <f t="shared" si="19"/>
        <v>316039</v>
      </c>
      <c r="AU14" s="236">
        <f t="shared" ref="AU14:AV14" si="21">SUM(AU6:AU13)</f>
        <v>0</v>
      </c>
      <c r="AV14" s="236">
        <f t="shared" si="21"/>
        <v>0</v>
      </c>
      <c r="AW14" s="236">
        <f t="shared" si="19"/>
        <v>-91000</v>
      </c>
      <c r="AX14" s="236">
        <f t="shared" si="19"/>
        <v>355000</v>
      </c>
      <c r="AY14" s="236">
        <f t="shared" si="19"/>
        <v>38961</v>
      </c>
      <c r="AZ14" s="236">
        <f t="shared" si="19"/>
        <v>0</v>
      </c>
      <c r="BA14" s="236">
        <f t="shared" si="19"/>
        <v>0</v>
      </c>
      <c r="BB14" s="236">
        <f t="shared" si="19"/>
        <v>0</v>
      </c>
      <c r="BC14" s="236">
        <f t="shared" si="19"/>
        <v>0</v>
      </c>
      <c r="BD14" s="236">
        <f t="shared" si="19"/>
        <v>316039</v>
      </c>
      <c r="BE14" s="236">
        <f t="shared" si="19"/>
        <v>697000</v>
      </c>
      <c r="BF14" s="236">
        <f t="shared" si="19"/>
        <v>-91000</v>
      </c>
      <c r="BG14" s="236">
        <f t="shared" si="19"/>
        <v>-8000</v>
      </c>
      <c r="BH14" s="236">
        <f t="shared" si="19"/>
        <v>109967</v>
      </c>
      <c r="BI14" s="236">
        <f t="shared" si="19"/>
        <v>0</v>
      </c>
      <c r="BJ14" s="236">
        <f t="shared" si="19"/>
        <v>0</v>
      </c>
      <c r="BK14" s="236">
        <f t="shared" si="19"/>
        <v>0</v>
      </c>
      <c r="BL14" s="236">
        <f t="shared" si="19"/>
        <v>595033</v>
      </c>
      <c r="BM14" s="123"/>
    </row>
    <row r="15" spans="1:69" s="40" customFormat="1" ht="25.15" hidden="1" customHeight="1">
      <c r="A15" s="500"/>
      <c r="C15" s="225"/>
      <c r="D15" s="558">
        <f>SUM(L14:O14)</f>
        <v>5957500</v>
      </c>
      <c r="E15" s="558"/>
      <c r="F15" s="558">
        <f>SUM(E14:F14)</f>
        <v>5957500</v>
      </c>
      <c r="G15" s="558"/>
      <c r="H15" s="558"/>
      <c r="I15" s="558"/>
      <c r="J15" s="558"/>
      <c r="K15" s="558"/>
      <c r="L15" s="495">
        <f>H14+I14+J14</f>
        <v>4158564</v>
      </c>
      <c r="M15" s="558"/>
      <c r="N15" s="558"/>
      <c r="O15" s="558"/>
      <c r="P15" s="495">
        <f>G14-L15</f>
        <v>452936</v>
      </c>
      <c r="Q15" s="558"/>
      <c r="R15" s="558"/>
      <c r="S15" s="558"/>
      <c r="T15" s="495">
        <f>P15+S14-M14</f>
        <v>668000</v>
      </c>
      <c r="U15" s="495">
        <f>N14-T14</f>
        <v>606000</v>
      </c>
      <c r="V15" s="500"/>
      <c r="W15" s="500"/>
      <c r="X15" s="500"/>
      <c r="Y15" s="500"/>
      <c r="Z15" s="500"/>
      <c r="AA15" s="500"/>
      <c r="AD15" s="232"/>
      <c r="AE15" s="232"/>
      <c r="AF15" s="232"/>
      <c r="AG15" s="232"/>
      <c r="AH15" s="232"/>
      <c r="AI15" s="232"/>
      <c r="AJ15" s="232"/>
      <c r="AK15" s="123"/>
      <c r="AL15" s="232"/>
      <c r="AM15" s="232"/>
      <c r="AN15" s="312"/>
      <c r="AO15" s="232"/>
      <c r="AP15" s="232"/>
      <c r="AQ15" s="232"/>
      <c r="AR15" s="232"/>
      <c r="AS15" s="232"/>
      <c r="AT15" s="23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  <c r="BI15" s="312"/>
      <c r="BJ15" s="312"/>
      <c r="BK15" s="312"/>
      <c r="BL15" s="312"/>
      <c r="BM15" s="123"/>
    </row>
    <row r="16" spans="1:69" s="40" customFormat="1" ht="25.15" hidden="1" customHeight="1">
      <c r="A16" s="500"/>
      <c r="C16" s="225"/>
      <c r="D16" s="495">
        <f>D14-D15</f>
        <v>0</v>
      </c>
      <c r="E16" s="558"/>
      <c r="F16" s="558"/>
      <c r="G16" s="558"/>
      <c r="H16" s="558"/>
      <c r="I16" s="558"/>
      <c r="J16" s="558"/>
      <c r="K16" s="558"/>
      <c r="L16" s="495"/>
      <c r="M16" s="558"/>
      <c r="N16" s="558"/>
      <c r="O16" s="558"/>
      <c r="P16" s="495"/>
      <c r="Q16" s="558"/>
      <c r="R16" s="558"/>
      <c r="S16" s="558"/>
      <c r="T16" s="495"/>
      <c r="U16" s="500"/>
      <c r="V16" s="500"/>
      <c r="W16" s="500"/>
      <c r="X16" s="500"/>
      <c r="Y16" s="500"/>
      <c r="Z16" s="500"/>
      <c r="AA16" s="500"/>
      <c r="AD16" s="232"/>
      <c r="AE16" s="232"/>
      <c r="AF16" s="232"/>
      <c r="AG16" s="232"/>
      <c r="AH16" s="232"/>
      <c r="AI16" s="232"/>
      <c r="AJ16" s="232"/>
      <c r="AK16" s="123"/>
      <c r="AL16" s="232"/>
      <c r="AM16" s="232"/>
      <c r="AN16" s="312"/>
      <c r="AO16" s="232"/>
      <c r="AP16" s="232"/>
      <c r="AQ16" s="232"/>
      <c r="AR16" s="232"/>
      <c r="AS16" s="232"/>
      <c r="AT16" s="232"/>
      <c r="AU16" s="312"/>
      <c r="AV16" s="312"/>
      <c r="AW16" s="312"/>
      <c r="AX16" s="312"/>
      <c r="AY16" s="312"/>
      <c r="AZ16" s="312"/>
      <c r="BA16" s="312"/>
      <c r="BB16" s="312"/>
      <c r="BC16" s="312"/>
      <c r="BD16" s="312"/>
      <c r="BE16" s="312"/>
      <c r="BF16" s="312"/>
      <c r="BG16" s="312"/>
      <c r="BH16" s="312"/>
      <c r="BI16" s="312"/>
      <c r="BJ16" s="312"/>
      <c r="BK16" s="312"/>
      <c r="BL16" s="312"/>
      <c r="BM16" s="123"/>
    </row>
    <row r="17" spans="1:50">
      <c r="A17" s="123" t="s">
        <v>157</v>
      </c>
      <c r="C17" s="123" t="s">
        <v>1478</v>
      </c>
    </row>
    <row r="18" spans="1:50">
      <c r="AX18" s="528" t="s">
        <v>814</v>
      </c>
    </row>
    <row r="129" spans="1:1">
      <c r="A129" s="123">
        <f>COUNT(A6:A128)</f>
        <v>9</v>
      </c>
    </row>
    <row r="132" spans="1:1">
      <c r="A132" s="123">
        <f>A129+1</f>
        <v>10</v>
      </c>
    </row>
    <row r="135" spans="1:1" ht="37.9" customHeight="1"/>
    <row r="138" spans="1:1" ht="70.900000000000006" customHeight="1"/>
    <row r="141" spans="1:1" ht="72" customHeight="1"/>
    <row r="143" spans="1:1" ht="43.9" customHeight="1"/>
    <row r="145" ht="30" customHeight="1"/>
  </sheetData>
  <sheetProtection formatCells="0" formatColumns="0" formatRows="0" insertColumns="0" insertRows="0" insertHyperlinks="0" deleteColumns="0" deleteRows="0" sort="0" autoFilter="0" pivotTables="0"/>
  <mergeCells count="8">
    <mergeCell ref="BE4:BF4"/>
    <mergeCell ref="BG4:BL4"/>
    <mergeCell ref="A1:W1"/>
    <mergeCell ref="AD4:AK4"/>
    <mergeCell ref="AO4:AT4"/>
    <mergeCell ref="A4:C4"/>
    <mergeCell ref="T4:U4"/>
    <mergeCell ref="V4:AA4"/>
  </mergeCells>
  <conditionalFormatting sqref="AB5">
    <cfRule type="cellIs" dxfId="27" priority="16" operator="equal">
      <formula>0</formula>
    </cfRule>
  </conditionalFormatting>
  <conditionalFormatting sqref="AJ5">
    <cfRule type="cellIs" dxfId="26" priority="15" operator="equal">
      <formula>0</formula>
    </cfRule>
  </conditionalFormatting>
  <conditionalFormatting sqref="AN5">
    <cfRule type="cellIs" dxfId="25" priority="13" operator="equal">
      <formula>0</formula>
    </cfRule>
  </conditionalFormatting>
  <conditionalFormatting sqref="AW5:BC5">
    <cfRule type="cellIs" dxfId="24" priority="12" operator="equal">
      <formula>0</formula>
    </cfRule>
  </conditionalFormatting>
  <conditionalFormatting sqref="BD5">
    <cfRule type="cellIs" dxfId="23" priority="11" operator="equal">
      <formula>0</formula>
    </cfRule>
  </conditionalFormatting>
  <conditionalFormatting sqref="BN4">
    <cfRule type="cellIs" dxfId="22" priority="1" operator="equal">
      <formula>0</formula>
    </cfRule>
  </conditionalFormatting>
  <conditionalFormatting sqref="AO4 AL4:AM4">
    <cfRule type="cellIs" dxfId="21" priority="10" operator="equal">
      <formula>0</formula>
    </cfRule>
  </conditionalFormatting>
  <conditionalFormatting sqref="AL4:AM4 AO4">
    <cfRule type="cellIs" dxfId="20" priority="9" operator="equal">
      <formula>0</formula>
    </cfRule>
  </conditionalFormatting>
  <conditionalFormatting sqref="BM4:BO4">
    <cfRule type="cellIs" dxfId="19" priority="8" operator="equal">
      <formula>0</formula>
    </cfRule>
  </conditionalFormatting>
  <conditionalFormatting sqref="BM4:BO4">
    <cfRule type="cellIs" dxfId="18" priority="7" operator="equal">
      <formula>0</formula>
    </cfRule>
  </conditionalFormatting>
  <conditionalFormatting sqref="BM4:BO4">
    <cfRule type="cellIs" dxfId="17" priority="6" operator="equal">
      <formula>0</formula>
    </cfRule>
  </conditionalFormatting>
  <conditionalFormatting sqref="BM4:BO4">
    <cfRule type="cellIs" dxfId="16" priority="4" operator="equal">
      <formula>0</formula>
    </cfRule>
  </conditionalFormatting>
  <conditionalFormatting sqref="BM4:BO4">
    <cfRule type="cellIs" dxfId="15" priority="5" operator="equal">
      <formula>0</formula>
    </cfRule>
  </conditionalFormatting>
  <conditionalFormatting sqref="BQ4">
    <cfRule type="cellIs" dxfId="14" priority="3" operator="equal">
      <formula>0</formula>
    </cfRule>
  </conditionalFormatting>
  <conditionalFormatting sqref="BN4">
    <cfRule type="cellIs" dxfId="13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2FF6-7523-46BD-80F3-6823DAA6AA8F}">
  <dimension ref="A1:BQ146"/>
  <sheetViews>
    <sheetView showZeros="0" rightToLeft="1" zoomScaleNormal="100" workbookViewId="0">
      <pane xSplit="3" ySplit="5" topLeftCell="D6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9.140625" defaultRowHeight="15"/>
  <cols>
    <col min="1" max="1" width="3.7109375" style="123" customWidth="1"/>
    <col min="2" max="2" width="5.7109375" style="123" customWidth="1"/>
    <col min="3" max="3" width="24.85546875" style="123" customWidth="1"/>
    <col min="4" max="4" width="10.42578125" style="124" hidden="1" customWidth="1"/>
    <col min="5" max="11" width="9.85546875" style="124" hidden="1" customWidth="1"/>
    <col min="12" max="12" width="10" style="124" hidden="1" customWidth="1"/>
    <col min="13" max="13" width="8.7109375" style="124" hidden="1" customWidth="1"/>
    <col min="14" max="14" width="8.85546875" style="124" hidden="1" customWidth="1"/>
    <col min="15" max="15" width="9.85546875" style="124" hidden="1" customWidth="1"/>
    <col min="16" max="16" width="10.140625" style="124" hidden="1" customWidth="1"/>
    <col min="17" max="18" width="13.5703125" style="124" hidden="1" customWidth="1"/>
    <col min="19" max="19" width="8.42578125" style="124" hidden="1" customWidth="1"/>
    <col min="20" max="20" width="11.7109375" style="124" customWidth="1"/>
    <col min="21" max="23" width="11.7109375" style="123" customWidth="1"/>
    <col min="24" max="24" width="6.42578125" style="123" hidden="1" customWidth="1"/>
    <col min="25" max="25" width="10.140625" style="123" customWidth="1"/>
    <col min="26" max="26" width="11.7109375" style="123" hidden="1" customWidth="1"/>
    <col min="27" max="27" width="11.7109375" style="123" customWidth="1"/>
    <col min="28" max="28" width="36.140625" style="131" hidden="1" customWidth="1"/>
    <col min="29" max="29" width="7" style="123" hidden="1" customWidth="1"/>
    <col min="30" max="30" width="11.5703125" style="123" hidden="1" customWidth="1"/>
    <col min="31" max="35" width="9.28515625" style="123" hidden="1" customWidth="1"/>
    <col min="36" max="36" width="10.85546875" style="123" hidden="1" customWidth="1"/>
    <col min="37" max="39" width="9.28515625" style="123" hidden="1" customWidth="1"/>
    <col min="40" max="40" width="9.140625" style="123" hidden="1" customWidth="1"/>
    <col min="41" max="41" width="9.28515625" style="123" hidden="1" customWidth="1"/>
    <col min="42" max="45" width="10.7109375" style="123" hidden="1" customWidth="1"/>
    <col min="46" max="46" width="9.140625" style="123" hidden="1" customWidth="1"/>
    <col min="47" max="48" width="9.85546875" style="123" hidden="1" customWidth="1"/>
    <col min="49" max="56" width="9.28515625" style="123" hidden="1" customWidth="1"/>
    <col min="57" max="57" width="12.85546875" style="123" customWidth="1"/>
    <col min="58" max="60" width="11.7109375" style="123" customWidth="1"/>
    <col min="61" max="61" width="9.28515625" style="123" hidden="1" customWidth="1"/>
    <col min="62" max="62" width="10.7109375" style="123" customWidth="1"/>
    <col min="63" max="63" width="9.28515625" style="123" hidden="1" customWidth="1"/>
    <col min="64" max="64" width="11.7109375" style="123" customWidth="1"/>
    <col min="65" max="65" width="9.28515625" style="123" customWidth="1"/>
    <col min="66" max="16384" width="9.140625" style="123"/>
  </cols>
  <sheetData>
    <row r="1" spans="1:69" s="132" customFormat="1" ht="18.75">
      <c r="A1" s="825"/>
      <c r="B1" s="825"/>
      <c r="C1" s="825"/>
      <c r="D1" s="825"/>
      <c r="E1" s="825"/>
      <c r="F1" s="825"/>
      <c r="G1" s="825"/>
      <c r="H1" s="825"/>
      <c r="I1" s="825"/>
      <c r="J1" s="825"/>
      <c r="K1" s="825"/>
      <c r="L1" s="825"/>
      <c r="M1" s="825"/>
      <c r="N1" s="825"/>
      <c r="O1" s="825"/>
      <c r="P1" s="825"/>
      <c r="Q1" s="825"/>
      <c r="R1" s="825"/>
      <c r="S1" s="825"/>
      <c r="T1" s="825"/>
      <c r="U1" s="825"/>
      <c r="V1" s="825"/>
      <c r="W1" s="825"/>
      <c r="X1" s="215"/>
      <c r="Y1" s="215"/>
      <c r="Z1" s="215"/>
      <c r="AB1" s="204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O1" s="123"/>
      <c r="AP1" s="123"/>
      <c r="AQ1" s="123"/>
      <c r="AR1" s="123"/>
      <c r="AS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</row>
    <row r="2" spans="1:69" ht="18.75">
      <c r="A2" s="145" t="s">
        <v>1392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spans="1:69" ht="18.7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69" s="10" customFormat="1" ht="20.45" customHeight="1">
      <c r="A4" s="822"/>
      <c r="B4" s="823"/>
      <c r="C4" s="82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04" t="s">
        <v>1354</v>
      </c>
      <c r="U4" s="804"/>
      <c r="V4" s="804" t="s">
        <v>71</v>
      </c>
      <c r="W4" s="804"/>
      <c r="X4" s="804"/>
      <c r="Y4" s="804"/>
      <c r="Z4" s="804"/>
      <c r="AA4" s="804"/>
      <c r="AD4" s="807" t="s">
        <v>902</v>
      </c>
      <c r="AE4" s="808"/>
      <c r="AF4" s="808"/>
      <c r="AG4" s="808"/>
      <c r="AH4" s="808"/>
      <c r="AI4" s="808"/>
      <c r="AJ4" s="808"/>
      <c r="AK4" s="809"/>
      <c r="AL4" s="573"/>
      <c r="AM4" s="573"/>
      <c r="AO4" s="807" t="s">
        <v>904</v>
      </c>
      <c r="AP4" s="808"/>
      <c r="AQ4" s="808"/>
      <c r="AR4" s="808"/>
      <c r="AS4" s="808"/>
      <c r="AT4" s="809"/>
      <c r="BE4" s="804" t="s">
        <v>1351</v>
      </c>
      <c r="BF4" s="804"/>
      <c r="BG4" s="804" t="s">
        <v>1356</v>
      </c>
      <c r="BH4" s="804"/>
      <c r="BI4" s="804"/>
      <c r="BJ4" s="804"/>
      <c r="BK4" s="804"/>
      <c r="BL4" s="804"/>
      <c r="BM4" s="572"/>
      <c r="BN4" s="573"/>
      <c r="BO4" s="572"/>
      <c r="BQ4" s="573"/>
    </row>
    <row r="5" spans="1:69" s="133" customFormat="1" ht="90">
      <c r="A5" s="122" t="s">
        <v>0</v>
      </c>
      <c r="B5" s="122" t="s">
        <v>1</v>
      </c>
      <c r="C5" s="122" t="s">
        <v>2</v>
      </c>
      <c r="D5" s="122" t="s">
        <v>3</v>
      </c>
      <c r="E5" s="122" t="s">
        <v>4</v>
      </c>
      <c r="F5" s="122" t="s">
        <v>5</v>
      </c>
      <c r="G5" s="122" t="s">
        <v>6</v>
      </c>
      <c r="H5" s="122" t="s">
        <v>7</v>
      </c>
      <c r="I5" s="122" t="s">
        <v>9</v>
      </c>
      <c r="J5" s="122" t="s">
        <v>101</v>
      </c>
      <c r="K5" s="122" t="s">
        <v>10</v>
      </c>
      <c r="L5" s="122" t="s">
        <v>11</v>
      </c>
      <c r="M5" s="122" t="s">
        <v>568</v>
      </c>
      <c r="N5" s="122" t="s">
        <v>569</v>
      </c>
      <c r="O5" s="2" t="s">
        <v>570</v>
      </c>
      <c r="P5" s="2" t="s">
        <v>12</v>
      </c>
      <c r="Q5" s="122" t="s">
        <v>571</v>
      </c>
      <c r="R5" s="122" t="s">
        <v>572</v>
      </c>
      <c r="S5" s="2" t="s">
        <v>573</v>
      </c>
      <c r="T5" s="2" t="s">
        <v>574</v>
      </c>
      <c r="U5" s="2" t="s">
        <v>575</v>
      </c>
      <c r="V5" s="122" t="s">
        <v>13</v>
      </c>
      <c r="W5" s="122" t="s">
        <v>14</v>
      </c>
      <c r="X5" s="122" t="s">
        <v>15</v>
      </c>
      <c r="Y5" s="122" t="s">
        <v>185</v>
      </c>
      <c r="Z5" s="122" t="s">
        <v>385</v>
      </c>
      <c r="AA5" s="122" t="s">
        <v>67</v>
      </c>
      <c r="AB5" s="557" t="s">
        <v>207</v>
      </c>
      <c r="AC5" s="122" t="s">
        <v>16</v>
      </c>
      <c r="AD5" s="518" t="s">
        <v>905</v>
      </c>
      <c r="AE5" s="518" t="s">
        <v>906</v>
      </c>
      <c r="AF5" s="518" t="s">
        <v>907</v>
      </c>
      <c r="AG5" s="518" t="s">
        <v>908</v>
      </c>
      <c r="AH5" s="518" t="s">
        <v>909</v>
      </c>
      <c r="AI5" s="518" t="s">
        <v>910</v>
      </c>
      <c r="AJ5" s="518" t="s">
        <v>911</v>
      </c>
      <c r="AK5" s="518" t="s">
        <v>912</v>
      </c>
      <c r="AL5" s="519" t="s">
        <v>913</v>
      </c>
      <c r="AM5" s="519" t="s">
        <v>914</v>
      </c>
      <c r="AN5" s="518" t="s">
        <v>915</v>
      </c>
      <c r="AO5" s="2" t="s">
        <v>13</v>
      </c>
      <c r="AP5" s="2" t="s">
        <v>14</v>
      </c>
      <c r="AQ5" s="2" t="s">
        <v>15</v>
      </c>
      <c r="AR5" s="2" t="s">
        <v>185</v>
      </c>
      <c r="AS5" s="2" t="s">
        <v>385</v>
      </c>
      <c r="AT5" s="2" t="s">
        <v>67</v>
      </c>
      <c r="AU5" s="529" t="s">
        <v>947</v>
      </c>
      <c r="AV5" s="2" t="s">
        <v>917</v>
      </c>
      <c r="AW5" s="518" t="s">
        <v>918</v>
      </c>
      <c r="AX5" s="518" t="s">
        <v>919</v>
      </c>
      <c r="AY5" s="518" t="s">
        <v>13</v>
      </c>
      <c r="AZ5" s="518" t="s">
        <v>14</v>
      </c>
      <c r="BA5" s="518" t="s">
        <v>15</v>
      </c>
      <c r="BB5" s="518" t="s">
        <v>185</v>
      </c>
      <c r="BC5" s="518" t="s">
        <v>385</v>
      </c>
      <c r="BD5" s="518" t="s">
        <v>67</v>
      </c>
      <c r="BE5" s="494" t="s">
        <v>1355</v>
      </c>
      <c r="BF5" s="494" t="s">
        <v>1350</v>
      </c>
      <c r="BG5" s="518" t="s">
        <v>13</v>
      </c>
      <c r="BH5" s="518" t="s">
        <v>14</v>
      </c>
      <c r="BI5" s="518" t="s">
        <v>15</v>
      </c>
      <c r="BJ5" s="518" t="s">
        <v>185</v>
      </c>
      <c r="BK5" s="518" t="s">
        <v>385</v>
      </c>
      <c r="BL5" s="518" t="s">
        <v>67</v>
      </c>
      <c r="BM5" s="123"/>
    </row>
    <row r="6" spans="1:69" s="5" customFormat="1" ht="30" customHeight="1">
      <c r="A6" s="3">
        <v>1</v>
      </c>
      <c r="B6" s="3">
        <v>529</v>
      </c>
      <c r="C6" s="127" t="s">
        <v>52</v>
      </c>
      <c r="D6" s="112">
        <v>700000</v>
      </c>
      <c r="E6" s="112">
        <v>700000</v>
      </c>
      <c r="F6" s="112">
        <f t="shared" ref="F6:F16" si="0">D6-E6</f>
        <v>0</v>
      </c>
      <c r="G6" s="112">
        <v>700000</v>
      </c>
      <c r="H6" s="112">
        <v>617560</v>
      </c>
      <c r="I6" s="112"/>
      <c r="J6" s="112"/>
      <c r="K6" s="112">
        <f>I6+J6</f>
        <v>0</v>
      </c>
      <c r="L6" s="112">
        <f>H6+K6</f>
        <v>617560</v>
      </c>
      <c r="M6" s="112">
        <f>P6+S6-80000</f>
        <v>2440</v>
      </c>
      <c r="N6" s="112">
        <v>80000</v>
      </c>
      <c r="O6" s="112">
        <f>D6-L6-M6-N6</f>
        <v>0</v>
      </c>
      <c r="P6" s="112">
        <f>G6-L6</f>
        <v>82440</v>
      </c>
      <c r="Q6" s="112"/>
      <c r="R6" s="112"/>
      <c r="S6" s="112">
        <f>SUM(Q6:R6)</f>
        <v>0</v>
      </c>
      <c r="T6" s="112">
        <f>P6-M6+S6</f>
        <v>80000</v>
      </c>
      <c r="U6" s="112">
        <f>N6-T6</f>
        <v>0</v>
      </c>
      <c r="V6" s="112">
        <f>U6-W6-Z6-AA6</f>
        <v>0</v>
      </c>
      <c r="W6" s="112"/>
      <c r="X6" s="112"/>
      <c r="Y6" s="112"/>
      <c r="Z6" s="112"/>
      <c r="AA6" s="112"/>
      <c r="AB6" s="127" t="s">
        <v>560</v>
      </c>
      <c r="AC6" s="3">
        <v>840000</v>
      </c>
      <c r="AD6" s="112"/>
      <c r="AE6" s="112"/>
      <c r="AF6" s="112"/>
      <c r="AG6" s="112"/>
      <c r="AH6" s="112"/>
      <c r="AI6" s="112"/>
      <c r="AJ6" s="112">
        <f t="shared" ref="AJ6:AJ16" si="1">SUM(AD6:AI6)+AL6</f>
        <v>0</v>
      </c>
      <c r="AK6" s="112">
        <f>U6-AJ6</f>
        <v>0</v>
      </c>
      <c r="AL6" s="112"/>
      <c r="AM6" s="112"/>
      <c r="AN6" s="112">
        <f t="shared" ref="AN6:AN16" si="2">AK6+AM6</f>
        <v>0</v>
      </c>
      <c r="AO6" s="112">
        <f>AN6-AP6-AQ6-AR6-AS6-AT6</f>
        <v>0</v>
      </c>
      <c r="AP6" s="112"/>
      <c r="AQ6" s="112"/>
      <c r="AR6" s="2"/>
      <c r="AS6" s="2"/>
      <c r="AT6" s="2"/>
      <c r="AU6" s="112"/>
      <c r="AV6" s="112"/>
      <c r="AW6" s="112"/>
      <c r="AX6" s="112">
        <f>AN6-AW6</f>
        <v>0</v>
      </c>
      <c r="AY6" s="112">
        <f>AX6-AZ6-BA6-BB6-BC6-BD6</f>
        <v>0</v>
      </c>
      <c r="AZ6" s="112"/>
      <c r="BA6" s="112"/>
      <c r="BB6" s="112"/>
      <c r="BC6" s="112"/>
      <c r="BD6" s="112"/>
      <c r="BE6" s="112">
        <f>AX6+AJ6</f>
        <v>0</v>
      </c>
      <c r="BF6" s="112">
        <f>U6-BE6</f>
        <v>0</v>
      </c>
      <c r="BG6" s="112">
        <f>BE6-BH6</f>
        <v>0</v>
      </c>
      <c r="BH6" s="112"/>
      <c r="BI6" s="112"/>
      <c r="BJ6" s="112"/>
      <c r="BK6" s="112"/>
      <c r="BL6" s="112"/>
      <c r="BM6" s="123"/>
    </row>
    <row r="7" spans="1:69" s="5" customFormat="1" ht="30" customHeight="1">
      <c r="A7" s="127">
        <f>A6+1</f>
        <v>2</v>
      </c>
      <c r="B7" s="3">
        <v>1032</v>
      </c>
      <c r="C7" s="127" t="s">
        <v>96</v>
      </c>
      <c r="D7" s="112">
        <f>40500000+7262968+700000</f>
        <v>48462968</v>
      </c>
      <c r="E7" s="112">
        <v>40500000</v>
      </c>
      <c r="F7" s="112">
        <f t="shared" si="0"/>
        <v>7962968</v>
      </c>
      <c r="G7" s="112">
        <v>40262968</v>
      </c>
      <c r="H7" s="112">
        <v>38186355</v>
      </c>
      <c r="I7" s="112">
        <v>140400</v>
      </c>
      <c r="J7" s="112">
        <f>1431082-1760-30420-409-140186-9813-20000</f>
        <v>1228494</v>
      </c>
      <c r="K7" s="112">
        <f t="shared" ref="K7:K16" si="3">I7+J7</f>
        <v>1368894</v>
      </c>
      <c r="L7" s="112">
        <f t="shared" ref="L7:L16" si="4">H7+K7</f>
        <v>39555249</v>
      </c>
      <c r="M7" s="112">
        <f>P7+S7-630000-50000-25000</f>
        <v>2719</v>
      </c>
      <c r="N7" s="112">
        <f>7500000+630000+50000+700000-3200000-1680000</f>
        <v>4000000</v>
      </c>
      <c r="O7" s="112">
        <f t="shared" ref="O7:O16" si="5">D7-L7-M7-N7</f>
        <v>4905000</v>
      </c>
      <c r="P7" s="112">
        <f t="shared" ref="P7:P16" si="6">G7-L7</f>
        <v>707719</v>
      </c>
      <c r="Q7" s="112"/>
      <c r="R7" s="112"/>
      <c r="S7" s="112">
        <f t="shared" ref="S7:S16" si="7">SUM(Q7:R7)</f>
        <v>0</v>
      </c>
      <c r="T7" s="112">
        <f t="shared" ref="T7:T16" si="8">P7-M7+S7</f>
        <v>705000</v>
      </c>
      <c r="U7" s="112">
        <f t="shared" ref="U7:U16" si="9">N7-T7</f>
        <v>3295000</v>
      </c>
      <c r="V7" s="112">
        <f t="shared" ref="V7:V16" si="10">U7-W7-Z7-AA7</f>
        <v>2295000</v>
      </c>
      <c r="W7" s="112">
        <v>1000000</v>
      </c>
      <c r="X7" s="112"/>
      <c r="Y7" s="112"/>
      <c r="Z7" s="112"/>
      <c r="AA7" s="112"/>
      <c r="AB7" s="127" t="s">
        <v>449</v>
      </c>
      <c r="AC7" s="3">
        <v>742000</v>
      </c>
      <c r="AD7" s="112"/>
      <c r="AE7" s="112">
        <v>750000</v>
      </c>
      <c r="AF7" s="112"/>
      <c r="AG7" s="112">
        <v>250000</v>
      </c>
      <c r="AH7" s="112">
        <v>400000</v>
      </c>
      <c r="AI7" s="112"/>
      <c r="AJ7" s="112">
        <f t="shared" si="1"/>
        <v>1400000</v>
      </c>
      <c r="AK7" s="112">
        <f t="shared" ref="AK7:AK16" si="11">U7-AJ7</f>
        <v>1895000</v>
      </c>
      <c r="AL7" s="112"/>
      <c r="AM7" s="112"/>
      <c r="AN7" s="112">
        <f t="shared" si="2"/>
        <v>1895000</v>
      </c>
      <c r="AO7" s="112">
        <f t="shared" ref="AO7:AO16" si="12">AN7-AP7-AQ7-AR7-AS7-AT7</f>
        <v>1895000</v>
      </c>
      <c r="AP7" s="112"/>
      <c r="AQ7" s="112"/>
      <c r="AR7" s="112"/>
      <c r="AS7" s="112"/>
      <c r="AT7" s="112"/>
      <c r="AU7" s="112"/>
      <c r="AV7" s="112"/>
      <c r="AW7" s="112">
        <v>1395000</v>
      </c>
      <c r="AX7" s="112">
        <f>AN7-AW7</f>
        <v>500000</v>
      </c>
      <c r="AY7" s="112">
        <f t="shared" ref="AY7:AY16" si="13">AX7-AZ7-BA7-BB7-BC7-BD7</f>
        <v>500000</v>
      </c>
      <c r="AZ7" s="112"/>
      <c r="BA7" s="112"/>
      <c r="BB7" s="112"/>
      <c r="BC7" s="112"/>
      <c r="BD7" s="112"/>
      <c r="BE7" s="112">
        <f t="shared" ref="BE7:BE16" si="14">AX7+AJ7</f>
        <v>1900000</v>
      </c>
      <c r="BF7" s="112">
        <f t="shared" ref="BF7:BF16" si="15">U7-BE7</f>
        <v>1395000</v>
      </c>
      <c r="BG7" s="112">
        <f t="shared" ref="BG7:BG16" si="16">BE7-BH7</f>
        <v>900000</v>
      </c>
      <c r="BH7" s="112">
        <v>1000000</v>
      </c>
      <c r="BI7" s="112"/>
      <c r="BJ7" s="112"/>
      <c r="BK7" s="112"/>
      <c r="BL7" s="112"/>
      <c r="BM7" s="123"/>
    </row>
    <row r="8" spans="1:69" s="126" customFormat="1" ht="30" customHeight="1">
      <c r="A8" s="127">
        <f t="shared" ref="A8:A16" si="17">A7+1</f>
        <v>3</v>
      </c>
      <c r="B8" s="127">
        <v>1130</v>
      </c>
      <c r="C8" s="127" t="s">
        <v>30</v>
      </c>
      <c r="D8" s="112">
        <f>16000000+681894</f>
        <v>16681894</v>
      </c>
      <c r="E8" s="112">
        <v>16000000</v>
      </c>
      <c r="F8" s="112">
        <f t="shared" si="0"/>
        <v>681894</v>
      </c>
      <c r="G8" s="112">
        <v>15631894</v>
      </c>
      <c r="H8" s="112">
        <v>15345084</v>
      </c>
      <c r="I8" s="112">
        <v>0</v>
      </c>
      <c r="J8" s="112">
        <f>1455+815+57954+1120</f>
        <v>61344</v>
      </c>
      <c r="K8" s="112">
        <f t="shared" si="3"/>
        <v>61344</v>
      </c>
      <c r="L8" s="112">
        <f t="shared" si="4"/>
        <v>15406428</v>
      </c>
      <c r="M8" s="112">
        <f>P8+S8-120000-150000-5000</f>
        <v>466</v>
      </c>
      <c r="N8" s="112">
        <f>1000000+120000-500000-500000+150000+5000</f>
        <v>275000</v>
      </c>
      <c r="O8" s="112">
        <f t="shared" si="5"/>
        <v>1000000</v>
      </c>
      <c r="P8" s="112">
        <f t="shared" si="6"/>
        <v>225466</v>
      </c>
      <c r="Q8" s="112">
        <v>50000</v>
      </c>
      <c r="R8" s="112"/>
      <c r="S8" s="112">
        <f t="shared" si="7"/>
        <v>50000</v>
      </c>
      <c r="T8" s="112">
        <f t="shared" si="8"/>
        <v>275000</v>
      </c>
      <c r="U8" s="112">
        <f t="shared" si="9"/>
        <v>0</v>
      </c>
      <c r="V8" s="112">
        <f t="shared" si="10"/>
        <v>0</v>
      </c>
      <c r="W8" s="112"/>
      <c r="X8" s="112"/>
      <c r="Y8" s="112"/>
      <c r="Z8" s="112"/>
      <c r="AA8" s="112"/>
      <c r="AB8" s="127" t="s">
        <v>782</v>
      </c>
      <c r="AC8" s="127">
        <v>742000</v>
      </c>
      <c r="AD8" s="112"/>
      <c r="AE8" s="112"/>
      <c r="AF8" s="112"/>
      <c r="AG8" s="112"/>
      <c r="AH8" s="112"/>
      <c r="AI8" s="112"/>
      <c r="AJ8" s="112">
        <f t="shared" si="1"/>
        <v>0</v>
      </c>
      <c r="AK8" s="112">
        <f t="shared" si="11"/>
        <v>0</v>
      </c>
      <c r="AL8" s="112"/>
      <c r="AM8" s="112"/>
      <c r="AN8" s="112">
        <f t="shared" si="2"/>
        <v>0</v>
      </c>
      <c r="AO8" s="112">
        <f t="shared" si="12"/>
        <v>0</v>
      </c>
      <c r="AP8" s="112"/>
      <c r="AQ8" s="112"/>
      <c r="AR8" s="112"/>
      <c r="AS8" s="112"/>
      <c r="AT8" s="112"/>
      <c r="AU8" s="112"/>
      <c r="AV8" s="112"/>
      <c r="AW8" s="112"/>
      <c r="AX8" s="112">
        <f>AN8-AW8</f>
        <v>0</v>
      </c>
      <c r="AY8" s="112">
        <f t="shared" si="13"/>
        <v>0</v>
      </c>
      <c r="AZ8" s="112"/>
      <c r="BA8" s="112"/>
      <c r="BB8" s="112"/>
      <c r="BC8" s="112"/>
      <c r="BD8" s="112"/>
      <c r="BE8" s="112">
        <f t="shared" si="14"/>
        <v>0</v>
      </c>
      <c r="BF8" s="112">
        <f t="shared" si="15"/>
        <v>0</v>
      </c>
      <c r="BG8" s="112">
        <f t="shared" si="16"/>
        <v>0</v>
      </c>
      <c r="BH8" s="112"/>
      <c r="BI8" s="112"/>
      <c r="BJ8" s="112"/>
      <c r="BK8" s="112"/>
      <c r="BL8" s="112"/>
      <c r="BM8" s="123"/>
    </row>
    <row r="9" spans="1:69" s="126" customFormat="1" ht="30" customHeight="1">
      <c r="A9" s="127">
        <f t="shared" si="17"/>
        <v>4</v>
      </c>
      <c r="B9" s="127">
        <v>1259</v>
      </c>
      <c r="C9" s="127" t="s">
        <v>45</v>
      </c>
      <c r="D9" s="112">
        <f>5510000+500000-200000</f>
        <v>5810000</v>
      </c>
      <c r="E9" s="112">
        <v>5510000</v>
      </c>
      <c r="F9" s="112">
        <f t="shared" si="0"/>
        <v>300000</v>
      </c>
      <c r="G9" s="112">
        <v>5310000</v>
      </c>
      <c r="H9" s="112">
        <v>5218627</v>
      </c>
      <c r="I9" s="112"/>
      <c r="J9" s="112"/>
      <c r="K9" s="112">
        <f t="shared" si="3"/>
        <v>0</v>
      </c>
      <c r="L9" s="112">
        <f t="shared" si="4"/>
        <v>5218627</v>
      </c>
      <c r="M9" s="112">
        <f>P9+S9-200000-90000</f>
        <v>1373</v>
      </c>
      <c r="N9" s="112">
        <v>500000</v>
      </c>
      <c r="O9" s="112">
        <f t="shared" si="5"/>
        <v>90000</v>
      </c>
      <c r="P9" s="112">
        <f t="shared" si="6"/>
        <v>91373</v>
      </c>
      <c r="Q9" s="112">
        <v>200000</v>
      </c>
      <c r="R9" s="112"/>
      <c r="S9" s="112">
        <f t="shared" si="7"/>
        <v>200000</v>
      </c>
      <c r="T9" s="112">
        <f t="shared" si="8"/>
        <v>290000</v>
      </c>
      <c r="U9" s="112">
        <f t="shared" si="9"/>
        <v>210000</v>
      </c>
      <c r="V9" s="112">
        <f t="shared" si="10"/>
        <v>210000</v>
      </c>
      <c r="W9" s="112"/>
      <c r="X9" s="112"/>
      <c r="Y9" s="112"/>
      <c r="Z9" s="112"/>
      <c r="AA9" s="112"/>
      <c r="AB9" s="127" t="s">
        <v>204</v>
      </c>
      <c r="AC9" s="127">
        <v>760000</v>
      </c>
      <c r="AD9" s="112"/>
      <c r="AE9" s="112"/>
      <c r="AF9" s="112"/>
      <c r="AG9" s="112"/>
      <c r="AH9" s="112">
        <v>60000</v>
      </c>
      <c r="AI9" s="112"/>
      <c r="AJ9" s="112">
        <f t="shared" si="1"/>
        <v>60000</v>
      </c>
      <c r="AK9" s="112">
        <f t="shared" si="11"/>
        <v>150000</v>
      </c>
      <c r="AL9" s="112"/>
      <c r="AM9" s="112"/>
      <c r="AN9" s="112">
        <f t="shared" si="2"/>
        <v>150000</v>
      </c>
      <c r="AO9" s="112">
        <f t="shared" si="12"/>
        <v>150000</v>
      </c>
      <c r="AP9" s="112"/>
      <c r="AQ9" s="112"/>
      <c r="AR9" s="112"/>
      <c r="AS9" s="112"/>
      <c r="AT9" s="112"/>
      <c r="AU9" s="112"/>
      <c r="AV9" s="112"/>
      <c r="AW9" s="112"/>
      <c r="AX9" s="112">
        <f>AN9-AW9</f>
        <v>150000</v>
      </c>
      <c r="AY9" s="112">
        <f t="shared" si="13"/>
        <v>150000</v>
      </c>
      <c r="AZ9" s="112"/>
      <c r="BA9" s="112"/>
      <c r="BB9" s="112"/>
      <c r="BC9" s="112"/>
      <c r="BD9" s="112"/>
      <c r="BE9" s="112">
        <f t="shared" si="14"/>
        <v>210000</v>
      </c>
      <c r="BF9" s="112">
        <f t="shared" si="15"/>
        <v>0</v>
      </c>
      <c r="BG9" s="112">
        <f t="shared" si="16"/>
        <v>210000</v>
      </c>
      <c r="BH9" s="112"/>
      <c r="BI9" s="112"/>
      <c r="BJ9" s="112"/>
      <c r="BK9" s="112"/>
      <c r="BL9" s="112"/>
      <c r="BM9" s="123"/>
    </row>
    <row r="10" spans="1:69" s="126" customFormat="1" ht="30" customHeight="1">
      <c r="A10" s="127">
        <f t="shared" si="17"/>
        <v>5</v>
      </c>
      <c r="B10" s="127">
        <v>1260</v>
      </c>
      <c r="C10" s="127" t="s">
        <v>46</v>
      </c>
      <c r="D10" s="112">
        <f>9858000+500000-350000</f>
        <v>10008000</v>
      </c>
      <c r="E10" s="112">
        <v>9858000</v>
      </c>
      <c r="F10" s="112">
        <f t="shared" si="0"/>
        <v>150000</v>
      </c>
      <c r="G10" s="112">
        <v>9358000</v>
      </c>
      <c r="H10" s="112">
        <v>9423550</v>
      </c>
      <c r="I10" s="112"/>
      <c r="J10" s="112"/>
      <c r="K10" s="112">
        <f t="shared" si="3"/>
        <v>0</v>
      </c>
      <c r="L10" s="112">
        <f t="shared" si="4"/>
        <v>9423550</v>
      </c>
      <c r="M10" s="112">
        <f>P10+S10-350000-80000</f>
        <v>4450</v>
      </c>
      <c r="N10" s="112">
        <v>500000</v>
      </c>
      <c r="O10" s="112">
        <f t="shared" si="5"/>
        <v>80000</v>
      </c>
      <c r="P10" s="112">
        <f t="shared" si="6"/>
        <v>-65550</v>
      </c>
      <c r="Q10" s="112">
        <f>300000+200000</f>
        <v>500000</v>
      </c>
      <c r="R10" s="112"/>
      <c r="S10" s="112">
        <f t="shared" si="7"/>
        <v>500000</v>
      </c>
      <c r="T10" s="112">
        <f t="shared" si="8"/>
        <v>430000</v>
      </c>
      <c r="U10" s="112">
        <f t="shared" si="9"/>
        <v>70000</v>
      </c>
      <c r="V10" s="112">
        <f t="shared" si="10"/>
        <v>70000</v>
      </c>
      <c r="W10" s="112"/>
      <c r="X10" s="112"/>
      <c r="Y10" s="112"/>
      <c r="Z10" s="112"/>
      <c r="AA10" s="112"/>
      <c r="AB10" s="127" t="s">
        <v>205</v>
      </c>
      <c r="AC10" s="127">
        <v>760000</v>
      </c>
      <c r="AD10" s="112"/>
      <c r="AE10" s="112"/>
      <c r="AF10" s="112"/>
      <c r="AG10" s="112"/>
      <c r="AH10" s="112"/>
      <c r="AI10" s="112"/>
      <c r="AJ10" s="112">
        <f t="shared" si="1"/>
        <v>0</v>
      </c>
      <c r="AK10" s="112">
        <f t="shared" si="11"/>
        <v>70000</v>
      </c>
      <c r="AL10" s="112"/>
      <c r="AM10" s="112"/>
      <c r="AN10" s="112">
        <f t="shared" si="2"/>
        <v>70000</v>
      </c>
      <c r="AO10" s="112">
        <f t="shared" si="12"/>
        <v>70000</v>
      </c>
      <c r="AP10" s="112"/>
      <c r="AQ10" s="112"/>
      <c r="AR10" s="112"/>
      <c r="AS10" s="112"/>
      <c r="AT10" s="112"/>
      <c r="AU10" s="112"/>
      <c r="AV10" s="112"/>
      <c r="AW10" s="112"/>
      <c r="AX10" s="112">
        <f>AN10-AW10</f>
        <v>70000</v>
      </c>
      <c r="AY10" s="112">
        <f t="shared" si="13"/>
        <v>70000</v>
      </c>
      <c r="AZ10" s="112"/>
      <c r="BA10" s="112"/>
      <c r="BB10" s="112"/>
      <c r="BC10" s="112"/>
      <c r="BD10" s="112"/>
      <c r="BE10" s="112">
        <f t="shared" si="14"/>
        <v>70000</v>
      </c>
      <c r="BF10" s="112">
        <f t="shared" si="15"/>
        <v>0</v>
      </c>
      <c r="BG10" s="112">
        <f t="shared" si="16"/>
        <v>70000</v>
      </c>
      <c r="BH10" s="112"/>
      <c r="BI10" s="112"/>
      <c r="BJ10" s="112"/>
      <c r="BK10" s="112"/>
      <c r="BL10" s="112"/>
      <c r="BM10" s="123"/>
    </row>
    <row r="11" spans="1:69" s="126" customFormat="1" ht="30" customHeight="1">
      <c r="A11" s="127">
        <f t="shared" si="17"/>
        <v>6</v>
      </c>
      <c r="B11" s="127">
        <v>1422</v>
      </c>
      <c r="C11" s="127" t="s">
        <v>47</v>
      </c>
      <c r="D11" s="112">
        <f>30257000-21334280</f>
        <v>8922720</v>
      </c>
      <c r="E11" s="112">
        <v>30257000</v>
      </c>
      <c r="F11" s="112">
        <f t="shared" si="0"/>
        <v>-21334280</v>
      </c>
      <c r="G11" s="112">
        <v>14182000</v>
      </c>
      <c r="H11" s="112">
        <v>7259720</v>
      </c>
      <c r="I11" s="112"/>
      <c r="J11" s="112"/>
      <c r="K11" s="112">
        <f t="shared" si="3"/>
        <v>0</v>
      </c>
      <c r="L11" s="112">
        <f t="shared" si="4"/>
        <v>7259720</v>
      </c>
      <c r="M11" s="112">
        <f>P11+S11-5259280</f>
        <v>1663000</v>
      </c>
      <c r="N11" s="112"/>
      <c r="O11" s="112">
        <f t="shared" si="5"/>
        <v>0</v>
      </c>
      <c r="P11" s="112">
        <f t="shared" si="6"/>
        <v>6922280</v>
      </c>
      <c r="Q11" s="112"/>
      <c r="R11" s="112"/>
      <c r="S11" s="112">
        <f t="shared" si="7"/>
        <v>0</v>
      </c>
      <c r="T11" s="112">
        <f t="shared" si="8"/>
        <v>5259280</v>
      </c>
      <c r="U11" s="112">
        <f t="shared" si="9"/>
        <v>-5259280</v>
      </c>
      <c r="V11" s="112">
        <f t="shared" si="10"/>
        <v>0</v>
      </c>
      <c r="W11" s="112">
        <v>-5259280</v>
      </c>
      <c r="X11" s="112"/>
      <c r="Y11" s="112"/>
      <c r="Z11" s="112"/>
      <c r="AA11" s="112"/>
      <c r="AB11" s="127" t="s">
        <v>251</v>
      </c>
      <c r="AC11" s="127">
        <v>730000</v>
      </c>
      <c r="AD11" s="112">
        <v>-5259280</v>
      </c>
      <c r="AE11" s="112"/>
      <c r="AF11" s="112"/>
      <c r="AG11" s="112"/>
      <c r="AH11" s="112"/>
      <c r="AI11" s="112"/>
      <c r="AJ11" s="112">
        <f t="shared" si="1"/>
        <v>-5259280</v>
      </c>
      <c r="AK11" s="112">
        <f t="shared" si="11"/>
        <v>0</v>
      </c>
      <c r="AL11" s="112"/>
      <c r="AM11" s="112"/>
      <c r="AN11" s="112">
        <f t="shared" si="2"/>
        <v>0</v>
      </c>
      <c r="AO11" s="112">
        <f t="shared" si="12"/>
        <v>0</v>
      </c>
      <c r="AP11" s="112"/>
      <c r="AQ11" s="112"/>
      <c r="AR11" s="112"/>
      <c r="AS11" s="112"/>
      <c r="AT11" s="112"/>
      <c r="AU11" s="112"/>
      <c r="AV11" s="112"/>
      <c r="AW11" s="112"/>
      <c r="AX11" s="112">
        <f t="shared" ref="AX11:AX13" si="18">AN11-AW11</f>
        <v>0</v>
      </c>
      <c r="AY11" s="112">
        <f t="shared" si="13"/>
        <v>0</v>
      </c>
      <c r="AZ11" s="112"/>
      <c r="BA11" s="112"/>
      <c r="BB11" s="112"/>
      <c r="BC11" s="112"/>
      <c r="BD11" s="112"/>
      <c r="BE11" s="112">
        <f t="shared" si="14"/>
        <v>-5259280</v>
      </c>
      <c r="BF11" s="112">
        <f t="shared" si="15"/>
        <v>0</v>
      </c>
      <c r="BG11" s="112">
        <f t="shared" si="16"/>
        <v>0</v>
      </c>
      <c r="BH11" s="112">
        <v>-5259280</v>
      </c>
      <c r="BI11" s="112"/>
      <c r="BJ11" s="112"/>
      <c r="BK11" s="112"/>
      <c r="BL11" s="112"/>
      <c r="BM11" s="123"/>
    </row>
    <row r="12" spans="1:69" s="126" customFormat="1" ht="30" customHeight="1">
      <c r="A12" s="127">
        <f t="shared" si="17"/>
        <v>7</v>
      </c>
      <c r="B12" s="127">
        <v>1688</v>
      </c>
      <c r="C12" s="127" t="s">
        <v>48</v>
      </c>
      <c r="D12" s="112">
        <v>15133000</v>
      </c>
      <c r="E12" s="112">
        <v>15133000</v>
      </c>
      <c r="F12" s="112">
        <f t="shared" si="0"/>
        <v>0</v>
      </c>
      <c r="G12" s="112">
        <v>15133000</v>
      </c>
      <c r="H12" s="112">
        <v>15133000</v>
      </c>
      <c r="I12" s="112"/>
      <c r="J12" s="112"/>
      <c r="K12" s="112">
        <f t="shared" si="3"/>
        <v>0</v>
      </c>
      <c r="L12" s="112">
        <f t="shared" si="4"/>
        <v>15133000</v>
      </c>
      <c r="M12" s="112">
        <f>P12+S12</f>
        <v>0</v>
      </c>
      <c r="N12" s="112"/>
      <c r="O12" s="112">
        <f t="shared" si="5"/>
        <v>0</v>
      </c>
      <c r="P12" s="112">
        <f t="shared" si="6"/>
        <v>0</v>
      </c>
      <c r="Q12" s="112"/>
      <c r="R12" s="112"/>
      <c r="S12" s="112">
        <f t="shared" si="7"/>
        <v>0</v>
      </c>
      <c r="T12" s="112">
        <f t="shared" si="8"/>
        <v>0</v>
      </c>
      <c r="U12" s="112">
        <f t="shared" si="9"/>
        <v>0</v>
      </c>
      <c r="V12" s="112">
        <f t="shared" si="10"/>
        <v>0</v>
      </c>
      <c r="W12" s="112"/>
      <c r="X12" s="112"/>
      <c r="Y12" s="112"/>
      <c r="Z12" s="112"/>
      <c r="AA12" s="112"/>
      <c r="AB12" s="127" t="s">
        <v>252</v>
      </c>
      <c r="AC12" s="127">
        <v>990000</v>
      </c>
      <c r="AD12" s="112"/>
      <c r="AE12" s="112"/>
      <c r="AF12" s="112"/>
      <c r="AG12" s="112"/>
      <c r="AH12" s="112"/>
      <c r="AI12" s="112"/>
      <c r="AJ12" s="112">
        <f t="shared" si="1"/>
        <v>0</v>
      </c>
      <c r="AK12" s="112">
        <f t="shared" si="11"/>
        <v>0</v>
      </c>
      <c r="AL12" s="112"/>
      <c r="AM12" s="112"/>
      <c r="AN12" s="112">
        <f t="shared" si="2"/>
        <v>0</v>
      </c>
      <c r="AO12" s="112">
        <f t="shared" si="12"/>
        <v>0</v>
      </c>
      <c r="AP12" s="112"/>
      <c r="AQ12" s="112"/>
      <c r="AR12" s="112"/>
      <c r="AS12" s="112"/>
      <c r="AT12" s="112"/>
      <c r="AU12" s="112"/>
      <c r="AV12" s="112"/>
      <c r="AW12" s="112"/>
      <c r="AX12" s="112">
        <f t="shared" si="18"/>
        <v>0</v>
      </c>
      <c r="AY12" s="112">
        <f t="shared" si="13"/>
        <v>0</v>
      </c>
      <c r="AZ12" s="112"/>
      <c r="BA12" s="112"/>
      <c r="BB12" s="112"/>
      <c r="BC12" s="112"/>
      <c r="BD12" s="112"/>
      <c r="BE12" s="112">
        <f t="shared" si="14"/>
        <v>0</v>
      </c>
      <c r="BF12" s="112">
        <f t="shared" si="15"/>
        <v>0</v>
      </c>
      <c r="BG12" s="112">
        <f t="shared" si="16"/>
        <v>0</v>
      </c>
      <c r="BH12" s="112"/>
      <c r="BI12" s="112"/>
      <c r="BJ12" s="112"/>
      <c r="BK12" s="112"/>
      <c r="BL12" s="112"/>
      <c r="BM12" s="123"/>
    </row>
    <row r="13" spans="1:69" s="126" customFormat="1" ht="30" customHeight="1">
      <c r="A13" s="127">
        <f t="shared" si="17"/>
        <v>8</v>
      </c>
      <c r="B13" s="127">
        <v>2100</v>
      </c>
      <c r="C13" s="127" t="s">
        <v>1393</v>
      </c>
      <c r="D13" s="112">
        <f>3161603-2635-34344</f>
        <v>3124624</v>
      </c>
      <c r="E13" s="112">
        <v>3161603</v>
      </c>
      <c r="F13" s="112">
        <f t="shared" si="0"/>
        <v>-36979</v>
      </c>
      <c r="G13" s="112">
        <v>3158968</v>
      </c>
      <c r="H13" s="112">
        <v>3124624</v>
      </c>
      <c r="I13" s="112">
        <v>0</v>
      </c>
      <c r="J13" s="112"/>
      <c r="K13" s="112">
        <f t="shared" si="3"/>
        <v>0</v>
      </c>
      <c r="L13" s="112">
        <f t="shared" si="4"/>
        <v>3124624</v>
      </c>
      <c r="M13" s="112">
        <f>P13+S13-34344</f>
        <v>0</v>
      </c>
      <c r="N13" s="112"/>
      <c r="O13" s="112">
        <f t="shared" si="5"/>
        <v>0</v>
      </c>
      <c r="P13" s="112">
        <f t="shared" si="6"/>
        <v>34344</v>
      </c>
      <c r="Q13" s="112"/>
      <c r="R13" s="112"/>
      <c r="S13" s="112">
        <f t="shared" si="7"/>
        <v>0</v>
      </c>
      <c r="T13" s="112">
        <f t="shared" si="8"/>
        <v>34344</v>
      </c>
      <c r="U13" s="112">
        <f t="shared" si="9"/>
        <v>-34344</v>
      </c>
      <c r="V13" s="112">
        <f t="shared" si="10"/>
        <v>-16317</v>
      </c>
      <c r="W13" s="112">
        <v>-18027</v>
      </c>
      <c r="X13" s="112"/>
      <c r="Y13" s="112"/>
      <c r="Z13" s="112"/>
      <c r="AA13" s="112"/>
      <c r="AB13" s="127" t="s">
        <v>1059</v>
      </c>
      <c r="AC13" s="127">
        <v>742000</v>
      </c>
      <c r="AD13" s="112">
        <v>-34344</v>
      </c>
      <c r="AE13" s="112"/>
      <c r="AF13" s="112"/>
      <c r="AG13" s="112"/>
      <c r="AH13" s="112"/>
      <c r="AI13" s="112"/>
      <c r="AJ13" s="112">
        <f t="shared" si="1"/>
        <v>-34344</v>
      </c>
      <c r="AK13" s="112">
        <f t="shared" si="11"/>
        <v>0</v>
      </c>
      <c r="AL13" s="112"/>
      <c r="AM13" s="112"/>
      <c r="AN13" s="112">
        <f t="shared" si="2"/>
        <v>0</v>
      </c>
      <c r="AO13" s="112">
        <f t="shared" si="12"/>
        <v>0</v>
      </c>
      <c r="AP13" s="112"/>
      <c r="AQ13" s="112"/>
      <c r="AR13" s="112"/>
      <c r="AS13" s="112"/>
      <c r="AT13" s="112"/>
      <c r="AU13" s="112"/>
      <c r="AV13" s="112"/>
      <c r="AW13" s="112"/>
      <c r="AX13" s="112">
        <f t="shared" si="18"/>
        <v>0</v>
      </c>
      <c r="AY13" s="112">
        <f t="shared" si="13"/>
        <v>0</v>
      </c>
      <c r="AZ13" s="112"/>
      <c r="BA13" s="112"/>
      <c r="BB13" s="112"/>
      <c r="BC13" s="112"/>
      <c r="BD13" s="112"/>
      <c r="BE13" s="112">
        <f t="shared" si="14"/>
        <v>-34344</v>
      </c>
      <c r="BF13" s="112">
        <f t="shared" si="15"/>
        <v>0</v>
      </c>
      <c r="BG13" s="112">
        <f t="shared" si="16"/>
        <v>-16317</v>
      </c>
      <c r="BH13" s="112">
        <v>-18027</v>
      </c>
      <c r="BI13" s="112"/>
      <c r="BJ13" s="112"/>
      <c r="BK13" s="112"/>
      <c r="BL13" s="112"/>
      <c r="BM13" s="123"/>
    </row>
    <row r="14" spans="1:69" s="5" customFormat="1" ht="30" customHeight="1">
      <c r="A14" s="127">
        <f t="shared" si="17"/>
        <v>9</v>
      </c>
      <c r="B14" s="19">
        <v>2222</v>
      </c>
      <c r="C14" s="127" t="s">
        <v>604</v>
      </c>
      <c r="D14" s="112">
        <v>8000000</v>
      </c>
      <c r="E14" s="112">
        <v>8000000</v>
      </c>
      <c r="F14" s="112">
        <f t="shared" si="0"/>
        <v>0</v>
      </c>
      <c r="G14" s="112">
        <v>8000000</v>
      </c>
      <c r="H14" s="112">
        <v>6507689</v>
      </c>
      <c r="I14" s="112">
        <v>0</v>
      </c>
      <c r="J14" s="112">
        <v>63265</v>
      </c>
      <c r="K14" s="112">
        <f t="shared" si="3"/>
        <v>63265</v>
      </c>
      <c r="L14" s="112">
        <f t="shared" si="4"/>
        <v>6570954</v>
      </c>
      <c r="M14" s="112">
        <f>P14+S14-1400000+1378</f>
        <v>30424</v>
      </c>
      <c r="N14" s="112">
        <v>100000</v>
      </c>
      <c r="O14" s="112">
        <f t="shared" si="5"/>
        <v>1298622</v>
      </c>
      <c r="P14" s="112">
        <f t="shared" si="6"/>
        <v>1429046</v>
      </c>
      <c r="Q14" s="112"/>
      <c r="R14" s="112"/>
      <c r="S14" s="112">
        <f t="shared" si="7"/>
        <v>0</v>
      </c>
      <c r="T14" s="112">
        <f t="shared" si="8"/>
        <v>1398622</v>
      </c>
      <c r="U14" s="112">
        <f t="shared" si="9"/>
        <v>-1298622</v>
      </c>
      <c r="V14" s="112">
        <f t="shared" si="10"/>
        <v>0</v>
      </c>
      <c r="W14" s="112">
        <f>-1300000+1378</f>
        <v>-1298622</v>
      </c>
      <c r="X14" s="112"/>
      <c r="Y14" s="112"/>
      <c r="Z14" s="112"/>
      <c r="AA14" s="112"/>
      <c r="AB14" s="127" t="s">
        <v>566</v>
      </c>
      <c r="AC14" s="3">
        <v>742000</v>
      </c>
      <c r="AD14" s="112">
        <v>-750000</v>
      </c>
      <c r="AE14" s="112">
        <v>-325000</v>
      </c>
      <c r="AF14" s="112">
        <v>-180000</v>
      </c>
      <c r="AG14" s="112"/>
      <c r="AH14" s="112"/>
      <c r="AI14" s="112"/>
      <c r="AJ14" s="112">
        <f t="shared" si="1"/>
        <v>-1255000</v>
      </c>
      <c r="AK14" s="112">
        <f t="shared" si="11"/>
        <v>-43622</v>
      </c>
      <c r="AL14" s="112"/>
      <c r="AM14" s="112"/>
      <c r="AN14" s="112">
        <f t="shared" si="2"/>
        <v>-43622</v>
      </c>
      <c r="AO14" s="112">
        <f t="shared" si="12"/>
        <v>0</v>
      </c>
      <c r="AP14" s="112">
        <v>-43622</v>
      </c>
      <c r="AQ14" s="112"/>
      <c r="AR14" s="112"/>
      <c r="AS14" s="112"/>
      <c r="AT14" s="112"/>
      <c r="AU14" s="112"/>
      <c r="AV14" s="112"/>
      <c r="AW14" s="112">
        <v>-43622</v>
      </c>
      <c r="AX14" s="112">
        <f>AN14-AW14</f>
        <v>0</v>
      </c>
      <c r="AY14" s="112">
        <f t="shared" si="13"/>
        <v>0</v>
      </c>
      <c r="AZ14" s="112"/>
      <c r="BA14" s="112"/>
      <c r="BB14" s="112"/>
      <c r="BC14" s="112"/>
      <c r="BD14" s="112"/>
      <c r="BE14" s="112">
        <f t="shared" si="14"/>
        <v>-1255000</v>
      </c>
      <c r="BF14" s="112">
        <f t="shared" si="15"/>
        <v>-43622</v>
      </c>
      <c r="BG14" s="112">
        <f t="shared" si="16"/>
        <v>0</v>
      </c>
      <c r="BH14" s="112">
        <v>-1255000</v>
      </c>
      <c r="BI14" s="112"/>
      <c r="BJ14" s="112"/>
      <c r="BK14" s="112"/>
      <c r="BL14" s="112"/>
      <c r="BM14" s="123"/>
    </row>
    <row r="15" spans="1:69" s="5" customFormat="1" ht="30" customHeight="1">
      <c r="A15" s="127">
        <f t="shared" si="17"/>
        <v>10</v>
      </c>
      <c r="B15" s="19">
        <v>20137</v>
      </c>
      <c r="C15" s="127" t="s">
        <v>634</v>
      </c>
      <c r="D15" s="112">
        <v>8000000</v>
      </c>
      <c r="E15" s="112"/>
      <c r="F15" s="112">
        <f>D15-E15</f>
        <v>8000000</v>
      </c>
      <c r="G15" s="112"/>
      <c r="H15" s="112"/>
      <c r="I15" s="112"/>
      <c r="J15" s="112"/>
      <c r="K15" s="112">
        <f>I15+J15</f>
        <v>0</v>
      </c>
      <c r="L15" s="112">
        <f>H15+K15</f>
        <v>0</v>
      </c>
      <c r="M15" s="112">
        <f>P15+S15</f>
        <v>0</v>
      </c>
      <c r="N15" s="112">
        <f>4000000-2000000+1000000</f>
        <v>3000000</v>
      </c>
      <c r="O15" s="112">
        <f>D15-L15-M15-N15</f>
        <v>5000000</v>
      </c>
      <c r="P15" s="112">
        <f>G15-L15</f>
        <v>0</v>
      </c>
      <c r="Q15" s="112"/>
      <c r="R15" s="112"/>
      <c r="S15" s="112">
        <f>SUM(Q15:R15)</f>
        <v>0</v>
      </c>
      <c r="T15" s="112">
        <f>P15-M15+S15</f>
        <v>0</v>
      </c>
      <c r="U15" s="112">
        <f>N15-T15</f>
        <v>3000000</v>
      </c>
      <c r="V15" s="112">
        <f>U15-W15-Z15-AA15</f>
        <v>0</v>
      </c>
      <c r="W15" s="112">
        <v>3000000</v>
      </c>
      <c r="X15" s="112"/>
      <c r="Y15" s="112"/>
      <c r="Z15" s="112"/>
      <c r="AA15" s="112"/>
      <c r="AB15" s="127" t="s">
        <v>635</v>
      </c>
      <c r="AC15" s="3">
        <v>742000</v>
      </c>
      <c r="AD15" s="112"/>
      <c r="AE15" s="112">
        <v>3000000</v>
      </c>
      <c r="AF15" s="112"/>
      <c r="AG15" s="112"/>
      <c r="AH15" s="112"/>
      <c r="AI15" s="112"/>
      <c r="AJ15" s="507">
        <f t="shared" si="1"/>
        <v>3000000</v>
      </c>
      <c r="AK15" s="112">
        <f t="shared" si="11"/>
        <v>0</v>
      </c>
      <c r="AL15" s="112"/>
      <c r="AM15" s="112"/>
      <c r="AN15" s="112">
        <f t="shared" si="2"/>
        <v>0</v>
      </c>
      <c r="AO15" s="112">
        <f t="shared" si="12"/>
        <v>0</v>
      </c>
      <c r="AP15" s="112"/>
      <c r="AQ15" s="112"/>
      <c r="AR15" s="112"/>
      <c r="AS15" s="112"/>
      <c r="AT15" s="112"/>
      <c r="AU15" s="112">
        <v>-1000000</v>
      </c>
      <c r="AV15" s="112">
        <v>-1000000</v>
      </c>
      <c r="AW15" s="112"/>
      <c r="AX15" s="112">
        <f>AN15-AW15</f>
        <v>0</v>
      </c>
      <c r="AY15" s="112">
        <f t="shared" si="13"/>
        <v>0</v>
      </c>
      <c r="AZ15" s="112"/>
      <c r="BA15" s="112"/>
      <c r="BB15" s="112"/>
      <c r="BC15" s="112"/>
      <c r="BD15" s="112"/>
      <c r="BE15" s="112">
        <f t="shared" si="14"/>
        <v>3000000</v>
      </c>
      <c r="BF15" s="112">
        <f t="shared" si="15"/>
        <v>0</v>
      </c>
      <c r="BG15" s="112">
        <f t="shared" si="16"/>
        <v>0</v>
      </c>
      <c r="BH15" s="112">
        <v>3000000</v>
      </c>
      <c r="BI15" s="112"/>
      <c r="BJ15" s="112"/>
      <c r="BK15" s="112"/>
      <c r="BL15" s="112"/>
      <c r="BM15" s="123"/>
    </row>
    <row r="16" spans="1:69" s="5" customFormat="1" ht="30" customHeight="1">
      <c r="A16" s="127">
        <f t="shared" si="17"/>
        <v>11</v>
      </c>
      <c r="B16" s="19">
        <v>20138</v>
      </c>
      <c r="C16" s="127" t="s">
        <v>650</v>
      </c>
      <c r="D16" s="112">
        <f>27250000+27250000*0.2</f>
        <v>32700000</v>
      </c>
      <c r="E16" s="112"/>
      <c r="F16" s="112">
        <f t="shared" si="0"/>
        <v>32700000</v>
      </c>
      <c r="G16" s="112"/>
      <c r="H16" s="112"/>
      <c r="I16" s="112"/>
      <c r="J16" s="112"/>
      <c r="K16" s="112">
        <f t="shared" si="3"/>
        <v>0</v>
      </c>
      <c r="L16" s="112">
        <f t="shared" si="4"/>
        <v>0</v>
      </c>
      <c r="M16" s="112">
        <f>P16+S16</f>
        <v>0</v>
      </c>
      <c r="N16" s="112">
        <v>5450000</v>
      </c>
      <c r="O16" s="112">
        <f t="shared" si="5"/>
        <v>27250000</v>
      </c>
      <c r="P16" s="112">
        <f t="shared" si="6"/>
        <v>0</v>
      </c>
      <c r="Q16" s="112"/>
      <c r="R16" s="112"/>
      <c r="S16" s="112">
        <f t="shared" si="7"/>
        <v>0</v>
      </c>
      <c r="T16" s="112">
        <f t="shared" si="8"/>
        <v>0</v>
      </c>
      <c r="U16" s="112">
        <f t="shared" si="9"/>
        <v>5450000</v>
      </c>
      <c r="V16" s="112">
        <f t="shared" si="10"/>
        <v>5450000</v>
      </c>
      <c r="W16" s="112"/>
      <c r="X16" s="112"/>
      <c r="Y16" s="112"/>
      <c r="Z16" s="112"/>
      <c r="AA16" s="112"/>
      <c r="AB16" s="127" t="s">
        <v>779</v>
      </c>
      <c r="AC16" s="3">
        <v>999000</v>
      </c>
      <c r="AD16" s="112"/>
      <c r="AE16" s="112"/>
      <c r="AF16" s="112"/>
      <c r="AG16" s="112"/>
      <c r="AH16" s="112">
        <v>5450000</v>
      </c>
      <c r="AI16" s="112"/>
      <c r="AJ16" s="112">
        <f t="shared" si="1"/>
        <v>5450000</v>
      </c>
      <c r="AK16" s="112">
        <f t="shared" si="11"/>
        <v>0</v>
      </c>
      <c r="AL16" s="112"/>
      <c r="AM16" s="112"/>
      <c r="AN16" s="112">
        <f t="shared" si="2"/>
        <v>0</v>
      </c>
      <c r="AO16" s="112">
        <f t="shared" si="12"/>
        <v>0</v>
      </c>
      <c r="AP16" s="112"/>
      <c r="AQ16" s="112"/>
      <c r="AR16" s="112"/>
      <c r="AS16" s="112"/>
      <c r="AT16" s="112"/>
      <c r="AU16" s="112"/>
      <c r="AV16" s="112"/>
      <c r="AW16" s="112"/>
      <c r="AX16" s="112">
        <f t="shared" ref="AX16" si="19">AN16-AW16</f>
        <v>0</v>
      </c>
      <c r="AY16" s="112">
        <f t="shared" si="13"/>
        <v>0</v>
      </c>
      <c r="AZ16" s="112"/>
      <c r="BA16" s="112"/>
      <c r="BB16" s="112"/>
      <c r="BC16" s="112"/>
      <c r="BD16" s="112"/>
      <c r="BE16" s="112">
        <f t="shared" si="14"/>
        <v>5450000</v>
      </c>
      <c r="BF16" s="112">
        <f t="shared" si="15"/>
        <v>0</v>
      </c>
      <c r="BG16" s="112">
        <f t="shared" si="16"/>
        <v>5450000</v>
      </c>
      <c r="BH16" s="112"/>
      <c r="BI16" s="112"/>
      <c r="BJ16" s="112"/>
      <c r="BK16" s="112"/>
      <c r="BL16" s="112"/>
      <c r="BM16" s="123"/>
    </row>
    <row r="17" spans="1:65" s="272" customFormat="1" ht="30" customHeight="1">
      <c r="A17" s="233">
        <f>COUNT(A6:A16)</f>
        <v>11</v>
      </c>
      <c r="B17" s="233"/>
      <c r="C17" s="20" t="s">
        <v>141</v>
      </c>
      <c r="D17" s="271">
        <f t="shared" ref="D17:BL17" si="20">SUM(D6:D16)</f>
        <v>157543206</v>
      </c>
      <c r="E17" s="271">
        <f t="shared" si="20"/>
        <v>129119603</v>
      </c>
      <c r="F17" s="271">
        <f t="shared" si="20"/>
        <v>28423603</v>
      </c>
      <c r="G17" s="271">
        <f t="shared" si="20"/>
        <v>111736830</v>
      </c>
      <c r="H17" s="271">
        <f t="shared" si="20"/>
        <v>100816209</v>
      </c>
      <c r="I17" s="271">
        <f t="shared" si="20"/>
        <v>140400</v>
      </c>
      <c r="J17" s="271">
        <f t="shared" si="20"/>
        <v>1353103</v>
      </c>
      <c r="K17" s="271">
        <f t="shared" si="20"/>
        <v>1493503</v>
      </c>
      <c r="L17" s="271">
        <f t="shared" si="20"/>
        <v>102309712</v>
      </c>
      <c r="M17" s="271">
        <f t="shared" si="20"/>
        <v>1704872</v>
      </c>
      <c r="N17" s="271">
        <f t="shared" si="20"/>
        <v>13905000</v>
      </c>
      <c r="O17" s="271">
        <f t="shared" si="20"/>
        <v>39623622</v>
      </c>
      <c r="P17" s="271">
        <f t="shared" si="20"/>
        <v>9427118</v>
      </c>
      <c r="Q17" s="271">
        <f t="shared" si="20"/>
        <v>750000</v>
      </c>
      <c r="R17" s="271">
        <f t="shared" si="20"/>
        <v>0</v>
      </c>
      <c r="S17" s="271">
        <f t="shared" si="20"/>
        <v>750000</v>
      </c>
      <c r="T17" s="271">
        <f t="shared" si="20"/>
        <v>8472246</v>
      </c>
      <c r="U17" s="271">
        <f t="shared" si="20"/>
        <v>5432754</v>
      </c>
      <c r="V17" s="271">
        <f t="shared" si="20"/>
        <v>8008683</v>
      </c>
      <c r="W17" s="271">
        <f t="shared" si="20"/>
        <v>-2575929</v>
      </c>
      <c r="X17" s="271">
        <f t="shared" si="20"/>
        <v>0</v>
      </c>
      <c r="Y17" s="271">
        <f t="shared" si="20"/>
        <v>0</v>
      </c>
      <c r="Z17" s="271">
        <f t="shared" si="20"/>
        <v>0</v>
      </c>
      <c r="AA17" s="271">
        <f t="shared" si="20"/>
        <v>0</v>
      </c>
      <c r="AB17" s="271">
        <f t="shared" si="20"/>
        <v>0</v>
      </c>
      <c r="AC17" s="271">
        <f t="shared" si="20"/>
        <v>8789000</v>
      </c>
      <c r="AD17" s="271">
        <f t="shared" si="20"/>
        <v>-6043624</v>
      </c>
      <c r="AE17" s="271">
        <f>SUM(AE6:AE16)</f>
        <v>3425000</v>
      </c>
      <c r="AF17" s="271">
        <f>SUM(AF6:AF16)</f>
        <v>-180000</v>
      </c>
      <c r="AG17" s="271">
        <f t="shared" ref="AG17:AH17" si="21">SUM(AG6:AG16)</f>
        <v>250000</v>
      </c>
      <c r="AH17" s="271">
        <f t="shared" si="21"/>
        <v>5910000</v>
      </c>
      <c r="AI17" s="271">
        <f t="shared" si="20"/>
        <v>0</v>
      </c>
      <c r="AJ17" s="271">
        <f t="shared" si="20"/>
        <v>3361376</v>
      </c>
      <c r="AK17" s="271">
        <f t="shared" si="20"/>
        <v>2071378</v>
      </c>
      <c r="AL17" s="271">
        <f t="shared" si="20"/>
        <v>0</v>
      </c>
      <c r="AM17" s="271">
        <f t="shared" si="20"/>
        <v>0</v>
      </c>
      <c r="AN17" s="271">
        <f t="shared" si="20"/>
        <v>2071378</v>
      </c>
      <c r="AO17" s="271">
        <f t="shared" si="20"/>
        <v>2115000</v>
      </c>
      <c r="AP17" s="271">
        <f t="shared" si="20"/>
        <v>-43622</v>
      </c>
      <c r="AQ17" s="271">
        <f t="shared" si="20"/>
        <v>0</v>
      </c>
      <c r="AR17" s="271">
        <f t="shared" si="20"/>
        <v>0</v>
      </c>
      <c r="AS17" s="271">
        <f t="shared" si="20"/>
        <v>0</v>
      </c>
      <c r="AT17" s="271">
        <f t="shared" si="20"/>
        <v>0</v>
      </c>
      <c r="AU17" s="271">
        <f t="shared" ref="AU17" si="22">SUM(AU6:AU16)</f>
        <v>-1000000</v>
      </c>
      <c r="AV17" s="271">
        <f t="shared" si="20"/>
        <v>-1000000</v>
      </c>
      <c r="AW17" s="271">
        <f t="shared" si="20"/>
        <v>1351378</v>
      </c>
      <c r="AX17" s="271">
        <f t="shared" si="20"/>
        <v>720000</v>
      </c>
      <c r="AY17" s="271">
        <f t="shared" si="20"/>
        <v>720000</v>
      </c>
      <c r="AZ17" s="271">
        <f t="shared" si="20"/>
        <v>0</v>
      </c>
      <c r="BA17" s="271">
        <f t="shared" si="20"/>
        <v>0</v>
      </c>
      <c r="BB17" s="271">
        <f t="shared" si="20"/>
        <v>0</v>
      </c>
      <c r="BC17" s="271">
        <f t="shared" si="20"/>
        <v>0</v>
      </c>
      <c r="BD17" s="271">
        <f t="shared" si="20"/>
        <v>0</v>
      </c>
      <c r="BE17" s="271">
        <f t="shared" si="20"/>
        <v>4081376</v>
      </c>
      <c r="BF17" s="271">
        <f t="shared" si="20"/>
        <v>1351378</v>
      </c>
      <c r="BG17" s="271">
        <f t="shared" si="20"/>
        <v>6613683</v>
      </c>
      <c r="BH17" s="271">
        <f t="shared" si="20"/>
        <v>-2532307</v>
      </c>
      <c r="BI17" s="271">
        <f t="shared" si="20"/>
        <v>0</v>
      </c>
      <c r="BJ17" s="271">
        <f t="shared" si="20"/>
        <v>0</v>
      </c>
      <c r="BK17" s="271">
        <f t="shared" si="20"/>
        <v>0</v>
      </c>
      <c r="BL17" s="271">
        <f t="shared" si="20"/>
        <v>0</v>
      </c>
      <c r="BM17" s="123"/>
    </row>
    <row r="18" spans="1:65" s="560" customFormat="1" ht="25.15" hidden="1" customHeight="1">
      <c r="A18" s="454"/>
      <c r="B18" s="454"/>
      <c r="C18" s="19"/>
      <c r="D18" s="434"/>
      <c r="E18" s="434"/>
      <c r="F18" s="434">
        <f>D17-E17</f>
        <v>28423603</v>
      </c>
      <c r="G18" s="434"/>
      <c r="H18" s="434"/>
      <c r="I18" s="434"/>
      <c r="J18" s="434"/>
      <c r="K18" s="434"/>
      <c r="L18" s="434">
        <f>H17+I17+J17</f>
        <v>102309712</v>
      </c>
      <c r="M18" s="434"/>
      <c r="N18" s="434"/>
      <c r="O18" s="434"/>
      <c r="P18" s="434">
        <f>G17-L18</f>
        <v>9427118</v>
      </c>
      <c r="Q18" s="434"/>
      <c r="R18" s="434"/>
      <c r="S18" s="434"/>
      <c r="T18" s="434">
        <f>P18+S17-M17</f>
        <v>8472246</v>
      </c>
      <c r="U18" s="434">
        <f>N17-T18</f>
        <v>5432754</v>
      </c>
      <c r="V18" s="434"/>
      <c r="W18" s="434"/>
      <c r="X18" s="434"/>
      <c r="Y18" s="434"/>
      <c r="Z18" s="434"/>
      <c r="AA18" s="434"/>
      <c r="AB18" s="434"/>
      <c r="AC18" s="434"/>
      <c r="AD18" s="123"/>
      <c r="AE18" s="123"/>
      <c r="AF18" s="123"/>
      <c r="AG18" s="123"/>
      <c r="AH18" s="123"/>
      <c r="AI18" s="123"/>
      <c r="AJ18" s="123"/>
      <c r="AK18" s="123"/>
      <c r="AL18" s="123"/>
      <c r="AM18" s="559"/>
      <c r="AO18" s="559"/>
      <c r="AP18" s="559"/>
      <c r="AQ18" s="559"/>
      <c r="AR18" s="559"/>
      <c r="AS18" s="559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</row>
    <row r="20" spans="1:65">
      <c r="AX20" s="453" t="s">
        <v>814</v>
      </c>
    </row>
    <row r="26" spans="1:65">
      <c r="C26" s="527"/>
    </row>
    <row r="130" spans="1:1">
      <c r="A130" s="123">
        <f>COUNT(A6:A129)</f>
        <v>12</v>
      </c>
    </row>
    <row r="133" spans="1:1">
      <c r="A133" s="123">
        <f>A130+1</f>
        <v>13</v>
      </c>
    </row>
    <row r="136" spans="1:1" ht="37.9" customHeight="1"/>
    <row r="139" spans="1:1" ht="70.900000000000006" customHeight="1"/>
    <row r="142" spans="1:1" ht="72" customHeight="1"/>
    <row r="144" spans="1:1" ht="43.9" customHeight="1"/>
    <row r="146" ht="30" customHeight="1"/>
  </sheetData>
  <sheetProtection formatCells="0" formatColumns="0" formatRows="0" insertColumns="0" insertRows="0" insertHyperlinks="0" deleteColumns="0" deleteRows="0" sort="0" autoFilter="0" pivotTables="0"/>
  <mergeCells count="8">
    <mergeCell ref="BE4:BF4"/>
    <mergeCell ref="BG4:BL4"/>
    <mergeCell ref="A1:W1"/>
    <mergeCell ref="AD4:AK4"/>
    <mergeCell ref="AO4:AT4"/>
    <mergeCell ref="A4:C4"/>
    <mergeCell ref="T4:U4"/>
    <mergeCell ref="V4:AA4"/>
  </mergeCells>
  <conditionalFormatting sqref="AB5">
    <cfRule type="cellIs" dxfId="12" priority="15" operator="equal">
      <formula>0</formula>
    </cfRule>
  </conditionalFormatting>
  <conditionalFormatting sqref="AJ5">
    <cfRule type="cellIs" dxfId="11" priority="14" operator="equal">
      <formula>0</formula>
    </cfRule>
  </conditionalFormatting>
  <conditionalFormatting sqref="AN5">
    <cfRule type="cellIs" dxfId="10" priority="12" operator="equal">
      <formula>0</formula>
    </cfRule>
  </conditionalFormatting>
  <conditionalFormatting sqref="BN4">
    <cfRule type="cellIs" dxfId="9" priority="1" operator="equal">
      <formula>0</formula>
    </cfRule>
  </conditionalFormatting>
  <conditionalFormatting sqref="AO4 AL4:AM4">
    <cfRule type="cellIs" dxfId="8" priority="10" operator="equal">
      <formula>0</formula>
    </cfRule>
  </conditionalFormatting>
  <conditionalFormatting sqref="AL4:AM4 AO4">
    <cfRule type="cellIs" dxfId="7" priority="9" operator="equal">
      <formula>0</formula>
    </cfRule>
  </conditionalFormatting>
  <conditionalFormatting sqref="BM4:BO4">
    <cfRule type="cellIs" dxfId="6" priority="8" operator="equal">
      <formula>0</formula>
    </cfRule>
  </conditionalFormatting>
  <conditionalFormatting sqref="BM4:BO4">
    <cfRule type="cellIs" dxfId="5" priority="7" operator="equal">
      <formula>0</formula>
    </cfRule>
  </conditionalFormatting>
  <conditionalFormatting sqref="BM4:BO4">
    <cfRule type="cellIs" dxfId="4" priority="6" operator="equal">
      <formula>0</formula>
    </cfRule>
  </conditionalFormatting>
  <conditionalFormatting sqref="BM4:BO4">
    <cfRule type="cellIs" dxfId="3" priority="4" operator="equal">
      <formula>0</formula>
    </cfRule>
  </conditionalFormatting>
  <conditionalFormatting sqref="BM4:BO4">
    <cfRule type="cellIs" dxfId="2" priority="5" operator="equal">
      <formula>0</formula>
    </cfRule>
  </conditionalFormatting>
  <conditionalFormatting sqref="BQ4">
    <cfRule type="cellIs" dxfId="1" priority="3" operator="equal">
      <formula>0</formula>
    </cfRule>
  </conditionalFormatting>
  <conditionalFormatting sqref="BN4">
    <cfRule type="cellIs" dxfId="0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A92B-B224-4765-AB06-CD9920EDB7F7}">
  <dimension ref="A1:CA157"/>
  <sheetViews>
    <sheetView showZeros="0" rightToLeft="1" zoomScaleNormal="100" zoomScaleSheetLayoutView="75" workbookViewId="0">
      <pane xSplit="5" ySplit="7" topLeftCell="F8" activePane="bottomRight" state="frozen"/>
      <selection activeCell="U4" sqref="U4"/>
      <selection pane="topRight" activeCell="U4" sqref="U4"/>
      <selection pane="bottomLeft" activeCell="U4" sqref="U4"/>
      <selection pane="bottomRight" activeCell="U4" sqref="U4"/>
    </sheetView>
  </sheetViews>
  <sheetFormatPr defaultColWidth="14.42578125" defaultRowHeight="23.25"/>
  <cols>
    <col min="1" max="1" width="9" style="564" hidden="1" customWidth="1"/>
    <col min="2" max="2" width="13.5703125" style="564" hidden="1" customWidth="1"/>
    <col min="3" max="3" width="4.7109375" style="564" customWidth="1"/>
    <col min="4" max="4" width="6.140625" style="564" customWidth="1"/>
    <col min="5" max="5" width="35.28515625" style="564" customWidth="1"/>
    <col min="6" max="6" width="12.7109375" style="564" hidden="1" customWidth="1"/>
    <col min="7" max="7" width="12.5703125" style="564" hidden="1" customWidth="1"/>
    <col min="8" max="8" width="11.140625" style="564" hidden="1" customWidth="1"/>
    <col min="9" max="10" width="12.7109375" style="564" hidden="1" customWidth="1"/>
    <col min="11" max="13" width="10.7109375" style="564" hidden="1" customWidth="1"/>
    <col min="14" max="14" width="12.7109375" style="564" hidden="1" customWidth="1"/>
    <col min="15" max="15" width="11.7109375" style="564" hidden="1" customWidth="1"/>
    <col min="16" max="16" width="13.85546875" style="564" hidden="1" customWidth="1"/>
    <col min="17" max="17" width="11.85546875" style="564" hidden="1" customWidth="1"/>
    <col min="18" max="18" width="11.42578125" style="564" hidden="1" customWidth="1"/>
    <col min="19" max="19" width="11.140625" style="564" hidden="1" customWidth="1"/>
    <col min="20" max="20" width="10.7109375" style="564" customWidth="1"/>
    <col min="21" max="21" width="11" style="564" customWidth="1"/>
    <col min="22" max="22" width="10" style="564" customWidth="1"/>
    <col min="23" max="23" width="10.5703125" style="564" hidden="1" customWidth="1"/>
    <col min="24" max="24" width="9.5703125" style="564" customWidth="1"/>
    <col min="25" max="25" width="10.140625" style="564" bestFit="1" customWidth="1"/>
    <col min="26" max="26" width="27.42578125" style="564" hidden="1" customWidth="1"/>
    <col min="27" max="28" width="10" style="564" hidden="1" customWidth="1"/>
    <col min="29" max="31" width="12.42578125" style="564" hidden="1" customWidth="1"/>
    <col min="32" max="32" width="12.7109375" style="564" customWidth="1"/>
    <col min="33" max="33" width="11.42578125" style="564" customWidth="1"/>
    <col min="34" max="34" width="10.7109375" style="564" customWidth="1"/>
    <col min="35" max="35" width="11.140625" style="564" customWidth="1"/>
    <col min="36" max="36" width="11.140625" style="564" hidden="1" customWidth="1"/>
    <col min="37" max="37" width="10.7109375" style="564" customWidth="1"/>
    <col min="38" max="38" width="10.140625" style="564" customWidth="1"/>
    <col min="39" max="50" width="12.42578125" style="564" hidden="1" customWidth="1"/>
    <col min="51" max="51" width="10.42578125" style="564" hidden="1" customWidth="1"/>
    <col min="52" max="52" width="10" style="564" hidden="1" customWidth="1"/>
    <col min="53" max="53" width="10.42578125" style="564" hidden="1" customWidth="1"/>
    <col min="54" max="54" width="14.42578125" style="564"/>
    <col min="55" max="55" width="12.7109375" style="566" customWidth="1"/>
    <col min="56" max="56" width="15.5703125" style="566" customWidth="1"/>
    <col min="57" max="57" width="11.5703125" style="566" customWidth="1"/>
    <col min="58" max="58" width="12" style="566" customWidth="1"/>
    <col min="59" max="59" width="12.42578125" style="566" customWidth="1"/>
    <col min="60" max="61" width="13.7109375" style="564" customWidth="1"/>
    <col min="62" max="64" width="10" style="564" customWidth="1"/>
    <col min="65" max="65" width="13.7109375" style="564" customWidth="1"/>
    <col min="66" max="67" width="14.42578125" style="564"/>
    <col min="68" max="70" width="13.7109375" style="564" customWidth="1"/>
    <col min="71" max="79" width="10.5703125" style="564" customWidth="1"/>
    <col min="80" max="16384" width="14.42578125" style="564"/>
  </cols>
  <sheetData>
    <row r="1" spans="1:79" ht="15" customHeight="1"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43"/>
      <c r="Z1" s="315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148"/>
      <c r="AZ1" s="566"/>
      <c r="BA1" s="566"/>
      <c r="BB1" s="566"/>
      <c r="BH1" s="566"/>
      <c r="BI1" s="566"/>
      <c r="BJ1" s="566"/>
      <c r="BK1" s="566"/>
      <c r="BL1" s="566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</row>
    <row r="2" spans="1:79">
      <c r="B2" s="566"/>
      <c r="C2" s="392" t="s">
        <v>1134</v>
      </c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566"/>
      <c r="AB2" s="566"/>
      <c r="AC2" s="566"/>
      <c r="AD2" s="566"/>
      <c r="AE2" s="566"/>
      <c r="AF2" s="566"/>
      <c r="AG2" s="566"/>
      <c r="AH2" s="566"/>
      <c r="AI2" s="567"/>
      <c r="AJ2" s="567"/>
      <c r="AK2" s="567"/>
      <c r="AL2" s="566"/>
      <c r="AM2" s="566"/>
      <c r="AN2" s="566"/>
      <c r="AO2" s="566"/>
      <c r="AP2" s="566"/>
      <c r="AQ2" s="566"/>
      <c r="AR2" s="566"/>
      <c r="AS2" s="566"/>
      <c r="AT2" s="566"/>
      <c r="AU2" s="566"/>
      <c r="AV2" s="566"/>
      <c r="AW2" s="566"/>
      <c r="AX2" s="566"/>
      <c r="AY2" s="148"/>
      <c r="AZ2" s="566"/>
      <c r="BA2" s="566"/>
      <c r="BB2" s="566"/>
      <c r="BH2" s="566"/>
      <c r="BI2" s="566"/>
      <c r="BJ2" s="566"/>
      <c r="BK2" s="566"/>
      <c r="BL2" s="566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</row>
    <row r="3" spans="1:79" ht="17.25" customHeight="1" thickBot="1">
      <c r="A3" s="336"/>
      <c r="B3" s="336"/>
      <c r="C3" s="336"/>
      <c r="D3" s="56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16"/>
      <c r="AA3" s="336"/>
      <c r="AB3" s="336"/>
      <c r="AC3" s="336"/>
      <c r="AD3" s="336"/>
      <c r="AE3" s="336"/>
      <c r="AF3" s="336"/>
      <c r="AG3" s="317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336"/>
      <c r="AT3" s="336"/>
      <c r="AU3" s="336"/>
      <c r="AV3" s="336"/>
      <c r="AW3" s="336"/>
      <c r="AX3" s="336"/>
      <c r="AY3" s="148"/>
      <c r="AZ3" s="566"/>
      <c r="BA3" s="566"/>
      <c r="BB3" s="566"/>
      <c r="BH3" s="566"/>
      <c r="BI3" s="566"/>
      <c r="BJ3" s="566"/>
      <c r="BK3" s="566"/>
      <c r="BL3" s="566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</row>
    <row r="4" spans="1:79" s="694" customFormat="1" ht="15">
      <c r="A4" s="697"/>
      <c r="B4" s="729"/>
      <c r="C4" s="697"/>
      <c r="D4" s="698"/>
      <c r="E4" s="698"/>
      <c r="F4" s="826" t="s">
        <v>178</v>
      </c>
      <c r="G4" s="826"/>
      <c r="H4" s="826"/>
      <c r="I4" s="826"/>
      <c r="J4" s="826"/>
      <c r="K4" s="826"/>
      <c r="L4" s="826"/>
      <c r="M4" s="826"/>
      <c r="N4" s="826"/>
      <c r="O4" s="826"/>
      <c r="P4" s="826"/>
      <c r="Q4" s="699"/>
      <c r="R4" s="698"/>
      <c r="S4" s="826" t="s">
        <v>179</v>
      </c>
      <c r="T4" s="826"/>
      <c r="U4" s="826"/>
      <c r="V4" s="826"/>
      <c r="W4" s="826"/>
      <c r="X4" s="826"/>
      <c r="Y4" s="826"/>
      <c r="Z4" s="700"/>
      <c r="AA4" s="699"/>
      <c r="AB4" s="699"/>
      <c r="AC4" s="699"/>
      <c r="AD4" s="699"/>
      <c r="AE4" s="699"/>
      <c r="AF4" s="826" t="s">
        <v>1351</v>
      </c>
      <c r="AG4" s="826"/>
      <c r="AH4" s="826" t="s">
        <v>1352</v>
      </c>
      <c r="AI4" s="826"/>
      <c r="AJ4" s="826"/>
      <c r="AK4" s="826"/>
      <c r="AL4" s="827"/>
      <c r="AM4" s="736"/>
      <c r="AN4" s="699"/>
      <c r="AO4" s="699"/>
      <c r="AP4" s="699"/>
      <c r="AQ4" s="699"/>
      <c r="AR4" s="699"/>
      <c r="AS4" s="699"/>
      <c r="AT4" s="699"/>
      <c r="AU4" s="699"/>
      <c r="AV4" s="699"/>
      <c r="AW4" s="699"/>
      <c r="AX4" s="699"/>
      <c r="AY4" s="695"/>
      <c r="AZ4" s="696"/>
      <c r="BA4" s="696"/>
      <c r="BB4" s="696"/>
      <c r="BC4" s="696"/>
      <c r="BD4" s="696"/>
      <c r="BE4" s="696"/>
      <c r="BF4" s="696"/>
      <c r="BG4" s="696"/>
      <c r="BH4" s="696"/>
      <c r="BI4" s="696"/>
      <c r="BJ4" s="696"/>
      <c r="BK4" s="696"/>
      <c r="BL4" s="696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</row>
    <row r="5" spans="1:79" s="704" customFormat="1" ht="75.75" customHeight="1">
      <c r="A5" s="701" t="s">
        <v>180</v>
      </c>
      <c r="B5" s="730" t="s">
        <v>181</v>
      </c>
      <c r="C5" s="701" t="s">
        <v>0</v>
      </c>
      <c r="D5" s="703" t="s">
        <v>1</v>
      </c>
      <c r="E5" s="703" t="s">
        <v>2</v>
      </c>
      <c r="F5" s="703" t="s">
        <v>182</v>
      </c>
      <c r="G5" s="703" t="s">
        <v>183</v>
      </c>
      <c r="H5" s="703" t="s">
        <v>184</v>
      </c>
      <c r="I5" s="703" t="s">
        <v>510</v>
      </c>
      <c r="J5" s="2" t="s">
        <v>7</v>
      </c>
      <c r="K5" s="2" t="s">
        <v>9</v>
      </c>
      <c r="L5" s="2" t="s">
        <v>101</v>
      </c>
      <c r="M5" s="2" t="s">
        <v>10</v>
      </c>
      <c r="N5" s="703" t="s">
        <v>1062</v>
      </c>
      <c r="O5" s="703" t="s">
        <v>1063</v>
      </c>
      <c r="P5" s="703" t="s">
        <v>570</v>
      </c>
      <c r="Q5" s="703" t="s">
        <v>1064</v>
      </c>
      <c r="R5" s="703" t="s">
        <v>1065</v>
      </c>
      <c r="S5" s="703" t="s">
        <v>1066</v>
      </c>
      <c r="T5" s="703" t="s">
        <v>1135</v>
      </c>
      <c r="U5" s="703" t="s">
        <v>13</v>
      </c>
      <c r="V5" s="703" t="s">
        <v>14</v>
      </c>
      <c r="W5" s="703" t="s">
        <v>15</v>
      </c>
      <c r="X5" s="703" t="s">
        <v>185</v>
      </c>
      <c r="Y5" s="703" t="s">
        <v>67</v>
      </c>
      <c r="Z5" s="129" t="s">
        <v>303</v>
      </c>
      <c r="AA5" s="703" t="s">
        <v>1067</v>
      </c>
      <c r="AB5" s="703" t="s">
        <v>1068</v>
      </c>
      <c r="AC5" s="703" t="s">
        <v>1068</v>
      </c>
      <c r="AD5" s="703" t="s">
        <v>1069</v>
      </c>
      <c r="AE5" s="703" t="s">
        <v>1070</v>
      </c>
      <c r="AF5" s="703" t="s">
        <v>1348</v>
      </c>
      <c r="AG5" s="703" t="s">
        <v>1350</v>
      </c>
      <c r="AH5" s="703" t="s">
        <v>13</v>
      </c>
      <c r="AI5" s="703" t="s">
        <v>14</v>
      </c>
      <c r="AJ5" s="703" t="s">
        <v>15</v>
      </c>
      <c r="AK5" s="703" t="s">
        <v>185</v>
      </c>
      <c r="AL5" s="745" t="s">
        <v>67</v>
      </c>
      <c r="AM5" s="737" t="s">
        <v>1071</v>
      </c>
      <c r="AN5" s="703" t="s">
        <v>13</v>
      </c>
      <c r="AO5" s="703" t="s">
        <v>14</v>
      </c>
      <c r="AP5" s="703" t="s">
        <v>15</v>
      </c>
      <c r="AQ5" s="703" t="s">
        <v>185</v>
      </c>
      <c r="AR5" s="703" t="s">
        <v>67</v>
      </c>
      <c r="AS5" s="703" t="s">
        <v>1072</v>
      </c>
      <c r="AT5" s="703" t="s">
        <v>13</v>
      </c>
      <c r="AU5" s="703" t="s">
        <v>14</v>
      </c>
      <c r="AV5" s="703" t="s">
        <v>15</v>
      </c>
      <c r="AW5" s="703" t="s">
        <v>185</v>
      </c>
      <c r="AX5" s="703" t="s">
        <v>67</v>
      </c>
      <c r="AY5" s="695"/>
      <c r="AZ5" s="696"/>
      <c r="BA5" s="696"/>
      <c r="BB5" s="696"/>
      <c r="BC5" s="696"/>
      <c r="BD5" s="696"/>
      <c r="BE5" s="696"/>
      <c r="BF5" s="696"/>
      <c r="BG5" s="696"/>
      <c r="BH5" s="696"/>
      <c r="BI5" s="696"/>
      <c r="BJ5" s="696"/>
      <c r="BK5" s="696"/>
      <c r="BL5" s="696"/>
      <c r="BM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</row>
    <row r="6" spans="1:79" s="704" customFormat="1" ht="20.100000000000001" customHeight="1">
      <c r="A6" s="701"/>
      <c r="B6" s="730"/>
      <c r="C6" s="701"/>
      <c r="D6" s="127"/>
      <c r="E6" s="702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703"/>
      <c r="T6" s="703"/>
      <c r="U6" s="703"/>
      <c r="V6" s="703"/>
      <c r="W6" s="703"/>
      <c r="X6" s="703"/>
      <c r="Y6" s="703"/>
      <c r="Z6" s="703"/>
      <c r="AA6" s="703"/>
      <c r="AB6" s="703"/>
      <c r="AC6" s="703"/>
      <c r="AD6" s="703"/>
      <c r="AE6" s="703"/>
      <c r="AF6" s="703"/>
      <c r="AG6" s="703"/>
      <c r="AH6" s="703"/>
      <c r="AI6" s="703"/>
      <c r="AJ6" s="703"/>
      <c r="AK6" s="703"/>
      <c r="AL6" s="745"/>
      <c r="AM6" s="737"/>
      <c r="AN6" s="703"/>
      <c r="AO6" s="703"/>
      <c r="AP6" s="703"/>
      <c r="AQ6" s="703"/>
      <c r="AR6" s="703"/>
      <c r="AS6" s="703"/>
      <c r="AT6" s="703"/>
      <c r="AU6" s="703"/>
      <c r="AV6" s="703"/>
      <c r="AW6" s="703"/>
      <c r="AX6" s="703"/>
      <c r="AY6" s="695"/>
      <c r="AZ6" s="696"/>
      <c r="BA6" s="696"/>
      <c r="BB6" s="696"/>
      <c r="BC6" s="696"/>
      <c r="BD6" s="696"/>
      <c r="BE6" s="696"/>
      <c r="BF6" s="696"/>
      <c r="BG6" s="696"/>
      <c r="BH6" s="696"/>
      <c r="BI6" s="696"/>
      <c r="BJ6" s="696"/>
      <c r="BK6" s="696"/>
      <c r="BL6" s="696"/>
      <c r="BM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</row>
    <row r="7" spans="1:79" s="719" customFormat="1" ht="22.9" customHeight="1">
      <c r="A7" s="716"/>
      <c r="B7" s="731"/>
      <c r="C7" s="716"/>
      <c r="D7" s="209"/>
      <c r="E7" s="129" t="s">
        <v>260</v>
      </c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5"/>
      <c r="S7" s="705"/>
      <c r="T7" s="705"/>
      <c r="U7" s="705"/>
      <c r="V7" s="705"/>
      <c r="W7" s="705"/>
      <c r="X7" s="705"/>
      <c r="Y7" s="209"/>
      <c r="Z7" s="127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746"/>
      <c r="AM7" s="738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717"/>
      <c r="AZ7" s="718"/>
      <c r="BA7" s="718"/>
      <c r="BB7" s="718"/>
      <c r="BC7" s="718"/>
      <c r="BD7" s="718"/>
      <c r="BE7" s="718"/>
      <c r="BF7" s="718"/>
      <c r="BG7" s="718"/>
      <c r="BH7" s="718"/>
      <c r="BI7" s="718"/>
      <c r="BJ7" s="718"/>
      <c r="BK7" s="718"/>
      <c r="BL7" s="718"/>
      <c r="BM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</row>
    <row r="8" spans="1:79" s="719" customFormat="1" ht="30" customHeight="1">
      <c r="A8" s="706" t="s">
        <v>1073</v>
      </c>
      <c r="B8" s="730" t="s">
        <v>1074</v>
      </c>
      <c r="C8" s="716">
        <v>1</v>
      </c>
      <c r="D8" s="209">
        <v>1587</v>
      </c>
      <c r="E8" s="222" t="s">
        <v>77</v>
      </c>
      <c r="F8" s="705">
        <v>34200000</v>
      </c>
      <c r="G8" s="705">
        <v>34200000</v>
      </c>
      <c r="H8" s="705">
        <f>F8-G8</f>
        <v>0</v>
      </c>
      <c r="I8" s="705">
        <v>15110000</v>
      </c>
      <c r="J8" s="705">
        <f>13534734+75266</f>
        <v>13610000</v>
      </c>
      <c r="K8" s="705"/>
      <c r="L8" s="705"/>
      <c r="M8" s="705">
        <f>SUM(K8:L8)</f>
        <v>0</v>
      </c>
      <c r="N8" s="705">
        <f>M8+J8</f>
        <v>13610000</v>
      </c>
      <c r="O8" s="705">
        <f>2500000-1000000</f>
        <v>1500000</v>
      </c>
      <c r="P8" s="705">
        <f>F8-N8-O8</f>
        <v>19090000</v>
      </c>
      <c r="Q8" s="705">
        <f>I8-N8</f>
        <v>1500000</v>
      </c>
      <c r="R8" s="705">
        <f>O8-Q8</f>
        <v>0</v>
      </c>
      <c r="S8" s="705">
        <v>1000000</v>
      </c>
      <c r="T8" s="705">
        <f>R8-S8</f>
        <v>-1000000</v>
      </c>
      <c r="U8" s="705">
        <f>T8-X8-Y8-V8-W8</f>
        <v>-1000000</v>
      </c>
      <c r="V8" s="705"/>
      <c r="W8" s="705"/>
      <c r="X8" s="705"/>
      <c r="Y8" s="705"/>
      <c r="Z8" s="210" t="s">
        <v>1075</v>
      </c>
      <c r="AA8" s="705"/>
      <c r="AB8" s="705"/>
      <c r="AC8" s="705"/>
      <c r="AD8" s="705"/>
      <c r="AE8" s="209"/>
      <c r="AF8" s="705">
        <f>SUM(AA8:AE8)</f>
        <v>0</v>
      </c>
      <c r="AG8" s="705">
        <f>T8-AF8</f>
        <v>-1000000</v>
      </c>
      <c r="AH8" s="705">
        <f>AF8-AI8-AJ8-AK8-AL8</f>
        <v>0</v>
      </c>
      <c r="AI8" s="705"/>
      <c r="AJ8" s="705"/>
      <c r="AK8" s="705"/>
      <c r="AL8" s="708"/>
      <c r="AM8" s="738"/>
      <c r="AN8" s="209"/>
      <c r="AO8" s="209"/>
      <c r="AP8" s="209"/>
      <c r="AQ8" s="209"/>
      <c r="AR8" s="209"/>
      <c r="AS8" s="209"/>
      <c r="AT8" s="209">
        <f>AS8-AU8-AV8-AW8-AX8</f>
        <v>0</v>
      </c>
      <c r="AU8" s="209"/>
      <c r="AV8" s="209"/>
      <c r="AW8" s="209"/>
      <c r="AX8" s="209"/>
      <c r="AY8" s="717"/>
      <c r="AZ8" s="718"/>
      <c r="BA8" s="718"/>
      <c r="BB8" s="718"/>
      <c r="BC8" s="718"/>
      <c r="BD8" s="718"/>
      <c r="BE8" s="718"/>
      <c r="BF8" s="718"/>
      <c r="BG8" s="718"/>
      <c r="BH8" s="718"/>
      <c r="BI8" s="718"/>
      <c r="BJ8" s="718"/>
      <c r="BK8" s="718"/>
      <c r="BL8" s="718"/>
      <c r="BM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</row>
    <row r="9" spans="1:79" s="719" customFormat="1" ht="30" customHeight="1">
      <c r="A9" s="706" t="s">
        <v>1073</v>
      </c>
      <c r="B9" s="730" t="s">
        <v>1074</v>
      </c>
      <c r="C9" s="716">
        <f>1+C8</f>
        <v>2</v>
      </c>
      <c r="D9" s="209">
        <v>20105</v>
      </c>
      <c r="E9" s="222" t="s">
        <v>613</v>
      </c>
      <c r="F9" s="705">
        <v>3500000</v>
      </c>
      <c r="G9" s="705">
        <v>3500000</v>
      </c>
      <c r="H9" s="705">
        <f>F9-G9</f>
        <v>0</v>
      </c>
      <c r="I9" s="705"/>
      <c r="J9" s="705"/>
      <c r="K9" s="705"/>
      <c r="L9" s="705"/>
      <c r="M9" s="705">
        <f>SUM(K9:L9)</f>
        <v>0</v>
      </c>
      <c r="N9" s="705">
        <f>M9+J9</f>
        <v>0</v>
      </c>
      <c r="O9" s="705">
        <f>200000-200000</f>
        <v>0</v>
      </c>
      <c r="P9" s="705">
        <f>F9-N9-O9</f>
        <v>3500000</v>
      </c>
      <c r="Q9" s="705">
        <f>I9-N9</f>
        <v>0</v>
      </c>
      <c r="R9" s="705">
        <f>O9-Q9</f>
        <v>0</v>
      </c>
      <c r="S9" s="705">
        <v>200000</v>
      </c>
      <c r="T9" s="705">
        <f>R9-S9</f>
        <v>-200000</v>
      </c>
      <c r="U9" s="705">
        <f>T9-X9-Y9-V9-W9</f>
        <v>-200000</v>
      </c>
      <c r="V9" s="705"/>
      <c r="W9" s="705"/>
      <c r="X9" s="705"/>
      <c r="Y9" s="705"/>
      <c r="Z9" s="210" t="s">
        <v>1075</v>
      </c>
      <c r="AA9" s="705"/>
      <c r="AB9" s="705"/>
      <c r="AC9" s="705"/>
      <c r="AD9" s="705"/>
      <c r="AE9" s="209"/>
      <c r="AF9" s="705">
        <f t="shared" ref="AF9:AF33" si="0">SUM(AA9:AE9)</f>
        <v>0</v>
      </c>
      <c r="AG9" s="705">
        <f t="shared" ref="AG9:AG33" si="1">T9-AF9</f>
        <v>-200000</v>
      </c>
      <c r="AH9" s="705">
        <f t="shared" ref="AH9:AH33" si="2">AF9-AI9-AJ9-AK9-AL9</f>
        <v>0</v>
      </c>
      <c r="AI9" s="705"/>
      <c r="AJ9" s="705"/>
      <c r="AK9" s="705"/>
      <c r="AL9" s="708"/>
      <c r="AM9" s="738"/>
      <c r="AN9" s="209"/>
      <c r="AO9" s="209"/>
      <c r="AP9" s="209"/>
      <c r="AQ9" s="209"/>
      <c r="AR9" s="209"/>
      <c r="AS9" s="209"/>
      <c r="AT9" s="209">
        <f t="shared" ref="AT9:AT33" si="3">AS9-AU9-AV9-AW9-AX9</f>
        <v>0</v>
      </c>
      <c r="AU9" s="209"/>
      <c r="AV9" s="209"/>
      <c r="AW9" s="209"/>
      <c r="AX9" s="209"/>
      <c r="AY9" s="717"/>
      <c r="AZ9" s="718"/>
      <c r="BA9" s="718"/>
      <c r="BB9" s="718"/>
      <c r="BC9" s="718"/>
      <c r="BD9" s="718"/>
      <c r="BE9" s="718"/>
      <c r="BF9" s="718"/>
      <c r="BG9" s="718"/>
      <c r="BH9" s="718"/>
      <c r="BI9" s="718"/>
      <c r="BJ9" s="718"/>
      <c r="BK9" s="718"/>
      <c r="BL9" s="718"/>
      <c r="BM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</row>
    <row r="10" spans="1:79" s="719" customFormat="1" ht="30" customHeight="1">
      <c r="A10" s="706" t="s">
        <v>1073</v>
      </c>
      <c r="B10" s="730" t="s">
        <v>1074</v>
      </c>
      <c r="C10" s="716">
        <f t="shared" ref="C10:C33" si="4">1+C9</f>
        <v>3</v>
      </c>
      <c r="D10" s="209">
        <v>20106</v>
      </c>
      <c r="E10" s="222" t="s">
        <v>942</v>
      </c>
      <c r="F10" s="705">
        <v>6900000</v>
      </c>
      <c r="G10" s="705">
        <v>6900000</v>
      </c>
      <c r="H10" s="705">
        <f>F10-G10</f>
        <v>0</v>
      </c>
      <c r="I10" s="705"/>
      <c r="J10" s="705"/>
      <c r="K10" s="705"/>
      <c r="L10" s="705"/>
      <c r="M10" s="705">
        <f>SUM(K10:L10)</f>
        <v>0</v>
      </c>
      <c r="N10" s="705">
        <f>M10+J10</f>
        <v>0</v>
      </c>
      <c r="O10" s="705">
        <f>300000-300000</f>
        <v>0</v>
      </c>
      <c r="P10" s="705">
        <f>F10-N10-O10</f>
        <v>6900000</v>
      </c>
      <c r="Q10" s="705">
        <f>I10-N10</f>
        <v>0</v>
      </c>
      <c r="R10" s="705">
        <f>O10-Q10</f>
        <v>0</v>
      </c>
      <c r="S10" s="705">
        <v>300000</v>
      </c>
      <c r="T10" s="705">
        <f>R10-S10</f>
        <v>-300000</v>
      </c>
      <c r="U10" s="705">
        <f>T10-X10-Y10-V10-W10</f>
        <v>-300000</v>
      </c>
      <c r="V10" s="705"/>
      <c r="W10" s="705"/>
      <c r="X10" s="705"/>
      <c r="Y10" s="705"/>
      <c r="Z10" s="210" t="s">
        <v>1075</v>
      </c>
      <c r="AA10" s="705"/>
      <c r="AB10" s="705"/>
      <c r="AC10" s="705"/>
      <c r="AD10" s="705"/>
      <c r="AE10" s="209"/>
      <c r="AF10" s="705">
        <f t="shared" si="0"/>
        <v>0</v>
      </c>
      <c r="AG10" s="705">
        <f t="shared" si="1"/>
        <v>-300000</v>
      </c>
      <c r="AH10" s="705">
        <f t="shared" si="2"/>
        <v>0</v>
      </c>
      <c r="AI10" s="705"/>
      <c r="AJ10" s="705"/>
      <c r="AK10" s="705"/>
      <c r="AL10" s="708"/>
      <c r="AM10" s="738"/>
      <c r="AN10" s="209"/>
      <c r="AO10" s="209"/>
      <c r="AP10" s="209"/>
      <c r="AQ10" s="209"/>
      <c r="AR10" s="209"/>
      <c r="AS10" s="209"/>
      <c r="AT10" s="209">
        <f t="shared" si="3"/>
        <v>0</v>
      </c>
      <c r="AU10" s="209"/>
      <c r="AV10" s="209"/>
      <c r="AW10" s="209"/>
      <c r="AX10" s="209"/>
      <c r="AY10" s="717"/>
      <c r="AZ10" s="718"/>
      <c r="BA10" s="718"/>
      <c r="BB10" s="718"/>
      <c r="BC10" s="718"/>
      <c r="BD10" s="718"/>
      <c r="BE10" s="718"/>
      <c r="BF10" s="718"/>
      <c r="BG10" s="718"/>
      <c r="BH10" s="718"/>
      <c r="BI10" s="718"/>
      <c r="BJ10" s="718"/>
      <c r="BK10" s="718"/>
      <c r="BL10" s="718"/>
      <c r="BM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</row>
    <row r="11" spans="1:79" s="719" customFormat="1" ht="30" customHeight="1">
      <c r="A11" s="706" t="s">
        <v>1076</v>
      </c>
      <c r="B11" s="730" t="s">
        <v>1077</v>
      </c>
      <c r="C11" s="716">
        <f t="shared" si="4"/>
        <v>4</v>
      </c>
      <c r="D11" s="209">
        <v>20142</v>
      </c>
      <c r="E11" s="3" t="s">
        <v>1078</v>
      </c>
      <c r="F11" s="705">
        <v>18000000</v>
      </c>
      <c r="G11" s="705"/>
      <c r="H11" s="705">
        <f t="shared" ref="H11:H33" si="5">F11-G11</f>
        <v>18000000</v>
      </c>
      <c r="I11" s="705"/>
      <c r="J11" s="705"/>
      <c r="K11" s="705"/>
      <c r="L11" s="705"/>
      <c r="M11" s="705">
        <f t="shared" ref="M11:M25" si="6">SUM(K11:L11)</f>
        <v>0</v>
      </c>
      <c r="N11" s="705">
        <f t="shared" ref="N11:N33" si="7">M11+J11</f>
        <v>0</v>
      </c>
      <c r="O11" s="705">
        <v>700000</v>
      </c>
      <c r="P11" s="705">
        <f t="shared" ref="P11:P33" si="8">F11-N11-O11</f>
        <v>17300000</v>
      </c>
      <c r="Q11" s="705">
        <f t="shared" ref="Q11:Q33" si="9">I11-N11</f>
        <v>0</v>
      </c>
      <c r="R11" s="705">
        <f t="shared" ref="R11:R33" si="10">O11-Q11</f>
        <v>700000</v>
      </c>
      <c r="S11" s="705"/>
      <c r="T11" s="705">
        <f t="shared" ref="T11:T33" si="11">R11-S11</f>
        <v>700000</v>
      </c>
      <c r="U11" s="705">
        <f t="shared" ref="U11:U33" si="12">T11-X11-Y11-V11-W11</f>
        <v>700000</v>
      </c>
      <c r="V11" s="705"/>
      <c r="W11" s="705"/>
      <c r="X11" s="705"/>
      <c r="Y11" s="705"/>
      <c r="Z11" s="210" t="s">
        <v>1079</v>
      </c>
      <c r="AA11" s="705"/>
      <c r="AB11" s="705"/>
      <c r="AC11" s="705"/>
      <c r="AD11" s="705"/>
      <c r="AE11" s="705">
        <v>700000</v>
      </c>
      <c r="AF11" s="705">
        <f t="shared" si="0"/>
        <v>700000</v>
      </c>
      <c r="AG11" s="705">
        <f t="shared" si="1"/>
        <v>0</v>
      </c>
      <c r="AH11" s="705">
        <f t="shared" si="2"/>
        <v>700000</v>
      </c>
      <c r="AI11" s="705"/>
      <c r="AJ11" s="705"/>
      <c r="AK11" s="705"/>
      <c r="AL11" s="747"/>
      <c r="AM11" s="713"/>
      <c r="AN11" s="705"/>
      <c r="AO11" s="705"/>
      <c r="AP11" s="705"/>
      <c r="AQ11" s="705"/>
      <c r="AR11" s="705"/>
      <c r="AS11" s="705"/>
      <c r="AT11" s="209">
        <f t="shared" si="3"/>
        <v>0</v>
      </c>
      <c r="AU11" s="705"/>
      <c r="AV11" s="705"/>
      <c r="AW11" s="705"/>
      <c r="AX11" s="705"/>
      <c r="AY11" s="718"/>
      <c r="AZ11" s="718"/>
      <c r="BA11" s="718"/>
      <c r="BB11" s="718"/>
      <c r="BC11" s="718"/>
      <c r="BD11" s="718"/>
      <c r="BE11" s="718"/>
      <c r="BF11" s="718"/>
      <c r="BG11" s="718"/>
      <c r="BH11" s="718"/>
      <c r="BI11" s="718"/>
      <c r="BJ11" s="718"/>
      <c r="BK11" s="718"/>
      <c r="BL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</row>
    <row r="12" spans="1:79" s="719" customFormat="1" ht="30" customHeight="1">
      <c r="A12" s="706" t="s">
        <v>1076</v>
      </c>
      <c r="B12" s="730" t="s">
        <v>1077</v>
      </c>
      <c r="C12" s="716">
        <f t="shared" si="4"/>
        <v>5</v>
      </c>
      <c r="D12" s="209">
        <v>592</v>
      </c>
      <c r="E12" s="222" t="s">
        <v>22</v>
      </c>
      <c r="F12" s="705">
        <v>54893000</v>
      </c>
      <c r="G12" s="705">
        <v>54893000</v>
      </c>
      <c r="H12" s="705">
        <f t="shared" si="5"/>
        <v>0</v>
      </c>
      <c r="I12" s="705">
        <v>21420000</v>
      </c>
      <c r="J12" s="705">
        <f>19882848+37151+1</f>
        <v>19920000</v>
      </c>
      <c r="K12" s="705"/>
      <c r="L12" s="705"/>
      <c r="M12" s="705">
        <f t="shared" si="6"/>
        <v>0</v>
      </c>
      <c r="N12" s="705">
        <f t="shared" si="7"/>
        <v>19920000</v>
      </c>
      <c r="O12" s="705">
        <f>1200000</f>
        <v>1200000</v>
      </c>
      <c r="P12" s="705">
        <f t="shared" si="8"/>
        <v>33773000</v>
      </c>
      <c r="Q12" s="705">
        <f t="shared" si="9"/>
        <v>1500000</v>
      </c>
      <c r="R12" s="705">
        <f t="shared" si="10"/>
        <v>-300000</v>
      </c>
      <c r="S12" s="705">
        <v>-1500000</v>
      </c>
      <c r="T12" s="705">
        <f t="shared" si="11"/>
        <v>1200000</v>
      </c>
      <c r="U12" s="705">
        <f t="shared" si="12"/>
        <v>1200000</v>
      </c>
      <c r="V12" s="705"/>
      <c r="W12" s="705"/>
      <c r="X12" s="705"/>
      <c r="Y12" s="705"/>
      <c r="Z12" s="210" t="s">
        <v>1080</v>
      </c>
      <c r="AA12" s="705"/>
      <c r="AB12" s="705"/>
      <c r="AC12" s="705"/>
      <c r="AD12" s="705">
        <v>1200000</v>
      </c>
      <c r="AE12" s="209"/>
      <c r="AF12" s="705">
        <f t="shared" si="0"/>
        <v>1200000</v>
      </c>
      <c r="AG12" s="705">
        <f t="shared" si="1"/>
        <v>0</v>
      </c>
      <c r="AH12" s="705">
        <f t="shared" si="2"/>
        <v>1200000</v>
      </c>
      <c r="AI12" s="705"/>
      <c r="AJ12" s="705"/>
      <c r="AK12" s="705"/>
      <c r="AL12" s="747"/>
      <c r="AM12" s="738"/>
      <c r="AN12" s="209"/>
      <c r="AO12" s="209"/>
      <c r="AP12" s="209"/>
      <c r="AQ12" s="209"/>
      <c r="AR12" s="209"/>
      <c r="AS12" s="209"/>
      <c r="AT12" s="209">
        <f t="shared" si="3"/>
        <v>0</v>
      </c>
      <c r="AU12" s="209"/>
      <c r="AV12" s="209"/>
      <c r="AW12" s="209"/>
      <c r="AX12" s="209"/>
      <c r="AY12" s="718"/>
      <c r="AZ12" s="718"/>
      <c r="BA12" s="718"/>
      <c r="BB12" s="718"/>
      <c r="BC12" s="718"/>
      <c r="BD12" s="718"/>
      <c r="BE12" s="718"/>
      <c r="BF12" s="718"/>
      <c r="BG12" s="718"/>
      <c r="BH12" s="718"/>
      <c r="BI12" s="718"/>
      <c r="BJ12" s="718"/>
      <c r="BK12" s="718"/>
      <c r="BL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</row>
    <row r="13" spans="1:79" s="719" customFormat="1" ht="30" customHeight="1">
      <c r="A13" s="706" t="s">
        <v>1076</v>
      </c>
      <c r="B13" s="730" t="s">
        <v>1077</v>
      </c>
      <c r="C13" s="716">
        <f t="shared" si="4"/>
        <v>6</v>
      </c>
      <c r="D13" s="209">
        <v>1587</v>
      </c>
      <c r="E13" s="222" t="s">
        <v>77</v>
      </c>
      <c r="F13" s="705">
        <v>34200000</v>
      </c>
      <c r="G13" s="705">
        <v>34200000</v>
      </c>
      <c r="H13" s="705">
        <f t="shared" si="5"/>
        <v>0</v>
      </c>
      <c r="I13" s="705">
        <v>15110000</v>
      </c>
      <c r="J13" s="705">
        <f>13534734+75266</f>
        <v>13610000</v>
      </c>
      <c r="K13" s="705"/>
      <c r="L13" s="705"/>
      <c r="M13" s="705">
        <f t="shared" si="6"/>
        <v>0</v>
      </c>
      <c r="N13" s="705">
        <f t="shared" si="7"/>
        <v>13610000</v>
      </c>
      <c r="O13" s="705">
        <f>2500000-1000000-1200000</f>
        <v>300000</v>
      </c>
      <c r="P13" s="705">
        <f t="shared" si="8"/>
        <v>20290000</v>
      </c>
      <c r="Q13" s="705">
        <f t="shared" si="9"/>
        <v>1500000</v>
      </c>
      <c r="R13" s="705">
        <f t="shared" si="10"/>
        <v>-1200000</v>
      </c>
      <c r="S13" s="705"/>
      <c r="T13" s="705">
        <f t="shared" si="11"/>
        <v>-1200000</v>
      </c>
      <c r="U13" s="705">
        <f t="shared" si="12"/>
        <v>-1200000</v>
      </c>
      <c r="V13" s="705"/>
      <c r="W13" s="705"/>
      <c r="X13" s="705"/>
      <c r="Y13" s="705"/>
      <c r="Z13" s="210" t="s">
        <v>1081</v>
      </c>
      <c r="AA13" s="705"/>
      <c r="AB13" s="705"/>
      <c r="AC13" s="705"/>
      <c r="AD13" s="705">
        <v>-1200000</v>
      </c>
      <c r="AE13" s="209"/>
      <c r="AF13" s="705">
        <f t="shared" si="0"/>
        <v>-1200000</v>
      </c>
      <c r="AG13" s="705">
        <f t="shared" si="1"/>
        <v>0</v>
      </c>
      <c r="AH13" s="705">
        <f t="shared" si="2"/>
        <v>-1200000</v>
      </c>
      <c r="AI13" s="705"/>
      <c r="AJ13" s="705"/>
      <c r="AK13" s="705"/>
      <c r="AL13" s="747"/>
      <c r="AM13" s="738"/>
      <c r="AN13" s="209"/>
      <c r="AO13" s="209"/>
      <c r="AP13" s="209"/>
      <c r="AQ13" s="209"/>
      <c r="AR13" s="209"/>
      <c r="AS13" s="209"/>
      <c r="AT13" s="209">
        <f>AS13-AU13-AV13-AW13-AX13</f>
        <v>0</v>
      </c>
      <c r="AU13" s="209"/>
      <c r="AV13" s="209"/>
      <c r="AW13" s="209"/>
      <c r="AX13" s="209"/>
      <c r="AY13" s="718"/>
      <c r="AZ13" s="718"/>
      <c r="BA13" s="718"/>
      <c r="BB13" s="718"/>
      <c r="BC13" s="718"/>
      <c r="BD13" s="718"/>
      <c r="BE13" s="718"/>
      <c r="BF13" s="718"/>
      <c r="BG13" s="718"/>
      <c r="BH13" s="718"/>
      <c r="BI13" s="718"/>
      <c r="BJ13" s="718"/>
      <c r="BK13" s="718"/>
      <c r="BL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</row>
    <row r="14" spans="1:79" s="719" customFormat="1" ht="30" customHeight="1">
      <c r="A14" s="706" t="s">
        <v>1076</v>
      </c>
      <c r="B14" s="730" t="s">
        <v>1077</v>
      </c>
      <c r="C14" s="716">
        <f t="shared" si="4"/>
        <v>7</v>
      </c>
      <c r="D14" s="209">
        <v>1692</v>
      </c>
      <c r="E14" s="222" t="s">
        <v>21</v>
      </c>
      <c r="F14" s="705">
        <f>2450000-1130990+1</f>
        <v>1319011</v>
      </c>
      <c r="G14" s="705">
        <v>2450000</v>
      </c>
      <c r="H14" s="705">
        <f t="shared" si="5"/>
        <v>-1130989</v>
      </c>
      <c r="I14" s="705">
        <v>1746509</v>
      </c>
      <c r="J14" s="705">
        <f>578670+1</f>
        <v>578671</v>
      </c>
      <c r="K14" s="705"/>
      <c r="L14" s="705"/>
      <c r="M14" s="705">
        <f t="shared" si="6"/>
        <v>0</v>
      </c>
      <c r="N14" s="705">
        <f t="shared" si="7"/>
        <v>578671</v>
      </c>
      <c r="O14" s="705">
        <f>442943+12642+284755</f>
        <v>740340</v>
      </c>
      <c r="P14" s="705">
        <f t="shared" si="8"/>
        <v>0</v>
      </c>
      <c r="Q14" s="705">
        <f t="shared" si="9"/>
        <v>1167838</v>
      </c>
      <c r="R14" s="705">
        <f t="shared" si="10"/>
        <v>-427498</v>
      </c>
      <c r="S14" s="705"/>
      <c r="T14" s="705">
        <f t="shared" si="11"/>
        <v>-427498</v>
      </c>
      <c r="U14" s="705">
        <f t="shared" si="12"/>
        <v>11530</v>
      </c>
      <c r="V14" s="705"/>
      <c r="W14" s="705"/>
      <c r="X14" s="705"/>
      <c r="Y14" s="705">
        <f>-439027-1</f>
        <v>-439028</v>
      </c>
      <c r="Z14" s="210" t="s">
        <v>1082</v>
      </c>
      <c r="AA14" s="705"/>
      <c r="AB14" s="705"/>
      <c r="AC14" s="705"/>
      <c r="AD14" s="705">
        <v>-427498</v>
      </c>
      <c r="AE14" s="209"/>
      <c r="AF14" s="705">
        <f t="shared" si="0"/>
        <v>-427498</v>
      </c>
      <c r="AG14" s="705">
        <f t="shared" si="1"/>
        <v>0</v>
      </c>
      <c r="AH14" s="705">
        <f t="shared" si="2"/>
        <v>-427498</v>
      </c>
      <c r="AI14" s="705"/>
      <c r="AJ14" s="705"/>
      <c r="AK14" s="705"/>
      <c r="AL14" s="747"/>
      <c r="AM14" s="738"/>
      <c r="AN14" s="209"/>
      <c r="AO14" s="209"/>
      <c r="AP14" s="209"/>
      <c r="AQ14" s="209"/>
      <c r="AR14" s="209"/>
      <c r="AS14" s="209"/>
      <c r="AT14" s="209">
        <f t="shared" si="3"/>
        <v>0</v>
      </c>
      <c r="AU14" s="209"/>
      <c r="AV14" s="209"/>
      <c r="AW14" s="209"/>
      <c r="AX14" s="209"/>
      <c r="AY14" s="718"/>
      <c r="AZ14" s="718"/>
      <c r="BA14" s="718"/>
      <c r="BB14" s="718"/>
      <c r="BC14" s="718"/>
      <c r="BD14" s="718"/>
      <c r="BE14" s="718"/>
      <c r="BF14" s="718"/>
      <c r="BG14" s="718"/>
      <c r="BH14" s="718"/>
      <c r="BI14" s="718"/>
      <c r="BJ14" s="718"/>
      <c r="BK14" s="718"/>
      <c r="BL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</row>
    <row r="15" spans="1:79" s="719" customFormat="1" ht="30" customHeight="1">
      <c r="A15" s="706" t="s">
        <v>1076</v>
      </c>
      <c r="B15" s="730" t="s">
        <v>1077</v>
      </c>
      <c r="C15" s="716">
        <f t="shared" si="4"/>
        <v>8</v>
      </c>
      <c r="D15" s="209">
        <v>1527</v>
      </c>
      <c r="E15" s="222" t="s">
        <v>1083</v>
      </c>
      <c r="F15" s="705">
        <v>3000000</v>
      </c>
      <c r="G15" s="705"/>
      <c r="H15" s="705">
        <f t="shared" si="5"/>
        <v>3000000</v>
      </c>
      <c r="I15" s="705">
        <v>1150000</v>
      </c>
      <c r="J15" s="705">
        <f>902305+2695</f>
        <v>905000</v>
      </c>
      <c r="K15" s="705"/>
      <c r="L15" s="705"/>
      <c r="M15" s="705">
        <f t="shared" si="6"/>
        <v>0</v>
      </c>
      <c r="N15" s="705">
        <f t="shared" si="7"/>
        <v>905000</v>
      </c>
      <c r="O15" s="705">
        <f>50000-11530</f>
        <v>38470</v>
      </c>
      <c r="P15" s="705">
        <f t="shared" si="8"/>
        <v>2056530</v>
      </c>
      <c r="Q15" s="705">
        <f t="shared" si="9"/>
        <v>245000</v>
      </c>
      <c r="R15" s="705">
        <f t="shared" si="10"/>
        <v>-206530</v>
      </c>
      <c r="S15" s="705">
        <v>-195000</v>
      </c>
      <c r="T15" s="705">
        <f t="shared" si="11"/>
        <v>-11530</v>
      </c>
      <c r="U15" s="705">
        <f t="shared" si="12"/>
        <v>-11530</v>
      </c>
      <c r="V15" s="705"/>
      <c r="W15" s="705"/>
      <c r="X15" s="705"/>
      <c r="Y15" s="705"/>
      <c r="Z15" s="210" t="s">
        <v>1084</v>
      </c>
      <c r="AA15" s="705"/>
      <c r="AB15" s="705"/>
      <c r="AC15" s="705"/>
      <c r="AD15" s="705">
        <v>-11530</v>
      </c>
      <c r="AE15" s="209"/>
      <c r="AF15" s="705">
        <f t="shared" si="0"/>
        <v>-11530</v>
      </c>
      <c r="AG15" s="705">
        <f t="shared" si="1"/>
        <v>0</v>
      </c>
      <c r="AH15" s="705">
        <f t="shared" si="2"/>
        <v>-11530</v>
      </c>
      <c r="AI15" s="705"/>
      <c r="AJ15" s="705"/>
      <c r="AK15" s="705"/>
      <c r="AL15" s="747"/>
      <c r="AM15" s="738"/>
      <c r="AN15" s="209"/>
      <c r="AO15" s="209"/>
      <c r="AP15" s="209"/>
      <c r="AQ15" s="209"/>
      <c r="AR15" s="209"/>
      <c r="AS15" s="209"/>
      <c r="AT15" s="209">
        <f t="shared" si="3"/>
        <v>0</v>
      </c>
      <c r="AU15" s="209"/>
      <c r="AV15" s="209"/>
      <c r="AW15" s="209"/>
      <c r="AX15" s="209"/>
      <c r="AY15" s="718"/>
      <c r="AZ15" s="718"/>
      <c r="BA15" s="718"/>
      <c r="BB15" s="718"/>
      <c r="BC15" s="718"/>
      <c r="BD15" s="718"/>
      <c r="BE15" s="718"/>
      <c r="BF15" s="718"/>
      <c r="BG15" s="718"/>
      <c r="BH15" s="718"/>
      <c r="BI15" s="718"/>
      <c r="BJ15" s="718"/>
      <c r="BK15" s="718"/>
      <c r="BL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</row>
    <row r="16" spans="1:79" s="719" customFormat="1" ht="30" customHeight="1">
      <c r="A16" s="706" t="s">
        <v>1076</v>
      </c>
      <c r="B16" s="730" t="s">
        <v>1077</v>
      </c>
      <c r="C16" s="716">
        <f t="shared" si="4"/>
        <v>9</v>
      </c>
      <c r="D16" s="209">
        <v>20062</v>
      </c>
      <c r="E16" s="222" t="s">
        <v>27</v>
      </c>
      <c r="F16" s="705">
        <v>300000</v>
      </c>
      <c r="G16" s="705"/>
      <c r="H16" s="705">
        <f t="shared" si="5"/>
        <v>300000</v>
      </c>
      <c r="I16" s="705"/>
      <c r="J16" s="705"/>
      <c r="K16" s="705"/>
      <c r="L16" s="705"/>
      <c r="M16" s="705">
        <f t="shared" si="6"/>
        <v>0</v>
      </c>
      <c r="N16" s="705">
        <f t="shared" si="7"/>
        <v>0</v>
      </c>
      <c r="O16" s="705">
        <f>40000+26000</f>
        <v>66000</v>
      </c>
      <c r="P16" s="705">
        <f t="shared" si="8"/>
        <v>234000</v>
      </c>
      <c r="Q16" s="705">
        <f t="shared" si="9"/>
        <v>0</v>
      </c>
      <c r="R16" s="705">
        <f t="shared" si="10"/>
        <v>66000</v>
      </c>
      <c r="S16" s="705">
        <v>40000</v>
      </c>
      <c r="T16" s="705">
        <f t="shared" si="11"/>
        <v>26000</v>
      </c>
      <c r="U16" s="705">
        <f t="shared" si="12"/>
        <v>26000</v>
      </c>
      <c r="V16" s="705"/>
      <c r="W16" s="705"/>
      <c r="X16" s="705"/>
      <c r="Y16" s="705"/>
      <c r="Z16" s="210" t="s">
        <v>1085</v>
      </c>
      <c r="AA16" s="705"/>
      <c r="AB16" s="705"/>
      <c r="AC16" s="705"/>
      <c r="AD16" s="705">
        <v>26000</v>
      </c>
      <c r="AE16" s="209"/>
      <c r="AF16" s="705">
        <f t="shared" si="0"/>
        <v>26000</v>
      </c>
      <c r="AG16" s="705">
        <f t="shared" si="1"/>
        <v>0</v>
      </c>
      <c r="AH16" s="705">
        <f t="shared" si="2"/>
        <v>26000</v>
      </c>
      <c r="AI16" s="705"/>
      <c r="AJ16" s="705"/>
      <c r="AK16" s="705"/>
      <c r="AL16" s="747"/>
      <c r="AM16" s="738"/>
      <c r="AN16" s="209"/>
      <c r="AO16" s="209"/>
      <c r="AP16" s="209"/>
      <c r="AQ16" s="209"/>
      <c r="AR16" s="209"/>
      <c r="AS16" s="209"/>
      <c r="AT16" s="209">
        <f t="shared" si="3"/>
        <v>0</v>
      </c>
      <c r="AU16" s="209"/>
      <c r="AV16" s="209"/>
      <c r="AW16" s="209"/>
      <c r="AX16" s="209"/>
      <c r="AY16" s="718"/>
      <c r="AZ16" s="718"/>
      <c r="BA16" s="718"/>
      <c r="BB16" s="718"/>
      <c r="BC16" s="718"/>
      <c r="BD16" s="718"/>
      <c r="BE16" s="718"/>
      <c r="BF16" s="718"/>
      <c r="BG16" s="718"/>
      <c r="BH16" s="718"/>
      <c r="BI16" s="718"/>
      <c r="BJ16" s="718"/>
      <c r="BK16" s="718"/>
      <c r="BL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</row>
    <row r="17" spans="1:78" s="719" customFormat="1" ht="30" customHeight="1">
      <c r="A17" s="706" t="s">
        <v>1076</v>
      </c>
      <c r="B17" s="730" t="s">
        <v>1077</v>
      </c>
      <c r="C17" s="716">
        <f t="shared" si="4"/>
        <v>10</v>
      </c>
      <c r="D17" s="209">
        <v>1601</v>
      </c>
      <c r="E17" s="222" t="s">
        <v>34</v>
      </c>
      <c r="F17" s="705">
        <v>700000</v>
      </c>
      <c r="G17" s="705">
        <v>700000</v>
      </c>
      <c r="H17" s="705">
        <f t="shared" si="5"/>
        <v>0</v>
      </c>
      <c r="I17" s="705">
        <v>600000</v>
      </c>
      <c r="J17" s="705">
        <f>563211+6789</f>
        <v>570000</v>
      </c>
      <c r="K17" s="705"/>
      <c r="L17" s="705"/>
      <c r="M17" s="705">
        <f t="shared" si="6"/>
        <v>0</v>
      </c>
      <c r="N17" s="705">
        <f t="shared" si="7"/>
        <v>570000</v>
      </c>
      <c r="O17" s="705">
        <f>50000-26000</f>
        <v>24000</v>
      </c>
      <c r="P17" s="705">
        <f t="shared" si="8"/>
        <v>106000</v>
      </c>
      <c r="Q17" s="705">
        <f t="shared" si="9"/>
        <v>30000</v>
      </c>
      <c r="R17" s="705">
        <f t="shared" si="10"/>
        <v>-6000</v>
      </c>
      <c r="S17" s="705">
        <v>20000</v>
      </c>
      <c r="T17" s="705">
        <f t="shared" si="11"/>
        <v>-26000</v>
      </c>
      <c r="U17" s="705">
        <f t="shared" si="12"/>
        <v>-26000</v>
      </c>
      <c r="V17" s="705"/>
      <c r="W17" s="705"/>
      <c r="X17" s="705"/>
      <c r="Y17" s="705"/>
      <c r="Z17" s="210"/>
      <c r="AA17" s="705"/>
      <c r="AB17" s="705"/>
      <c r="AC17" s="705"/>
      <c r="AD17" s="705">
        <v>-6000</v>
      </c>
      <c r="AE17" s="209"/>
      <c r="AF17" s="705">
        <f t="shared" si="0"/>
        <v>-6000</v>
      </c>
      <c r="AG17" s="705">
        <f t="shared" si="1"/>
        <v>-20000</v>
      </c>
      <c r="AH17" s="705">
        <f t="shared" si="2"/>
        <v>-6000</v>
      </c>
      <c r="AI17" s="705"/>
      <c r="AJ17" s="705"/>
      <c r="AK17" s="705"/>
      <c r="AL17" s="747"/>
      <c r="AM17" s="738"/>
      <c r="AN17" s="209"/>
      <c r="AO17" s="209"/>
      <c r="AP17" s="209"/>
      <c r="AQ17" s="209"/>
      <c r="AR17" s="209"/>
      <c r="AS17" s="209"/>
      <c r="AT17" s="209">
        <f t="shared" si="3"/>
        <v>0</v>
      </c>
      <c r="AU17" s="209"/>
      <c r="AV17" s="209"/>
      <c r="AW17" s="209"/>
      <c r="AX17" s="209"/>
      <c r="AY17" s="718"/>
      <c r="AZ17" s="718"/>
      <c r="BA17" s="718"/>
      <c r="BB17" s="718"/>
      <c r="BC17" s="718"/>
      <c r="BD17" s="718"/>
      <c r="BE17" s="718"/>
      <c r="BF17" s="718"/>
      <c r="BG17" s="718"/>
      <c r="BH17" s="718"/>
      <c r="BI17" s="718"/>
      <c r="BJ17" s="718"/>
      <c r="BK17" s="718"/>
      <c r="BL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</row>
    <row r="18" spans="1:78" s="719" customFormat="1" ht="30" customHeight="1">
      <c r="A18" s="706" t="s">
        <v>1086</v>
      </c>
      <c r="B18" s="730" t="s">
        <v>1087</v>
      </c>
      <c r="C18" s="716">
        <f t="shared" si="4"/>
        <v>11</v>
      </c>
      <c r="D18" s="209">
        <v>1129</v>
      </c>
      <c r="E18" s="3" t="s">
        <v>29</v>
      </c>
      <c r="F18" s="705">
        <v>7500000</v>
      </c>
      <c r="G18" s="705"/>
      <c r="H18" s="705">
        <f t="shared" si="5"/>
        <v>7500000</v>
      </c>
      <c r="I18" s="705">
        <v>6891771</v>
      </c>
      <c r="J18" s="705">
        <f>6477605+4166</f>
        <v>6481771</v>
      </c>
      <c r="K18" s="705"/>
      <c r="L18" s="705"/>
      <c r="M18" s="705">
        <f t="shared" si="6"/>
        <v>0</v>
      </c>
      <c r="N18" s="705">
        <f t="shared" si="7"/>
        <v>6481771</v>
      </c>
      <c r="O18" s="705">
        <f>200000+50000</f>
        <v>250000</v>
      </c>
      <c r="P18" s="705">
        <f t="shared" si="8"/>
        <v>768229</v>
      </c>
      <c r="Q18" s="705">
        <f t="shared" si="9"/>
        <v>410000</v>
      </c>
      <c r="R18" s="705">
        <f t="shared" si="10"/>
        <v>-160000</v>
      </c>
      <c r="S18" s="705">
        <v>-210000</v>
      </c>
      <c r="T18" s="705">
        <f t="shared" si="11"/>
        <v>50000</v>
      </c>
      <c r="U18" s="705">
        <f t="shared" si="12"/>
        <v>50000</v>
      </c>
      <c r="V18" s="705"/>
      <c r="W18" s="705"/>
      <c r="X18" s="705"/>
      <c r="Y18" s="705"/>
      <c r="Z18" s="210" t="s">
        <v>1085</v>
      </c>
      <c r="AA18" s="705"/>
      <c r="AB18" s="705"/>
      <c r="AC18" s="705"/>
      <c r="AD18" s="705"/>
      <c r="AE18" s="705">
        <v>50000</v>
      </c>
      <c r="AF18" s="705">
        <f t="shared" si="0"/>
        <v>50000</v>
      </c>
      <c r="AG18" s="705">
        <f t="shared" si="1"/>
        <v>0</v>
      </c>
      <c r="AH18" s="705">
        <f t="shared" si="2"/>
        <v>50000</v>
      </c>
      <c r="AI18" s="705"/>
      <c r="AJ18" s="705"/>
      <c r="AK18" s="705"/>
      <c r="AL18" s="747"/>
      <c r="AM18" s="713"/>
      <c r="AN18" s="705"/>
      <c r="AO18" s="705"/>
      <c r="AP18" s="705"/>
      <c r="AQ18" s="705"/>
      <c r="AR18" s="705"/>
      <c r="AS18" s="705"/>
      <c r="AT18" s="209">
        <f t="shared" si="3"/>
        <v>0</v>
      </c>
      <c r="AU18" s="705"/>
      <c r="AV18" s="705"/>
      <c r="AW18" s="705"/>
      <c r="AX18" s="705"/>
      <c r="AY18" s="718"/>
      <c r="AZ18" s="718"/>
      <c r="BA18" s="718"/>
      <c r="BB18" s="718"/>
      <c r="BC18" s="718"/>
      <c r="BD18" s="718"/>
      <c r="BE18" s="718"/>
      <c r="BF18" s="718"/>
      <c r="BG18" s="718"/>
      <c r="BH18" s="718"/>
      <c r="BI18" s="718"/>
      <c r="BJ18" s="718"/>
      <c r="BK18" s="718"/>
      <c r="BL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</row>
    <row r="19" spans="1:78" s="719" customFormat="1" ht="30" customHeight="1">
      <c r="A19" s="706" t="s">
        <v>1086</v>
      </c>
      <c r="B19" s="730" t="s">
        <v>1087</v>
      </c>
      <c r="C19" s="716">
        <f t="shared" si="4"/>
        <v>12</v>
      </c>
      <c r="D19" s="209">
        <v>1220</v>
      </c>
      <c r="E19" s="222" t="s">
        <v>31</v>
      </c>
      <c r="F19" s="705">
        <v>7260000</v>
      </c>
      <c r="G19" s="705"/>
      <c r="H19" s="705">
        <f t="shared" si="5"/>
        <v>7260000</v>
      </c>
      <c r="I19" s="705">
        <v>6760000</v>
      </c>
      <c r="J19" s="705">
        <f>6470419+581</f>
        <v>6471000</v>
      </c>
      <c r="K19" s="705"/>
      <c r="L19" s="705"/>
      <c r="M19" s="705">
        <f t="shared" si="6"/>
        <v>0</v>
      </c>
      <c r="N19" s="705">
        <f t="shared" si="7"/>
        <v>6471000</v>
      </c>
      <c r="O19" s="705">
        <f>200000+200000</f>
        <v>400000</v>
      </c>
      <c r="P19" s="705">
        <f t="shared" si="8"/>
        <v>389000</v>
      </c>
      <c r="Q19" s="705">
        <f t="shared" si="9"/>
        <v>289000</v>
      </c>
      <c r="R19" s="705">
        <f t="shared" si="10"/>
        <v>111000</v>
      </c>
      <c r="S19" s="705">
        <v>-89000</v>
      </c>
      <c r="T19" s="705">
        <f t="shared" si="11"/>
        <v>200000</v>
      </c>
      <c r="U19" s="705">
        <f t="shared" si="12"/>
        <v>200000</v>
      </c>
      <c r="V19" s="705"/>
      <c r="W19" s="705"/>
      <c r="X19" s="705"/>
      <c r="Y19" s="705"/>
      <c r="Z19" s="210" t="s">
        <v>1085</v>
      </c>
      <c r="AA19" s="705"/>
      <c r="AB19" s="705"/>
      <c r="AC19" s="705"/>
      <c r="AD19" s="705"/>
      <c r="AE19" s="705">
        <v>200000</v>
      </c>
      <c r="AF19" s="705">
        <f t="shared" si="0"/>
        <v>200000</v>
      </c>
      <c r="AG19" s="705">
        <f t="shared" si="1"/>
        <v>0</v>
      </c>
      <c r="AH19" s="705">
        <f t="shared" si="2"/>
        <v>200000</v>
      </c>
      <c r="AI19" s="705"/>
      <c r="AJ19" s="705"/>
      <c r="AK19" s="705"/>
      <c r="AL19" s="747"/>
      <c r="AM19" s="713"/>
      <c r="AN19" s="705"/>
      <c r="AO19" s="705"/>
      <c r="AP19" s="705"/>
      <c r="AQ19" s="705"/>
      <c r="AR19" s="705"/>
      <c r="AS19" s="705"/>
      <c r="AT19" s="209">
        <f t="shared" si="3"/>
        <v>0</v>
      </c>
      <c r="AU19" s="705"/>
      <c r="AV19" s="705"/>
      <c r="AW19" s="705"/>
      <c r="AX19" s="705"/>
      <c r="AY19" s="718"/>
      <c r="AZ19" s="718"/>
      <c r="BA19" s="718"/>
      <c r="BB19" s="718"/>
      <c r="BC19" s="718"/>
      <c r="BD19" s="718"/>
      <c r="BE19" s="718"/>
      <c r="BF19" s="718"/>
      <c r="BG19" s="718"/>
      <c r="BH19" s="718"/>
      <c r="BI19" s="718"/>
      <c r="BJ19" s="718"/>
      <c r="BK19" s="718"/>
      <c r="BL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</row>
    <row r="20" spans="1:78" s="719" customFormat="1" ht="30" customHeight="1">
      <c r="A20" s="706" t="s">
        <v>1086</v>
      </c>
      <c r="B20" s="730" t="s">
        <v>1087</v>
      </c>
      <c r="C20" s="716">
        <f t="shared" si="4"/>
        <v>13</v>
      </c>
      <c r="D20" s="209">
        <v>1407</v>
      </c>
      <c r="E20" s="222" t="s">
        <v>18</v>
      </c>
      <c r="F20" s="705">
        <v>5295000</v>
      </c>
      <c r="G20" s="705"/>
      <c r="H20" s="705">
        <f t="shared" si="5"/>
        <v>5295000</v>
      </c>
      <c r="I20" s="705">
        <v>4145000</v>
      </c>
      <c r="J20" s="705">
        <f>3761797+3203</f>
        <v>3765000</v>
      </c>
      <c r="K20" s="705"/>
      <c r="L20" s="705"/>
      <c r="M20" s="705">
        <f t="shared" si="6"/>
        <v>0</v>
      </c>
      <c r="N20" s="705">
        <f t="shared" si="7"/>
        <v>3765000</v>
      </c>
      <c r="O20" s="705">
        <f>200000+64000</f>
        <v>264000</v>
      </c>
      <c r="P20" s="705">
        <f t="shared" si="8"/>
        <v>1266000</v>
      </c>
      <c r="Q20" s="705">
        <f t="shared" si="9"/>
        <v>380000</v>
      </c>
      <c r="R20" s="705">
        <f t="shared" si="10"/>
        <v>-116000</v>
      </c>
      <c r="S20" s="705">
        <v>-180000</v>
      </c>
      <c r="T20" s="705">
        <f t="shared" si="11"/>
        <v>64000</v>
      </c>
      <c r="U20" s="705">
        <f t="shared" si="12"/>
        <v>64000</v>
      </c>
      <c r="V20" s="705"/>
      <c r="W20" s="705"/>
      <c r="X20" s="705"/>
      <c r="Y20" s="705"/>
      <c r="Z20" s="210" t="s">
        <v>1085</v>
      </c>
      <c r="AA20" s="705"/>
      <c r="AB20" s="705"/>
      <c r="AC20" s="705"/>
      <c r="AD20" s="705"/>
      <c r="AE20" s="705">
        <v>64000</v>
      </c>
      <c r="AF20" s="705">
        <f t="shared" si="0"/>
        <v>64000</v>
      </c>
      <c r="AG20" s="705">
        <f t="shared" si="1"/>
        <v>0</v>
      </c>
      <c r="AH20" s="705">
        <f t="shared" si="2"/>
        <v>64000</v>
      </c>
      <c r="AI20" s="705"/>
      <c r="AJ20" s="705"/>
      <c r="AK20" s="705"/>
      <c r="AL20" s="747"/>
      <c r="AM20" s="713"/>
      <c r="AN20" s="705"/>
      <c r="AO20" s="705"/>
      <c r="AP20" s="705"/>
      <c r="AQ20" s="705"/>
      <c r="AR20" s="705"/>
      <c r="AS20" s="705"/>
      <c r="AT20" s="209">
        <f t="shared" si="3"/>
        <v>0</v>
      </c>
      <c r="AU20" s="705"/>
      <c r="AV20" s="705"/>
      <c r="AW20" s="705"/>
      <c r="AX20" s="705"/>
      <c r="AY20" s="718"/>
      <c r="AZ20" s="718"/>
      <c r="BA20" s="718"/>
      <c r="BB20" s="718"/>
      <c r="BC20" s="718"/>
      <c r="BD20" s="718"/>
      <c r="BE20" s="718"/>
      <c r="BF20" s="718"/>
      <c r="BG20" s="718"/>
      <c r="BH20" s="718"/>
      <c r="BI20" s="718"/>
      <c r="BJ20" s="718"/>
      <c r="BK20" s="718"/>
      <c r="BL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</row>
    <row r="21" spans="1:78" s="719" customFormat="1" ht="30" customHeight="1">
      <c r="A21" s="706" t="s">
        <v>1086</v>
      </c>
      <c r="B21" s="730" t="s">
        <v>1087</v>
      </c>
      <c r="C21" s="716">
        <f t="shared" si="4"/>
        <v>14</v>
      </c>
      <c r="D21" s="209">
        <v>1660</v>
      </c>
      <c r="E21" s="222" t="s">
        <v>20</v>
      </c>
      <c r="F21" s="705">
        <v>2000000</v>
      </c>
      <c r="G21" s="705"/>
      <c r="H21" s="705">
        <f t="shared" si="5"/>
        <v>2000000</v>
      </c>
      <c r="I21" s="705">
        <v>1300000</v>
      </c>
      <c r="J21" s="705">
        <f>1081347+653</f>
        <v>1082000</v>
      </c>
      <c r="K21" s="705"/>
      <c r="L21" s="705"/>
      <c r="M21" s="705">
        <f t="shared" si="6"/>
        <v>0</v>
      </c>
      <c r="N21" s="705">
        <f t="shared" si="7"/>
        <v>1082000</v>
      </c>
      <c r="O21" s="705">
        <f>100000+150000</f>
        <v>250000</v>
      </c>
      <c r="P21" s="705">
        <f t="shared" si="8"/>
        <v>668000</v>
      </c>
      <c r="Q21" s="705">
        <f t="shared" si="9"/>
        <v>218000</v>
      </c>
      <c r="R21" s="705">
        <f t="shared" si="10"/>
        <v>32000</v>
      </c>
      <c r="S21" s="705">
        <v>-118000</v>
      </c>
      <c r="T21" s="705">
        <f t="shared" si="11"/>
        <v>150000</v>
      </c>
      <c r="U21" s="705">
        <f t="shared" si="12"/>
        <v>150000</v>
      </c>
      <c r="V21" s="705"/>
      <c r="W21" s="705"/>
      <c r="X21" s="705"/>
      <c r="Y21" s="705"/>
      <c r="Z21" s="210" t="s">
        <v>1085</v>
      </c>
      <c r="AA21" s="705"/>
      <c r="AB21" s="705"/>
      <c r="AC21" s="705"/>
      <c r="AD21" s="705"/>
      <c r="AE21" s="705">
        <v>150000</v>
      </c>
      <c r="AF21" s="705">
        <f t="shared" si="0"/>
        <v>150000</v>
      </c>
      <c r="AG21" s="705">
        <f t="shared" si="1"/>
        <v>0</v>
      </c>
      <c r="AH21" s="705">
        <f t="shared" si="2"/>
        <v>150000</v>
      </c>
      <c r="AI21" s="705"/>
      <c r="AJ21" s="705"/>
      <c r="AK21" s="705"/>
      <c r="AL21" s="747"/>
      <c r="AM21" s="713"/>
      <c r="AN21" s="705"/>
      <c r="AO21" s="705"/>
      <c r="AP21" s="705"/>
      <c r="AQ21" s="705"/>
      <c r="AR21" s="705"/>
      <c r="AS21" s="705"/>
      <c r="AT21" s="209">
        <f t="shared" si="3"/>
        <v>0</v>
      </c>
      <c r="AU21" s="705"/>
      <c r="AV21" s="705"/>
      <c r="AW21" s="705"/>
      <c r="AX21" s="705"/>
      <c r="AY21" s="718"/>
      <c r="AZ21" s="718"/>
      <c r="BA21" s="718"/>
      <c r="BB21" s="718"/>
      <c r="BC21" s="718"/>
      <c r="BD21" s="718"/>
      <c r="BE21" s="718"/>
      <c r="BF21" s="718"/>
      <c r="BG21" s="718"/>
      <c r="BH21" s="718"/>
      <c r="BI21" s="718"/>
      <c r="BJ21" s="718"/>
      <c r="BK21" s="718"/>
      <c r="BL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</row>
    <row r="22" spans="1:78" s="719" customFormat="1" ht="30" customHeight="1">
      <c r="A22" s="706" t="s">
        <v>1086</v>
      </c>
      <c r="B22" s="730" t="s">
        <v>1087</v>
      </c>
      <c r="C22" s="716">
        <f t="shared" si="4"/>
        <v>15</v>
      </c>
      <c r="D22" s="209">
        <v>1744</v>
      </c>
      <c r="E22" s="222" t="s">
        <v>35</v>
      </c>
      <c r="F22" s="705">
        <v>13000000</v>
      </c>
      <c r="G22" s="705"/>
      <c r="H22" s="705">
        <f t="shared" si="5"/>
        <v>13000000</v>
      </c>
      <c r="I22" s="705">
        <v>7200000</v>
      </c>
      <c r="J22" s="705">
        <f>6742047+7953</f>
        <v>6750000</v>
      </c>
      <c r="K22" s="705"/>
      <c r="L22" s="705"/>
      <c r="M22" s="705">
        <f t="shared" si="6"/>
        <v>0</v>
      </c>
      <c r="N22" s="705">
        <f t="shared" si="7"/>
        <v>6750000</v>
      </c>
      <c r="O22" s="705">
        <f>200000+200000</f>
        <v>400000</v>
      </c>
      <c r="P22" s="705">
        <f t="shared" si="8"/>
        <v>5850000</v>
      </c>
      <c r="Q22" s="705">
        <f t="shared" si="9"/>
        <v>450000</v>
      </c>
      <c r="R22" s="705">
        <f t="shared" si="10"/>
        <v>-50000</v>
      </c>
      <c r="S22" s="705">
        <v>-250000</v>
      </c>
      <c r="T22" s="705">
        <f t="shared" si="11"/>
        <v>200000</v>
      </c>
      <c r="U22" s="705">
        <f t="shared" si="12"/>
        <v>200000</v>
      </c>
      <c r="V22" s="705"/>
      <c r="W22" s="705"/>
      <c r="X22" s="705"/>
      <c r="Y22" s="705"/>
      <c r="Z22" s="210" t="s">
        <v>1085</v>
      </c>
      <c r="AA22" s="705"/>
      <c r="AB22" s="705"/>
      <c r="AC22" s="705"/>
      <c r="AD22" s="705"/>
      <c r="AE22" s="705">
        <v>200000</v>
      </c>
      <c r="AF22" s="705">
        <f t="shared" si="0"/>
        <v>200000</v>
      </c>
      <c r="AG22" s="705">
        <f t="shared" si="1"/>
        <v>0</v>
      </c>
      <c r="AH22" s="705">
        <f t="shared" si="2"/>
        <v>200000</v>
      </c>
      <c r="AI22" s="705"/>
      <c r="AJ22" s="705"/>
      <c r="AK22" s="705"/>
      <c r="AL22" s="747"/>
      <c r="AM22" s="713"/>
      <c r="AN22" s="705"/>
      <c r="AO22" s="705"/>
      <c r="AP22" s="705"/>
      <c r="AQ22" s="705"/>
      <c r="AR22" s="705"/>
      <c r="AS22" s="705"/>
      <c r="AT22" s="209">
        <f t="shared" si="3"/>
        <v>0</v>
      </c>
      <c r="AU22" s="705"/>
      <c r="AV22" s="705"/>
      <c r="AW22" s="705"/>
      <c r="AX22" s="705"/>
      <c r="AY22" s="718"/>
      <c r="AZ22" s="718"/>
      <c r="BA22" s="718"/>
      <c r="BB22" s="718"/>
      <c r="BC22" s="718"/>
      <c r="BD22" s="718"/>
      <c r="BE22" s="718"/>
      <c r="BF22" s="718"/>
      <c r="BG22" s="718"/>
      <c r="BH22" s="718"/>
      <c r="BI22" s="718"/>
      <c r="BJ22" s="718"/>
      <c r="BK22" s="718"/>
      <c r="BL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</row>
    <row r="23" spans="1:78" s="719" customFormat="1" ht="30" customHeight="1">
      <c r="A23" s="706" t="s">
        <v>1086</v>
      </c>
      <c r="B23" s="730" t="s">
        <v>1087</v>
      </c>
      <c r="C23" s="716">
        <f t="shared" si="4"/>
        <v>16</v>
      </c>
      <c r="D23" s="209">
        <v>507</v>
      </c>
      <c r="E23" s="222" t="s">
        <v>36</v>
      </c>
      <c r="F23" s="705">
        <f>1965000-11000</f>
        <v>1954000</v>
      </c>
      <c r="G23" s="705">
        <v>1965000</v>
      </c>
      <c r="H23" s="705">
        <f t="shared" si="5"/>
        <v>-11000</v>
      </c>
      <c r="I23" s="705">
        <v>1965000</v>
      </c>
      <c r="J23" s="705">
        <f>1763780+1220</f>
        <v>1765000</v>
      </c>
      <c r="K23" s="705"/>
      <c r="L23" s="705"/>
      <c r="M23" s="705">
        <f t="shared" si="6"/>
        <v>0</v>
      </c>
      <c r="N23" s="705">
        <f t="shared" si="7"/>
        <v>1765000</v>
      </c>
      <c r="O23" s="705">
        <f>-11000</f>
        <v>-11000</v>
      </c>
      <c r="P23" s="705">
        <f t="shared" si="8"/>
        <v>200000</v>
      </c>
      <c r="Q23" s="705">
        <f t="shared" si="9"/>
        <v>200000</v>
      </c>
      <c r="R23" s="705">
        <f t="shared" si="10"/>
        <v>-211000</v>
      </c>
      <c r="S23" s="705">
        <v>-200000</v>
      </c>
      <c r="T23" s="705">
        <f t="shared" si="11"/>
        <v>-11000</v>
      </c>
      <c r="U23" s="705">
        <f t="shared" si="12"/>
        <v>-11000</v>
      </c>
      <c r="V23" s="705"/>
      <c r="W23" s="705"/>
      <c r="X23" s="705"/>
      <c r="Y23" s="705"/>
      <c r="Z23" s="210" t="s">
        <v>1088</v>
      </c>
      <c r="AA23" s="705"/>
      <c r="AB23" s="705"/>
      <c r="AC23" s="705"/>
      <c r="AD23" s="705"/>
      <c r="AE23" s="705">
        <v>-11000</v>
      </c>
      <c r="AF23" s="705">
        <f t="shared" si="0"/>
        <v>-11000</v>
      </c>
      <c r="AG23" s="705">
        <f t="shared" si="1"/>
        <v>0</v>
      </c>
      <c r="AH23" s="705">
        <f t="shared" si="2"/>
        <v>-11000</v>
      </c>
      <c r="AI23" s="705"/>
      <c r="AJ23" s="705"/>
      <c r="AK23" s="705"/>
      <c r="AL23" s="747"/>
      <c r="AM23" s="713"/>
      <c r="AN23" s="705"/>
      <c r="AO23" s="705"/>
      <c r="AP23" s="705"/>
      <c r="AQ23" s="705"/>
      <c r="AR23" s="705"/>
      <c r="AS23" s="705">
        <v>-11000</v>
      </c>
      <c r="AT23" s="705">
        <f t="shared" si="3"/>
        <v>-11000</v>
      </c>
      <c r="AU23" s="705"/>
      <c r="AV23" s="705"/>
      <c r="AW23" s="705"/>
      <c r="AX23" s="705"/>
      <c r="AY23" s="718"/>
      <c r="AZ23" s="718"/>
      <c r="BA23" s="718"/>
      <c r="BB23" s="718"/>
      <c r="BC23" s="718"/>
      <c r="BD23" s="718"/>
      <c r="BE23" s="718"/>
      <c r="BF23" s="718"/>
      <c r="BG23" s="718"/>
      <c r="BH23" s="718"/>
      <c r="BI23" s="718"/>
      <c r="BJ23" s="718"/>
      <c r="BK23" s="718"/>
      <c r="BL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</row>
    <row r="24" spans="1:78" s="719" customFormat="1" ht="30" customHeight="1">
      <c r="A24" s="706" t="s">
        <v>1086</v>
      </c>
      <c r="B24" s="730" t="s">
        <v>1087</v>
      </c>
      <c r="C24" s="716">
        <f t="shared" si="4"/>
        <v>17</v>
      </c>
      <c r="D24" s="209">
        <v>1100</v>
      </c>
      <c r="E24" s="222" t="s">
        <v>17</v>
      </c>
      <c r="F24" s="705">
        <f>6650000-13000</f>
        <v>6637000</v>
      </c>
      <c r="G24" s="705">
        <v>6650000</v>
      </c>
      <c r="H24" s="705">
        <f t="shared" si="5"/>
        <v>-13000</v>
      </c>
      <c r="I24" s="705">
        <v>6650000</v>
      </c>
      <c r="J24" s="705">
        <f>6636801+13199</f>
        <v>6650000</v>
      </c>
      <c r="K24" s="705"/>
      <c r="L24" s="705"/>
      <c r="M24" s="705">
        <f t="shared" si="6"/>
        <v>0</v>
      </c>
      <c r="N24" s="705">
        <f t="shared" si="7"/>
        <v>6650000</v>
      </c>
      <c r="O24" s="705">
        <f>-13000</f>
        <v>-13000</v>
      </c>
      <c r="P24" s="705">
        <f t="shared" si="8"/>
        <v>0</v>
      </c>
      <c r="Q24" s="705">
        <f t="shared" si="9"/>
        <v>0</v>
      </c>
      <c r="R24" s="705">
        <f t="shared" si="10"/>
        <v>-13000</v>
      </c>
      <c r="S24" s="705"/>
      <c r="T24" s="705">
        <f t="shared" si="11"/>
        <v>-13000</v>
      </c>
      <c r="U24" s="705">
        <f t="shared" si="12"/>
        <v>-13000</v>
      </c>
      <c r="V24" s="705"/>
      <c r="W24" s="705"/>
      <c r="X24" s="705"/>
      <c r="Y24" s="705"/>
      <c r="Z24" s="210" t="s">
        <v>1089</v>
      </c>
      <c r="AA24" s="705"/>
      <c r="AB24" s="705"/>
      <c r="AC24" s="705"/>
      <c r="AD24" s="705"/>
      <c r="AE24" s="705">
        <v>-13000</v>
      </c>
      <c r="AF24" s="705">
        <f t="shared" si="0"/>
        <v>-13000</v>
      </c>
      <c r="AG24" s="705">
        <f t="shared" si="1"/>
        <v>0</v>
      </c>
      <c r="AH24" s="705">
        <f t="shared" si="2"/>
        <v>-13000</v>
      </c>
      <c r="AI24" s="705"/>
      <c r="AJ24" s="705"/>
      <c r="AK24" s="705"/>
      <c r="AL24" s="747"/>
      <c r="AM24" s="713"/>
      <c r="AN24" s="705"/>
      <c r="AO24" s="705"/>
      <c r="AP24" s="705"/>
      <c r="AQ24" s="705"/>
      <c r="AR24" s="705"/>
      <c r="AS24" s="705">
        <v>-13000</v>
      </c>
      <c r="AT24" s="705">
        <f t="shared" si="3"/>
        <v>-13000</v>
      </c>
      <c r="AU24" s="705"/>
      <c r="AV24" s="705"/>
      <c r="AW24" s="705"/>
      <c r="AX24" s="705"/>
      <c r="AY24" s="718"/>
      <c r="AZ24" s="718"/>
      <c r="BA24" s="718"/>
      <c r="BB24" s="718"/>
      <c r="BC24" s="718"/>
      <c r="BD24" s="718"/>
      <c r="BE24" s="718"/>
      <c r="BF24" s="718"/>
      <c r="BG24" s="718"/>
      <c r="BH24" s="718"/>
      <c r="BI24" s="718"/>
      <c r="BJ24" s="718"/>
      <c r="BK24" s="718"/>
      <c r="BL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</row>
    <row r="25" spans="1:78" s="719" customFormat="1" ht="30" customHeight="1">
      <c r="A25" s="706" t="s">
        <v>1086</v>
      </c>
      <c r="B25" s="730" t="s">
        <v>1087</v>
      </c>
      <c r="C25" s="716">
        <f t="shared" si="4"/>
        <v>18</v>
      </c>
      <c r="D25" s="209">
        <v>1466</v>
      </c>
      <c r="E25" s="222" t="s">
        <v>19</v>
      </c>
      <c r="F25" s="705">
        <v>2200000</v>
      </c>
      <c r="G25" s="705">
        <v>2200000</v>
      </c>
      <c r="H25" s="705">
        <f t="shared" si="5"/>
        <v>0</v>
      </c>
      <c r="I25" s="705">
        <v>1600000</v>
      </c>
      <c r="J25" s="705">
        <f>1578722+1278</f>
        <v>1580000</v>
      </c>
      <c r="K25" s="705"/>
      <c r="L25" s="705"/>
      <c r="M25" s="705">
        <f t="shared" si="6"/>
        <v>0</v>
      </c>
      <c r="N25" s="705">
        <f t="shared" si="7"/>
        <v>1580000</v>
      </c>
      <c r="O25" s="705">
        <f>50000-30000</f>
        <v>20000</v>
      </c>
      <c r="P25" s="705">
        <f t="shared" si="8"/>
        <v>600000</v>
      </c>
      <c r="Q25" s="705">
        <f t="shared" si="9"/>
        <v>20000</v>
      </c>
      <c r="R25" s="705">
        <f t="shared" si="10"/>
        <v>0</v>
      </c>
      <c r="S25" s="705">
        <v>30000</v>
      </c>
      <c r="T25" s="705">
        <f t="shared" si="11"/>
        <v>-30000</v>
      </c>
      <c r="U25" s="705">
        <f t="shared" si="12"/>
        <v>-30000</v>
      </c>
      <c r="V25" s="705"/>
      <c r="W25" s="705"/>
      <c r="X25" s="705"/>
      <c r="Y25" s="705"/>
      <c r="Z25" s="210" t="s">
        <v>1084</v>
      </c>
      <c r="AA25" s="705"/>
      <c r="AB25" s="705"/>
      <c r="AC25" s="705"/>
      <c r="AD25" s="705"/>
      <c r="AE25" s="705"/>
      <c r="AF25" s="705">
        <f t="shared" si="0"/>
        <v>0</v>
      </c>
      <c r="AG25" s="705">
        <f t="shared" si="1"/>
        <v>-30000</v>
      </c>
      <c r="AH25" s="705">
        <f t="shared" si="2"/>
        <v>0</v>
      </c>
      <c r="AI25" s="705"/>
      <c r="AJ25" s="705"/>
      <c r="AK25" s="705"/>
      <c r="AL25" s="747"/>
      <c r="AM25" s="713"/>
      <c r="AN25" s="705"/>
      <c r="AO25" s="705"/>
      <c r="AP25" s="705"/>
      <c r="AQ25" s="705"/>
      <c r="AR25" s="705"/>
      <c r="AS25" s="705"/>
      <c r="AT25" s="705">
        <f t="shared" si="3"/>
        <v>0</v>
      </c>
      <c r="AU25" s="705"/>
      <c r="AV25" s="705"/>
      <c r="AW25" s="705"/>
      <c r="AX25" s="705"/>
      <c r="AY25" s="718"/>
      <c r="AZ25" s="718"/>
      <c r="BA25" s="718"/>
      <c r="BB25" s="718"/>
      <c r="BC25" s="718"/>
      <c r="BD25" s="718"/>
      <c r="BE25" s="718"/>
      <c r="BF25" s="718"/>
      <c r="BG25" s="718"/>
      <c r="BH25" s="718"/>
      <c r="BI25" s="718"/>
      <c r="BJ25" s="718"/>
      <c r="BK25" s="718"/>
      <c r="BL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</row>
    <row r="26" spans="1:78" s="719" customFormat="1" ht="30" customHeight="1">
      <c r="A26" s="706" t="s">
        <v>1086</v>
      </c>
      <c r="B26" s="730" t="s">
        <v>1087</v>
      </c>
      <c r="C26" s="716">
        <f t="shared" si="4"/>
        <v>19</v>
      </c>
      <c r="D26" s="209">
        <v>1587</v>
      </c>
      <c r="E26" s="222" t="s">
        <v>77</v>
      </c>
      <c r="F26" s="705">
        <v>34200000</v>
      </c>
      <c r="G26" s="705">
        <v>34200000</v>
      </c>
      <c r="H26" s="705">
        <f t="shared" si="5"/>
        <v>0</v>
      </c>
      <c r="I26" s="705">
        <v>15110000</v>
      </c>
      <c r="J26" s="705">
        <f>13534734+75266</f>
        <v>13610000</v>
      </c>
      <c r="K26" s="705"/>
      <c r="L26" s="705"/>
      <c r="M26" s="705">
        <f t="shared" ref="M26:M27" si="13">SUM(K26:L26)</f>
        <v>0</v>
      </c>
      <c r="N26" s="705">
        <f t="shared" si="7"/>
        <v>13610000</v>
      </c>
      <c r="O26" s="705">
        <f>2500000-1000000-1200000-400000</f>
        <v>-100000</v>
      </c>
      <c r="P26" s="705">
        <f t="shared" si="8"/>
        <v>20690000</v>
      </c>
      <c r="Q26" s="705">
        <f t="shared" si="9"/>
        <v>1500000</v>
      </c>
      <c r="R26" s="705">
        <f t="shared" si="10"/>
        <v>-1600000</v>
      </c>
      <c r="S26" s="705">
        <v>-1200000</v>
      </c>
      <c r="T26" s="705">
        <f t="shared" si="11"/>
        <v>-400000</v>
      </c>
      <c r="U26" s="705">
        <f t="shared" si="12"/>
        <v>-400000</v>
      </c>
      <c r="V26" s="705"/>
      <c r="W26" s="705"/>
      <c r="X26" s="705"/>
      <c r="Y26" s="705"/>
      <c r="Z26" s="210" t="s">
        <v>1081</v>
      </c>
      <c r="AA26" s="705"/>
      <c r="AB26" s="705"/>
      <c r="AC26" s="705"/>
      <c r="AD26" s="705"/>
      <c r="AE26" s="705">
        <v>-400000</v>
      </c>
      <c r="AF26" s="705">
        <f t="shared" si="0"/>
        <v>-400000</v>
      </c>
      <c r="AG26" s="705">
        <f t="shared" si="1"/>
        <v>0</v>
      </c>
      <c r="AH26" s="705">
        <f t="shared" si="2"/>
        <v>-400000</v>
      </c>
      <c r="AI26" s="705"/>
      <c r="AJ26" s="705"/>
      <c r="AK26" s="705"/>
      <c r="AL26" s="747"/>
      <c r="AM26" s="713"/>
      <c r="AN26" s="705"/>
      <c r="AO26" s="705"/>
      <c r="AP26" s="705"/>
      <c r="AQ26" s="705"/>
      <c r="AR26" s="705"/>
      <c r="AS26" s="705">
        <v>-400000</v>
      </c>
      <c r="AT26" s="705">
        <f t="shared" si="3"/>
        <v>-400000</v>
      </c>
      <c r="AU26" s="705"/>
      <c r="AV26" s="705"/>
      <c r="AW26" s="705"/>
      <c r="AX26" s="705"/>
      <c r="AY26" s="718"/>
      <c r="AZ26" s="718"/>
      <c r="BA26" s="718"/>
      <c r="BB26" s="718"/>
      <c r="BC26" s="718"/>
      <c r="BD26" s="718"/>
      <c r="BE26" s="718"/>
      <c r="BF26" s="718"/>
      <c r="BG26" s="718"/>
      <c r="BH26" s="718"/>
      <c r="BI26" s="718"/>
      <c r="BJ26" s="718"/>
      <c r="BK26" s="718"/>
      <c r="BL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</row>
    <row r="27" spans="1:78" s="719" customFormat="1" ht="30" customHeight="1">
      <c r="A27" s="706" t="s">
        <v>1086</v>
      </c>
      <c r="B27" s="730" t="s">
        <v>1087</v>
      </c>
      <c r="C27" s="716">
        <f t="shared" si="4"/>
        <v>20</v>
      </c>
      <c r="D27" s="209">
        <v>1601</v>
      </c>
      <c r="E27" s="222" t="s">
        <v>34</v>
      </c>
      <c r="F27" s="705">
        <v>700000</v>
      </c>
      <c r="G27" s="705">
        <v>700000</v>
      </c>
      <c r="H27" s="705">
        <f t="shared" si="5"/>
        <v>0</v>
      </c>
      <c r="I27" s="705">
        <v>600000</v>
      </c>
      <c r="J27" s="705">
        <f>563211+6789</f>
        <v>570000</v>
      </c>
      <c r="K27" s="705"/>
      <c r="L27" s="705"/>
      <c r="M27" s="705">
        <f t="shared" si="13"/>
        <v>0</v>
      </c>
      <c r="N27" s="705">
        <f t="shared" si="7"/>
        <v>570000</v>
      </c>
      <c r="O27" s="705">
        <f>50000-26000-20000</f>
        <v>4000</v>
      </c>
      <c r="P27" s="705">
        <f t="shared" si="8"/>
        <v>126000</v>
      </c>
      <c r="Q27" s="705">
        <f t="shared" si="9"/>
        <v>30000</v>
      </c>
      <c r="R27" s="705">
        <f t="shared" si="10"/>
        <v>-26000</v>
      </c>
      <c r="S27" s="705">
        <v>-6000</v>
      </c>
      <c r="T27" s="705">
        <f t="shared" si="11"/>
        <v>-20000</v>
      </c>
      <c r="U27" s="705">
        <f t="shared" si="12"/>
        <v>-20000</v>
      </c>
      <c r="V27" s="705"/>
      <c r="W27" s="705"/>
      <c r="X27" s="705"/>
      <c r="Y27" s="705"/>
      <c r="Z27" s="210" t="s">
        <v>1081</v>
      </c>
      <c r="AA27" s="705"/>
      <c r="AB27" s="705"/>
      <c r="AC27" s="705"/>
      <c r="AD27" s="705"/>
      <c r="AE27" s="705">
        <v>-20000</v>
      </c>
      <c r="AF27" s="705">
        <f t="shared" si="0"/>
        <v>-20000</v>
      </c>
      <c r="AG27" s="705">
        <f t="shared" si="1"/>
        <v>0</v>
      </c>
      <c r="AH27" s="705">
        <f t="shared" si="2"/>
        <v>-20000</v>
      </c>
      <c r="AI27" s="705"/>
      <c r="AJ27" s="705"/>
      <c r="AK27" s="705"/>
      <c r="AL27" s="747"/>
      <c r="AM27" s="713"/>
      <c r="AN27" s="705"/>
      <c r="AO27" s="705"/>
      <c r="AP27" s="705"/>
      <c r="AQ27" s="705"/>
      <c r="AR27" s="705"/>
      <c r="AS27" s="705">
        <v>-20000</v>
      </c>
      <c r="AT27" s="705">
        <f t="shared" si="3"/>
        <v>-20000</v>
      </c>
      <c r="AU27" s="705"/>
      <c r="AV27" s="705"/>
      <c r="AW27" s="705"/>
      <c r="AX27" s="705"/>
      <c r="AY27" s="718"/>
      <c r="AZ27" s="718"/>
      <c r="BA27" s="718"/>
      <c r="BB27" s="718"/>
      <c r="BC27" s="718"/>
      <c r="BD27" s="718"/>
      <c r="BE27" s="718"/>
      <c r="BF27" s="718"/>
      <c r="BG27" s="718"/>
      <c r="BH27" s="718"/>
      <c r="BI27" s="718"/>
      <c r="BJ27" s="718"/>
      <c r="BK27" s="718"/>
      <c r="BL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</row>
    <row r="28" spans="1:78" s="719" customFormat="1" ht="30" customHeight="1">
      <c r="A28" s="706" t="s">
        <v>1086</v>
      </c>
      <c r="B28" s="730" t="s">
        <v>1087</v>
      </c>
      <c r="C28" s="716">
        <f t="shared" si="4"/>
        <v>21</v>
      </c>
      <c r="D28" s="209">
        <v>20001</v>
      </c>
      <c r="E28" s="222" t="s">
        <v>453</v>
      </c>
      <c r="F28" s="705">
        <v>3200000</v>
      </c>
      <c r="G28" s="705">
        <v>3200000</v>
      </c>
      <c r="H28" s="705">
        <f t="shared" si="5"/>
        <v>0</v>
      </c>
      <c r="I28" s="705">
        <v>150000</v>
      </c>
      <c r="J28" s="705">
        <f>108768+41232</f>
        <v>150000</v>
      </c>
      <c r="K28" s="705"/>
      <c r="L28" s="705"/>
      <c r="M28" s="705">
        <f t="shared" ref="M28" si="14">SUM(K28:L28)</f>
        <v>0</v>
      </c>
      <c r="N28" s="705">
        <f t="shared" si="7"/>
        <v>150000</v>
      </c>
      <c r="O28" s="705">
        <f>-40000</f>
        <v>-40000</v>
      </c>
      <c r="P28" s="705">
        <f t="shared" si="8"/>
        <v>3090000</v>
      </c>
      <c r="Q28" s="705">
        <f t="shared" si="9"/>
        <v>0</v>
      </c>
      <c r="R28" s="705">
        <f t="shared" si="10"/>
        <v>-40000</v>
      </c>
      <c r="S28" s="705"/>
      <c r="T28" s="705">
        <f t="shared" si="11"/>
        <v>-40000</v>
      </c>
      <c r="U28" s="705">
        <f t="shared" si="12"/>
        <v>-40000</v>
      </c>
      <c r="V28" s="705"/>
      <c r="W28" s="705"/>
      <c r="X28" s="705"/>
      <c r="Y28" s="705"/>
      <c r="Z28" s="210" t="s">
        <v>1081</v>
      </c>
      <c r="AA28" s="705"/>
      <c r="AB28" s="705"/>
      <c r="AC28" s="705"/>
      <c r="AD28" s="705"/>
      <c r="AE28" s="705">
        <v>-40000</v>
      </c>
      <c r="AF28" s="705">
        <f t="shared" si="0"/>
        <v>-40000</v>
      </c>
      <c r="AG28" s="705">
        <f t="shared" si="1"/>
        <v>0</v>
      </c>
      <c r="AH28" s="705">
        <f t="shared" si="2"/>
        <v>-40000</v>
      </c>
      <c r="AI28" s="705"/>
      <c r="AJ28" s="705"/>
      <c r="AK28" s="705"/>
      <c r="AL28" s="747"/>
      <c r="AM28" s="713"/>
      <c r="AN28" s="705"/>
      <c r="AO28" s="705"/>
      <c r="AP28" s="705"/>
      <c r="AQ28" s="705"/>
      <c r="AR28" s="705"/>
      <c r="AS28" s="705">
        <v>-40000</v>
      </c>
      <c r="AT28" s="705">
        <f t="shared" si="3"/>
        <v>-40000</v>
      </c>
      <c r="AU28" s="705"/>
      <c r="AV28" s="705"/>
      <c r="AW28" s="705"/>
      <c r="AX28" s="705"/>
      <c r="AY28" s="718"/>
      <c r="AZ28" s="718"/>
      <c r="BA28" s="718"/>
      <c r="BB28" s="718"/>
      <c r="BC28" s="718"/>
      <c r="BD28" s="718"/>
      <c r="BE28" s="718"/>
      <c r="BF28" s="718"/>
      <c r="BG28" s="718"/>
      <c r="BH28" s="718"/>
      <c r="BI28" s="718"/>
      <c r="BJ28" s="718"/>
      <c r="BK28" s="718"/>
      <c r="BL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</row>
    <row r="29" spans="1:78" s="719" customFormat="1" ht="30" customHeight="1">
      <c r="A29" s="706" t="s">
        <v>1086</v>
      </c>
      <c r="B29" s="730" t="s">
        <v>1087</v>
      </c>
      <c r="C29" s="716">
        <f t="shared" si="4"/>
        <v>22</v>
      </c>
      <c r="D29" s="209">
        <v>20061</v>
      </c>
      <c r="E29" s="222" t="s">
        <v>511</v>
      </c>
      <c r="F29" s="705">
        <v>700000</v>
      </c>
      <c r="G29" s="705">
        <v>700000</v>
      </c>
      <c r="H29" s="705">
        <f t="shared" si="5"/>
        <v>0</v>
      </c>
      <c r="I29" s="705"/>
      <c r="J29" s="705"/>
      <c r="K29" s="705"/>
      <c r="L29" s="705"/>
      <c r="M29" s="705">
        <f t="shared" ref="M29:M30" si="15">SUM(K29:L29)</f>
        <v>0</v>
      </c>
      <c r="N29" s="705">
        <f t="shared" si="7"/>
        <v>0</v>
      </c>
      <c r="O29" s="705"/>
      <c r="P29" s="705">
        <f t="shared" si="8"/>
        <v>700000</v>
      </c>
      <c r="Q29" s="705">
        <f t="shared" si="9"/>
        <v>0</v>
      </c>
      <c r="R29" s="705">
        <f t="shared" si="10"/>
        <v>0</v>
      </c>
      <c r="S29" s="705">
        <v>50000</v>
      </c>
      <c r="T29" s="705">
        <f t="shared" si="11"/>
        <v>-50000</v>
      </c>
      <c r="U29" s="705">
        <f t="shared" si="12"/>
        <v>-50000</v>
      </c>
      <c r="V29" s="705"/>
      <c r="W29" s="705"/>
      <c r="X29" s="705"/>
      <c r="Y29" s="705"/>
      <c r="Z29" s="210" t="s">
        <v>1081</v>
      </c>
      <c r="AA29" s="705"/>
      <c r="AB29" s="705"/>
      <c r="AC29" s="705"/>
      <c r="AD29" s="705"/>
      <c r="AE29" s="705"/>
      <c r="AF29" s="705">
        <f t="shared" si="0"/>
        <v>0</v>
      </c>
      <c r="AG29" s="705">
        <f t="shared" si="1"/>
        <v>-50000</v>
      </c>
      <c r="AH29" s="705">
        <f t="shared" si="2"/>
        <v>0</v>
      </c>
      <c r="AI29" s="705"/>
      <c r="AJ29" s="705"/>
      <c r="AK29" s="705"/>
      <c r="AL29" s="747"/>
      <c r="AM29" s="713"/>
      <c r="AN29" s="705"/>
      <c r="AO29" s="705"/>
      <c r="AP29" s="705"/>
      <c r="AQ29" s="705"/>
      <c r="AR29" s="705"/>
      <c r="AS29" s="705"/>
      <c r="AT29" s="705">
        <f t="shared" si="3"/>
        <v>0</v>
      </c>
      <c r="AU29" s="705"/>
      <c r="AV29" s="705"/>
      <c r="AW29" s="705"/>
      <c r="AX29" s="705"/>
      <c r="AY29" s="718"/>
      <c r="AZ29" s="718"/>
      <c r="BA29" s="718"/>
      <c r="BB29" s="718"/>
      <c r="BC29" s="718"/>
      <c r="BD29" s="718"/>
      <c r="BE29" s="718"/>
      <c r="BF29" s="718"/>
      <c r="BG29" s="718"/>
      <c r="BH29" s="718"/>
      <c r="BI29" s="718"/>
      <c r="BJ29" s="718"/>
      <c r="BK29" s="718"/>
      <c r="BL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</row>
    <row r="30" spans="1:78" s="719" customFormat="1" ht="30" customHeight="1">
      <c r="A30" s="706" t="s">
        <v>1086</v>
      </c>
      <c r="B30" s="730" t="s">
        <v>1087</v>
      </c>
      <c r="C30" s="716">
        <f t="shared" si="4"/>
        <v>23</v>
      </c>
      <c r="D30" s="209">
        <v>20107</v>
      </c>
      <c r="E30" s="222" t="s">
        <v>614</v>
      </c>
      <c r="F30" s="705">
        <v>4400000</v>
      </c>
      <c r="G30" s="705">
        <v>4400000</v>
      </c>
      <c r="H30" s="705">
        <f t="shared" si="5"/>
        <v>0</v>
      </c>
      <c r="I30" s="705"/>
      <c r="J30" s="705"/>
      <c r="K30" s="705"/>
      <c r="L30" s="705"/>
      <c r="M30" s="705">
        <f t="shared" si="15"/>
        <v>0</v>
      </c>
      <c r="N30" s="705">
        <f t="shared" si="7"/>
        <v>0</v>
      </c>
      <c r="O30" s="705">
        <f>300000-100000</f>
        <v>200000</v>
      </c>
      <c r="P30" s="705">
        <f t="shared" si="8"/>
        <v>4200000</v>
      </c>
      <c r="Q30" s="705">
        <f t="shared" si="9"/>
        <v>0</v>
      </c>
      <c r="R30" s="705">
        <f t="shared" si="10"/>
        <v>200000</v>
      </c>
      <c r="S30" s="705">
        <v>300000</v>
      </c>
      <c r="T30" s="705">
        <f t="shared" si="11"/>
        <v>-100000</v>
      </c>
      <c r="U30" s="705">
        <f t="shared" si="12"/>
        <v>-100000</v>
      </c>
      <c r="V30" s="705"/>
      <c r="W30" s="705"/>
      <c r="X30" s="705"/>
      <c r="Y30" s="705"/>
      <c r="Z30" s="210" t="s">
        <v>1081</v>
      </c>
      <c r="AA30" s="705"/>
      <c r="AB30" s="705"/>
      <c r="AC30" s="705"/>
      <c r="AD30" s="705"/>
      <c r="AE30" s="705"/>
      <c r="AF30" s="705">
        <f t="shared" si="0"/>
        <v>0</v>
      </c>
      <c r="AG30" s="705">
        <f t="shared" si="1"/>
        <v>-100000</v>
      </c>
      <c r="AH30" s="705">
        <f t="shared" si="2"/>
        <v>0</v>
      </c>
      <c r="AI30" s="705"/>
      <c r="AJ30" s="705"/>
      <c r="AK30" s="705"/>
      <c r="AL30" s="747"/>
      <c r="AM30" s="713"/>
      <c r="AN30" s="705"/>
      <c r="AO30" s="705"/>
      <c r="AP30" s="705"/>
      <c r="AQ30" s="705"/>
      <c r="AR30" s="705"/>
      <c r="AS30" s="705"/>
      <c r="AT30" s="705">
        <f t="shared" si="3"/>
        <v>0</v>
      </c>
      <c r="AU30" s="705"/>
      <c r="AV30" s="705"/>
      <c r="AW30" s="705"/>
      <c r="AX30" s="705"/>
      <c r="AY30" s="718"/>
      <c r="AZ30" s="718"/>
      <c r="BA30" s="718"/>
      <c r="BB30" s="718"/>
      <c r="BC30" s="718"/>
      <c r="BD30" s="718"/>
      <c r="BE30" s="718"/>
      <c r="BF30" s="718"/>
      <c r="BG30" s="718"/>
      <c r="BH30" s="718"/>
      <c r="BI30" s="718"/>
      <c r="BJ30" s="718"/>
      <c r="BK30" s="718"/>
      <c r="BL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</row>
    <row r="31" spans="1:78" s="719" customFormat="1" ht="30" customHeight="1">
      <c r="A31" s="706" t="s">
        <v>1086</v>
      </c>
      <c r="B31" s="730" t="s">
        <v>1087</v>
      </c>
      <c r="C31" s="716">
        <f t="shared" si="4"/>
        <v>24</v>
      </c>
      <c r="D31" s="209">
        <v>20002</v>
      </c>
      <c r="E31" s="222" t="s">
        <v>419</v>
      </c>
      <c r="F31" s="705">
        <f>5800000+1660000</f>
        <v>7460000</v>
      </c>
      <c r="G31" s="705">
        <v>5800000</v>
      </c>
      <c r="H31" s="705">
        <f t="shared" si="5"/>
        <v>1660000</v>
      </c>
      <c r="I31" s="705">
        <v>3000000</v>
      </c>
      <c r="J31" s="705">
        <f>2948393+1607</f>
        <v>2950000</v>
      </c>
      <c r="K31" s="705"/>
      <c r="L31" s="705"/>
      <c r="M31" s="705">
        <f t="shared" ref="M31" si="16">SUM(K31:L31)</f>
        <v>0</v>
      </c>
      <c r="N31" s="705">
        <f t="shared" si="7"/>
        <v>2950000</v>
      </c>
      <c r="O31" s="705">
        <f>2000000+2510000</f>
        <v>4510000</v>
      </c>
      <c r="P31" s="705">
        <f t="shared" si="8"/>
        <v>0</v>
      </c>
      <c r="Q31" s="705">
        <f t="shared" si="9"/>
        <v>50000</v>
      </c>
      <c r="R31" s="705">
        <f t="shared" si="10"/>
        <v>4460000</v>
      </c>
      <c r="S31" s="705">
        <v>1950000</v>
      </c>
      <c r="T31" s="705">
        <f t="shared" si="11"/>
        <v>2510000</v>
      </c>
      <c r="U31" s="705">
        <f t="shared" si="12"/>
        <v>2510000</v>
      </c>
      <c r="V31" s="705"/>
      <c r="W31" s="705"/>
      <c r="X31" s="705"/>
      <c r="Y31" s="705"/>
      <c r="Z31" s="210" t="s">
        <v>1090</v>
      </c>
      <c r="AA31" s="705"/>
      <c r="AB31" s="705"/>
      <c r="AC31" s="705"/>
      <c r="AD31" s="705"/>
      <c r="AE31" s="705">
        <v>2510000</v>
      </c>
      <c r="AF31" s="705">
        <f t="shared" si="0"/>
        <v>2510000</v>
      </c>
      <c r="AG31" s="705">
        <f t="shared" si="1"/>
        <v>0</v>
      </c>
      <c r="AH31" s="705">
        <f t="shared" si="2"/>
        <v>2510000</v>
      </c>
      <c r="AI31" s="705"/>
      <c r="AJ31" s="705"/>
      <c r="AK31" s="705"/>
      <c r="AL31" s="747"/>
      <c r="AM31" s="713"/>
      <c r="AN31" s="705"/>
      <c r="AO31" s="705"/>
      <c r="AP31" s="705"/>
      <c r="AQ31" s="705"/>
      <c r="AR31" s="705"/>
      <c r="AS31" s="705">
        <v>2510000</v>
      </c>
      <c r="AT31" s="705">
        <f t="shared" si="3"/>
        <v>2510000</v>
      </c>
      <c r="AU31" s="705"/>
      <c r="AV31" s="705"/>
      <c r="AW31" s="705"/>
      <c r="AX31" s="705"/>
      <c r="AY31" s="718"/>
      <c r="AZ31" s="718"/>
      <c r="BA31" s="718"/>
      <c r="BB31" s="718"/>
      <c r="BC31" s="718"/>
      <c r="BD31" s="718"/>
      <c r="BE31" s="718"/>
      <c r="BF31" s="718"/>
      <c r="BG31" s="718"/>
      <c r="BH31" s="718"/>
      <c r="BI31" s="718"/>
      <c r="BJ31" s="718"/>
      <c r="BK31" s="718"/>
      <c r="BL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</row>
    <row r="32" spans="1:78" s="719" customFormat="1" ht="30" customHeight="1">
      <c r="A32" s="706" t="s">
        <v>1091</v>
      </c>
      <c r="B32" s="730" t="s">
        <v>1092</v>
      </c>
      <c r="C32" s="716">
        <f t="shared" si="4"/>
        <v>25</v>
      </c>
      <c r="D32" s="209">
        <v>20056</v>
      </c>
      <c r="E32" s="222" t="s">
        <v>936</v>
      </c>
      <c r="F32" s="705">
        <f>1500000-1250000</f>
        <v>250000</v>
      </c>
      <c r="G32" s="705">
        <v>1500000</v>
      </c>
      <c r="H32" s="705">
        <f t="shared" si="5"/>
        <v>-1250000</v>
      </c>
      <c r="I32" s="705">
        <v>140000</v>
      </c>
      <c r="J32" s="705">
        <f>84560+440</f>
        <v>85000</v>
      </c>
      <c r="K32" s="705"/>
      <c r="L32" s="705"/>
      <c r="M32" s="705">
        <f t="shared" ref="M32" si="17">SUM(K32:L32)</f>
        <v>0</v>
      </c>
      <c r="N32" s="705">
        <f t="shared" si="7"/>
        <v>85000</v>
      </c>
      <c r="O32" s="705">
        <v>165000</v>
      </c>
      <c r="P32" s="705">
        <f t="shared" si="8"/>
        <v>0</v>
      </c>
      <c r="Q32" s="705">
        <f t="shared" si="9"/>
        <v>55000</v>
      </c>
      <c r="R32" s="705">
        <f t="shared" si="10"/>
        <v>110000</v>
      </c>
      <c r="S32" s="705">
        <v>110000</v>
      </c>
      <c r="T32" s="705">
        <f t="shared" si="11"/>
        <v>0</v>
      </c>
      <c r="U32" s="705">
        <f t="shared" si="12"/>
        <v>65000</v>
      </c>
      <c r="V32" s="705"/>
      <c r="W32" s="705"/>
      <c r="X32" s="705"/>
      <c r="Y32" s="705">
        <v>-65000</v>
      </c>
      <c r="Z32" s="210" t="s">
        <v>1093</v>
      </c>
      <c r="AA32" s="705"/>
      <c r="AB32" s="705"/>
      <c r="AC32" s="705"/>
      <c r="AD32" s="705">
        <f t="shared" ref="AD32:AD33" si="18">SUM(AA32:AC32)</f>
        <v>0</v>
      </c>
      <c r="AE32" s="707">
        <f>T32-AD32</f>
        <v>0</v>
      </c>
      <c r="AF32" s="705">
        <f t="shared" si="0"/>
        <v>0</v>
      </c>
      <c r="AG32" s="705">
        <f t="shared" si="1"/>
        <v>0</v>
      </c>
      <c r="AH32" s="705">
        <f t="shared" si="2"/>
        <v>65000</v>
      </c>
      <c r="AI32" s="705"/>
      <c r="AJ32" s="705"/>
      <c r="AK32" s="705"/>
      <c r="AL32" s="708">
        <v>-65000</v>
      </c>
      <c r="AM32" s="713"/>
      <c r="AN32" s="705"/>
      <c r="AO32" s="705"/>
      <c r="AP32" s="705"/>
      <c r="AQ32" s="705"/>
      <c r="AR32" s="705"/>
      <c r="AS32" s="707"/>
      <c r="AT32" s="705">
        <f t="shared" si="3"/>
        <v>65000</v>
      </c>
      <c r="AU32" s="705"/>
      <c r="AV32" s="705"/>
      <c r="AW32" s="705"/>
      <c r="AX32" s="708">
        <v>-65000</v>
      </c>
      <c r="AY32" s="718"/>
      <c r="AZ32" s="718"/>
      <c r="BA32" s="718"/>
      <c r="BB32" s="718"/>
      <c r="BC32" s="718"/>
      <c r="BD32" s="718"/>
      <c r="BE32" s="718"/>
      <c r="BF32" s="718"/>
      <c r="BG32" s="718"/>
      <c r="BH32" s="718"/>
      <c r="BI32" s="718"/>
      <c r="BJ32" s="718"/>
      <c r="BK32" s="718"/>
      <c r="BL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</row>
    <row r="33" spans="1:79" s="719" customFormat="1" ht="30" customHeight="1">
      <c r="A33" s="706" t="s">
        <v>1091</v>
      </c>
      <c r="B33" s="730" t="s">
        <v>1092</v>
      </c>
      <c r="C33" s="716">
        <f t="shared" si="4"/>
        <v>26</v>
      </c>
      <c r="D33" s="209">
        <v>1905</v>
      </c>
      <c r="E33" s="222" t="s">
        <v>1094</v>
      </c>
      <c r="F33" s="705">
        <f>3366000-3366000</f>
        <v>0</v>
      </c>
      <c r="G33" s="705">
        <v>3366000</v>
      </c>
      <c r="H33" s="705">
        <f t="shared" si="5"/>
        <v>-3366000</v>
      </c>
      <c r="I33" s="705">
        <v>3366000</v>
      </c>
      <c r="J33" s="705"/>
      <c r="K33" s="705"/>
      <c r="L33" s="705"/>
      <c r="M33" s="705">
        <f t="shared" ref="M33" si="19">SUM(K33:L33)</f>
        <v>0</v>
      </c>
      <c r="N33" s="705">
        <f t="shared" si="7"/>
        <v>0</v>
      </c>
      <c r="O33" s="705"/>
      <c r="P33" s="705">
        <f t="shared" si="8"/>
        <v>0</v>
      </c>
      <c r="Q33" s="705">
        <f t="shared" si="9"/>
        <v>3366000</v>
      </c>
      <c r="R33" s="705">
        <f t="shared" si="10"/>
        <v>-3366000</v>
      </c>
      <c r="S33" s="705"/>
      <c r="T33" s="705">
        <f t="shared" si="11"/>
        <v>-3366000</v>
      </c>
      <c r="U33" s="705">
        <f t="shared" si="12"/>
        <v>0</v>
      </c>
      <c r="V33" s="705"/>
      <c r="W33" s="705"/>
      <c r="X33" s="705"/>
      <c r="Y33" s="705">
        <v>-3366000</v>
      </c>
      <c r="Z33" s="210" t="s">
        <v>1095</v>
      </c>
      <c r="AA33" s="705"/>
      <c r="AB33" s="705"/>
      <c r="AC33" s="705"/>
      <c r="AD33" s="705">
        <f t="shared" si="18"/>
        <v>0</v>
      </c>
      <c r="AE33" s="705">
        <f>T33-AD33</f>
        <v>-3366000</v>
      </c>
      <c r="AF33" s="705">
        <f t="shared" si="0"/>
        <v>-3366000</v>
      </c>
      <c r="AG33" s="705">
        <f t="shared" si="1"/>
        <v>0</v>
      </c>
      <c r="AH33" s="705">
        <f t="shared" si="2"/>
        <v>0</v>
      </c>
      <c r="AI33" s="705"/>
      <c r="AJ33" s="705"/>
      <c r="AK33" s="705"/>
      <c r="AL33" s="708">
        <v>-3366000</v>
      </c>
      <c r="AM33" s="713"/>
      <c r="AN33" s="705"/>
      <c r="AO33" s="705"/>
      <c r="AP33" s="705"/>
      <c r="AQ33" s="705"/>
      <c r="AR33" s="705"/>
      <c r="AS33" s="705">
        <v>-3366000</v>
      </c>
      <c r="AT33" s="705">
        <f t="shared" si="3"/>
        <v>0</v>
      </c>
      <c r="AU33" s="705"/>
      <c r="AV33" s="705"/>
      <c r="AW33" s="705"/>
      <c r="AX33" s="708">
        <v>-3366000</v>
      </c>
      <c r="AY33" s="718"/>
      <c r="AZ33" s="718"/>
      <c r="BA33" s="718"/>
      <c r="BB33" s="718"/>
      <c r="BC33" s="718"/>
      <c r="BD33" s="718"/>
      <c r="BE33" s="718"/>
      <c r="BF33" s="718"/>
      <c r="BG33" s="718"/>
      <c r="BH33" s="718"/>
      <c r="BI33" s="718"/>
      <c r="BJ33" s="718"/>
      <c r="BK33" s="718"/>
      <c r="BL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</row>
    <row r="34" spans="1:79" s="719" customFormat="1" ht="30" customHeight="1">
      <c r="A34" s="720"/>
      <c r="B34" s="732"/>
      <c r="C34" s="720">
        <f>COUNT(C8:C33)</f>
        <v>26</v>
      </c>
      <c r="D34" s="211"/>
      <c r="E34" s="129" t="s">
        <v>258</v>
      </c>
      <c r="F34" s="709">
        <f t="shared" ref="F34:AT34" si="20">SUM(F8:F33)</f>
        <v>253768011</v>
      </c>
      <c r="G34" s="709">
        <f t="shared" si="20"/>
        <v>201524000</v>
      </c>
      <c r="H34" s="709">
        <f t="shared" si="20"/>
        <v>52244011</v>
      </c>
      <c r="I34" s="709">
        <f t="shared" si="20"/>
        <v>114014280</v>
      </c>
      <c r="J34" s="709">
        <f t="shared" si="20"/>
        <v>101103442</v>
      </c>
      <c r="K34" s="709">
        <f t="shared" si="20"/>
        <v>0</v>
      </c>
      <c r="L34" s="709">
        <f t="shared" si="20"/>
        <v>0</v>
      </c>
      <c r="M34" s="709">
        <f t="shared" si="20"/>
        <v>0</v>
      </c>
      <c r="N34" s="709">
        <f t="shared" si="20"/>
        <v>101103442</v>
      </c>
      <c r="O34" s="709">
        <f t="shared" si="20"/>
        <v>10867810</v>
      </c>
      <c r="P34" s="709">
        <f t="shared" si="20"/>
        <v>141796759</v>
      </c>
      <c r="Q34" s="709">
        <f t="shared" si="20"/>
        <v>12910838</v>
      </c>
      <c r="R34" s="709">
        <f t="shared" si="20"/>
        <v>-2043028</v>
      </c>
      <c r="S34" s="709">
        <f t="shared" si="20"/>
        <v>52000</v>
      </c>
      <c r="T34" s="709">
        <f t="shared" si="20"/>
        <v>-2095028</v>
      </c>
      <c r="U34" s="709">
        <f t="shared" si="20"/>
        <v>1775000</v>
      </c>
      <c r="V34" s="709">
        <f t="shared" si="20"/>
        <v>0</v>
      </c>
      <c r="W34" s="709">
        <f t="shared" si="20"/>
        <v>0</v>
      </c>
      <c r="X34" s="709">
        <f t="shared" si="20"/>
        <v>0</v>
      </c>
      <c r="Y34" s="709">
        <f t="shared" si="20"/>
        <v>-3870028</v>
      </c>
      <c r="Z34" s="709">
        <f t="shared" si="20"/>
        <v>0</v>
      </c>
      <c r="AA34" s="709">
        <f t="shared" si="20"/>
        <v>0</v>
      </c>
      <c r="AB34" s="709">
        <f t="shared" si="20"/>
        <v>0</v>
      </c>
      <c r="AC34" s="709">
        <f t="shared" si="20"/>
        <v>0</v>
      </c>
      <c r="AD34" s="709">
        <f t="shared" si="20"/>
        <v>-419028</v>
      </c>
      <c r="AE34" s="709">
        <f t="shared" si="20"/>
        <v>24000</v>
      </c>
      <c r="AF34" s="709">
        <f t="shared" si="20"/>
        <v>-395028</v>
      </c>
      <c r="AG34" s="709">
        <f t="shared" si="20"/>
        <v>-1700000</v>
      </c>
      <c r="AH34" s="709">
        <f t="shared" si="20"/>
        <v>3035972</v>
      </c>
      <c r="AI34" s="709">
        <f t="shared" si="20"/>
        <v>0</v>
      </c>
      <c r="AJ34" s="709">
        <f t="shared" si="20"/>
        <v>0</v>
      </c>
      <c r="AK34" s="709">
        <f t="shared" si="20"/>
        <v>0</v>
      </c>
      <c r="AL34" s="714">
        <f t="shared" si="20"/>
        <v>-3431000</v>
      </c>
      <c r="AM34" s="739">
        <f t="shared" si="20"/>
        <v>0</v>
      </c>
      <c r="AN34" s="709">
        <f t="shared" si="20"/>
        <v>0</v>
      </c>
      <c r="AO34" s="709">
        <f t="shared" si="20"/>
        <v>0</v>
      </c>
      <c r="AP34" s="709">
        <f t="shared" si="20"/>
        <v>0</v>
      </c>
      <c r="AQ34" s="709">
        <f t="shared" si="20"/>
        <v>0</v>
      </c>
      <c r="AR34" s="709">
        <f t="shared" si="20"/>
        <v>0</v>
      </c>
      <c r="AS34" s="709">
        <f t="shared" si="20"/>
        <v>-1340000</v>
      </c>
      <c r="AT34" s="709">
        <f t="shared" si="20"/>
        <v>2091000</v>
      </c>
      <c r="AU34" s="709">
        <f t="shared" ref="AU34:AX34" si="21">SUM(AU8:AU33)</f>
        <v>0</v>
      </c>
      <c r="AV34" s="709">
        <f t="shared" si="21"/>
        <v>0</v>
      </c>
      <c r="AW34" s="709">
        <f t="shared" si="21"/>
        <v>0</v>
      </c>
      <c r="AX34" s="709">
        <f t="shared" si="21"/>
        <v>-3431000</v>
      </c>
      <c r="AY34" s="717"/>
      <c r="AZ34" s="718"/>
      <c r="BA34" s="718"/>
      <c r="BB34" s="718"/>
      <c r="BC34" s="718"/>
      <c r="BD34" s="718"/>
      <c r="BE34" s="718"/>
      <c r="BF34" s="718"/>
      <c r="BG34" s="718"/>
      <c r="BH34" s="718"/>
      <c r="BI34" s="718"/>
      <c r="BJ34" s="718"/>
      <c r="BK34" s="718"/>
      <c r="BL34" s="718"/>
      <c r="BM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</row>
    <row r="35" spans="1:79" s="704" customFormat="1" ht="20.100000000000001" customHeight="1">
      <c r="A35" s="710"/>
      <c r="B35" s="733"/>
      <c r="C35" s="710"/>
      <c r="D35" s="127"/>
      <c r="E35" s="222"/>
      <c r="F35" s="703"/>
      <c r="G35" s="703"/>
      <c r="H35" s="703"/>
      <c r="I35" s="703"/>
      <c r="J35" s="703"/>
      <c r="K35" s="703"/>
      <c r="L35" s="703"/>
      <c r="M35" s="703"/>
      <c r="N35" s="703"/>
      <c r="O35" s="703"/>
      <c r="P35" s="703"/>
      <c r="Q35" s="703"/>
      <c r="R35" s="703"/>
      <c r="S35" s="703"/>
      <c r="T35" s="703"/>
      <c r="U35" s="703"/>
      <c r="V35" s="703"/>
      <c r="W35" s="703"/>
      <c r="X35" s="703"/>
      <c r="Y35" s="703"/>
      <c r="Z35" s="703"/>
      <c r="AA35" s="703"/>
      <c r="AB35" s="703"/>
      <c r="AC35" s="703"/>
      <c r="AD35" s="703"/>
      <c r="AE35" s="709">
        <f>AE34-AE33-AE23</f>
        <v>3401000</v>
      </c>
      <c r="AF35" s="703"/>
      <c r="AG35" s="721"/>
      <c r="AH35" s="703"/>
      <c r="AI35" s="703"/>
      <c r="AJ35" s="703"/>
      <c r="AK35" s="703"/>
      <c r="AL35" s="745"/>
      <c r="AM35" s="740"/>
      <c r="AN35" s="721"/>
      <c r="AO35" s="721"/>
      <c r="AP35" s="721"/>
      <c r="AQ35" s="721"/>
      <c r="AR35" s="721"/>
      <c r="AS35" s="721"/>
      <c r="AT35" s="721"/>
      <c r="AU35" s="721"/>
      <c r="AV35" s="721"/>
      <c r="AW35" s="721"/>
      <c r="AX35" s="721"/>
      <c r="AY35" s="717"/>
      <c r="AZ35" s="718"/>
      <c r="BA35" s="718"/>
      <c r="BB35" s="718"/>
      <c r="BC35" s="718"/>
      <c r="BD35" s="718"/>
      <c r="BE35" s="718"/>
      <c r="BF35" s="718"/>
      <c r="BG35" s="718"/>
      <c r="BH35" s="718"/>
      <c r="BI35" s="718"/>
      <c r="BJ35" s="718"/>
      <c r="BK35" s="718"/>
      <c r="BL35" s="718"/>
      <c r="BM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</row>
    <row r="36" spans="1:79" s="719" customFormat="1" ht="30" customHeight="1">
      <c r="A36" s="716"/>
      <c r="B36" s="731"/>
      <c r="C36" s="716"/>
      <c r="D36" s="209"/>
      <c r="E36" s="129" t="s">
        <v>145</v>
      </c>
      <c r="F36" s="705"/>
      <c r="G36" s="705"/>
      <c r="H36" s="705"/>
      <c r="I36" s="705"/>
      <c r="J36" s="705"/>
      <c r="K36" s="705"/>
      <c r="L36" s="705"/>
      <c r="M36" s="705"/>
      <c r="N36" s="705"/>
      <c r="O36" s="705"/>
      <c r="P36" s="705"/>
      <c r="Q36" s="705"/>
      <c r="R36" s="705"/>
      <c r="S36" s="705"/>
      <c r="T36" s="705"/>
      <c r="U36" s="705"/>
      <c r="V36" s="705"/>
      <c r="W36" s="705"/>
      <c r="X36" s="705"/>
      <c r="Y36" s="209"/>
      <c r="Z36" s="127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746"/>
      <c r="AM36" s="738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717"/>
      <c r="AZ36" s="718"/>
      <c r="BA36" s="718"/>
      <c r="BB36" s="718"/>
      <c r="BC36" s="718"/>
      <c r="BD36" s="718"/>
      <c r="BE36" s="718"/>
      <c r="BF36" s="718"/>
      <c r="BG36" s="718"/>
      <c r="BH36" s="718"/>
      <c r="BI36" s="718"/>
      <c r="BJ36" s="718"/>
      <c r="BK36" s="718"/>
      <c r="BL36" s="718"/>
      <c r="BM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</row>
    <row r="37" spans="1:79" s="719" customFormat="1" ht="30" customHeight="1">
      <c r="A37" s="706" t="s">
        <v>1073</v>
      </c>
      <c r="B37" s="730" t="s">
        <v>1074</v>
      </c>
      <c r="C37" s="716">
        <f>C34+1</f>
        <v>27</v>
      </c>
      <c r="D37" s="209">
        <v>382</v>
      </c>
      <c r="E37" s="222" t="s">
        <v>1096</v>
      </c>
      <c r="F37" s="705">
        <v>111381330</v>
      </c>
      <c r="G37" s="705">
        <v>111381330</v>
      </c>
      <c r="H37" s="705">
        <f t="shared" ref="H37:H79" si="22">F37-G37</f>
        <v>0</v>
      </c>
      <c r="I37" s="705">
        <v>77381330</v>
      </c>
      <c r="J37" s="705">
        <f>63822457+8873</f>
        <v>63831330</v>
      </c>
      <c r="K37" s="705"/>
      <c r="L37" s="705"/>
      <c r="M37" s="705">
        <f t="shared" ref="M37:M46" si="23">SUM(K37:L37)</f>
        <v>0</v>
      </c>
      <c r="N37" s="705">
        <f t="shared" ref="N37:N79" si="24">M37+J37</f>
        <v>63831330</v>
      </c>
      <c r="O37" s="705">
        <f>13550000-5000000</f>
        <v>8550000</v>
      </c>
      <c r="P37" s="705">
        <f t="shared" ref="P37:P79" si="25">F37-N37-O37</f>
        <v>39000000</v>
      </c>
      <c r="Q37" s="705">
        <f t="shared" ref="Q37:Q79" si="26">I37-N37</f>
        <v>13550000</v>
      </c>
      <c r="R37" s="705">
        <f t="shared" ref="R37:R79" si="27">O37-Q37</f>
        <v>-5000000</v>
      </c>
      <c r="S37" s="705"/>
      <c r="T37" s="705">
        <f t="shared" ref="T37:T79" si="28">R37-S37</f>
        <v>-5000000</v>
      </c>
      <c r="U37" s="705">
        <f t="shared" ref="U37:U79" si="29">T37-X37-Y37-V37-W37</f>
        <v>-5000000</v>
      </c>
      <c r="V37" s="705"/>
      <c r="W37" s="705"/>
      <c r="X37" s="705"/>
      <c r="Y37" s="705"/>
      <c r="Z37" s="210" t="s">
        <v>1075</v>
      </c>
      <c r="AA37" s="705">
        <v>-5000000</v>
      </c>
      <c r="AB37" s="705"/>
      <c r="AC37" s="705"/>
      <c r="AD37" s="705"/>
      <c r="AE37" s="209"/>
      <c r="AF37" s="705">
        <f t="shared" ref="AF37:AF79" si="30">SUM(AA37:AE37)</f>
        <v>-5000000</v>
      </c>
      <c r="AG37" s="705">
        <f t="shared" ref="AG37:AG79" si="31">T37-AF37</f>
        <v>0</v>
      </c>
      <c r="AH37" s="705">
        <f t="shared" ref="AH37:AH79" si="32">AF37-AI37-AJ37-AK37-AL37</f>
        <v>-5000000</v>
      </c>
      <c r="AI37" s="705"/>
      <c r="AJ37" s="705"/>
      <c r="AK37" s="705"/>
      <c r="AL37" s="708"/>
      <c r="AM37" s="738"/>
      <c r="AN37" s="209"/>
      <c r="AO37" s="209"/>
      <c r="AP37" s="209"/>
      <c r="AQ37" s="209"/>
      <c r="AR37" s="209"/>
      <c r="AS37" s="209"/>
      <c r="AT37" s="705">
        <f t="shared" ref="AT37:AT100" si="33">AS37-AU37-AV37-AW37-AX37</f>
        <v>0</v>
      </c>
      <c r="AU37" s="209"/>
      <c r="AV37" s="209"/>
      <c r="AW37" s="209"/>
      <c r="AX37" s="209"/>
      <c r="AY37" s="717"/>
      <c r="AZ37" s="718"/>
      <c r="BA37" s="718"/>
      <c r="BB37" s="718"/>
      <c r="BC37" s="718"/>
      <c r="BD37" s="718"/>
      <c r="BE37" s="718"/>
      <c r="BF37" s="718"/>
      <c r="BG37" s="718"/>
      <c r="BH37" s="718"/>
      <c r="BI37" s="718"/>
      <c r="BJ37" s="718"/>
      <c r="BK37" s="718"/>
      <c r="BL37" s="718"/>
      <c r="BM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</row>
    <row r="38" spans="1:79" s="719" customFormat="1" ht="30" customHeight="1">
      <c r="A38" s="706" t="s">
        <v>1073</v>
      </c>
      <c r="B38" s="730" t="s">
        <v>1074</v>
      </c>
      <c r="C38" s="716">
        <f>1+C37</f>
        <v>28</v>
      </c>
      <c r="D38" s="209">
        <v>1912</v>
      </c>
      <c r="E38" s="222" t="s">
        <v>399</v>
      </c>
      <c r="F38" s="705">
        <v>430000000</v>
      </c>
      <c r="G38" s="705">
        <v>430000000</v>
      </c>
      <c r="H38" s="705">
        <f t="shared" si="22"/>
        <v>0</v>
      </c>
      <c r="I38" s="705">
        <v>299404251</v>
      </c>
      <c r="J38" s="705">
        <f>299054983+4268</f>
        <v>299059251</v>
      </c>
      <c r="K38" s="705"/>
      <c r="L38" s="705"/>
      <c r="M38" s="705">
        <f t="shared" si="23"/>
        <v>0</v>
      </c>
      <c r="N38" s="705">
        <f t="shared" si="24"/>
        <v>299059251</v>
      </c>
      <c r="O38" s="705">
        <f>65345000-10000000</f>
        <v>55345000</v>
      </c>
      <c r="P38" s="705">
        <f t="shared" si="25"/>
        <v>75595749</v>
      </c>
      <c r="Q38" s="705">
        <f t="shared" si="26"/>
        <v>345000</v>
      </c>
      <c r="R38" s="705">
        <f t="shared" si="27"/>
        <v>55000000</v>
      </c>
      <c r="S38" s="705">
        <v>65000000</v>
      </c>
      <c r="T38" s="705">
        <f t="shared" si="28"/>
        <v>-10000000</v>
      </c>
      <c r="U38" s="705">
        <f t="shared" si="29"/>
        <v>-10000000</v>
      </c>
      <c r="V38" s="705"/>
      <c r="W38" s="705"/>
      <c r="X38" s="705"/>
      <c r="Y38" s="705"/>
      <c r="Z38" s="210" t="s">
        <v>1075</v>
      </c>
      <c r="AA38" s="705"/>
      <c r="AB38" s="705"/>
      <c r="AC38" s="705"/>
      <c r="AD38" s="705"/>
      <c r="AE38" s="209"/>
      <c r="AF38" s="705">
        <f t="shared" ref="AF38:AF39" si="34">SUM(AA38:AE38)</f>
        <v>0</v>
      </c>
      <c r="AG38" s="705">
        <f t="shared" si="31"/>
        <v>-10000000</v>
      </c>
      <c r="AH38" s="705">
        <f t="shared" si="32"/>
        <v>0</v>
      </c>
      <c r="AI38" s="705"/>
      <c r="AJ38" s="705"/>
      <c r="AK38" s="705"/>
      <c r="AL38" s="708"/>
      <c r="AM38" s="738"/>
      <c r="AN38" s="209"/>
      <c r="AO38" s="209"/>
      <c r="AP38" s="209"/>
      <c r="AQ38" s="209"/>
      <c r="AR38" s="209"/>
      <c r="AS38" s="209"/>
      <c r="AT38" s="705">
        <f t="shared" si="33"/>
        <v>0</v>
      </c>
      <c r="AU38" s="209"/>
      <c r="AV38" s="209"/>
      <c r="AW38" s="209"/>
      <c r="AX38" s="209"/>
      <c r="AY38" s="717"/>
      <c r="AZ38" s="718"/>
      <c r="BA38" s="718"/>
      <c r="BB38" s="718"/>
      <c r="BC38" s="718"/>
      <c r="BD38" s="718"/>
      <c r="BE38" s="718"/>
      <c r="BF38" s="718"/>
      <c r="BG38" s="718"/>
      <c r="BH38" s="718"/>
      <c r="BI38" s="718"/>
      <c r="BJ38" s="718"/>
      <c r="BK38" s="718"/>
      <c r="BL38" s="718"/>
      <c r="BM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</row>
    <row r="39" spans="1:79" s="719" customFormat="1" ht="30" customHeight="1">
      <c r="A39" s="706" t="s">
        <v>1073</v>
      </c>
      <c r="B39" s="730" t="s">
        <v>1074</v>
      </c>
      <c r="C39" s="716">
        <f t="shared" ref="C39:C79" si="35">1+C38</f>
        <v>29</v>
      </c>
      <c r="D39" s="209">
        <v>2001</v>
      </c>
      <c r="E39" s="222" t="s">
        <v>102</v>
      </c>
      <c r="F39" s="705">
        <v>32700000</v>
      </c>
      <c r="G39" s="705">
        <v>25000000</v>
      </c>
      <c r="H39" s="705">
        <f t="shared" si="22"/>
        <v>7700000</v>
      </c>
      <c r="I39" s="705">
        <v>8398700</v>
      </c>
      <c r="J39" s="705">
        <f>6406298+2402</f>
        <v>6408700</v>
      </c>
      <c r="K39" s="705"/>
      <c r="L39" s="705"/>
      <c r="M39" s="705">
        <f t="shared" si="23"/>
        <v>0</v>
      </c>
      <c r="N39" s="705">
        <f t="shared" si="24"/>
        <v>6408700</v>
      </c>
      <c r="O39" s="705">
        <f>11591300+7700000+2300000</f>
        <v>21591300</v>
      </c>
      <c r="P39" s="705">
        <f t="shared" si="25"/>
        <v>4700000</v>
      </c>
      <c r="Q39" s="705">
        <f t="shared" si="26"/>
        <v>1990000</v>
      </c>
      <c r="R39" s="705">
        <f t="shared" si="27"/>
        <v>19601300</v>
      </c>
      <c r="S39" s="705">
        <v>9601300</v>
      </c>
      <c r="T39" s="705">
        <f t="shared" si="28"/>
        <v>10000000</v>
      </c>
      <c r="U39" s="705">
        <f t="shared" si="29"/>
        <v>10000000</v>
      </c>
      <c r="V39" s="705"/>
      <c r="W39" s="705"/>
      <c r="X39" s="705"/>
      <c r="Y39" s="705"/>
      <c r="Z39" s="210" t="s">
        <v>1097</v>
      </c>
      <c r="AA39" s="705">
        <v>10000000</v>
      </c>
      <c r="AB39" s="705"/>
      <c r="AC39" s="705"/>
      <c r="AD39" s="705"/>
      <c r="AE39" s="209"/>
      <c r="AF39" s="705">
        <f t="shared" si="34"/>
        <v>10000000</v>
      </c>
      <c r="AG39" s="705">
        <f t="shared" si="31"/>
        <v>0</v>
      </c>
      <c r="AH39" s="705">
        <f t="shared" si="32"/>
        <v>10000000</v>
      </c>
      <c r="AI39" s="705"/>
      <c r="AJ39" s="705"/>
      <c r="AK39" s="705"/>
      <c r="AL39" s="708"/>
      <c r="AM39" s="738"/>
      <c r="AN39" s="209"/>
      <c r="AO39" s="209"/>
      <c r="AP39" s="209"/>
      <c r="AQ39" s="209"/>
      <c r="AR39" s="209"/>
      <c r="AS39" s="209"/>
      <c r="AT39" s="705">
        <f t="shared" si="33"/>
        <v>0</v>
      </c>
      <c r="AU39" s="209"/>
      <c r="AV39" s="209"/>
      <c r="AW39" s="209"/>
      <c r="AX39" s="209"/>
      <c r="AY39" s="717"/>
      <c r="AZ39" s="718"/>
      <c r="BA39" s="718"/>
      <c r="BB39" s="718"/>
      <c r="BC39" s="718"/>
      <c r="BD39" s="718"/>
      <c r="BE39" s="718"/>
      <c r="BF39" s="718"/>
      <c r="BG39" s="718"/>
      <c r="BH39" s="718"/>
      <c r="BI39" s="718"/>
      <c r="BJ39" s="718"/>
      <c r="BK39" s="718"/>
      <c r="BL39" s="718"/>
      <c r="BM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</row>
    <row r="40" spans="1:79" s="719" customFormat="1" ht="30" customHeight="1">
      <c r="A40" s="706" t="s">
        <v>1073</v>
      </c>
      <c r="B40" s="730" t="s">
        <v>1074</v>
      </c>
      <c r="C40" s="716">
        <f t="shared" si="35"/>
        <v>30</v>
      </c>
      <c r="D40" s="209">
        <v>20111</v>
      </c>
      <c r="E40" s="222" t="s">
        <v>656</v>
      </c>
      <c r="F40" s="705">
        <v>3400000</v>
      </c>
      <c r="G40" s="705">
        <v>3400000</v>
      </c>
      <c r="H40" s="705">
        <f t="shared" si="22"/>
        <v>0</v>
      </c>
      <c r="I40" s="705"/>
      <c r="J40" s="705"/>
      <c r="K40" s="705"/>
      <c r="L40" s="705"/>
      <c r="M40" s="705">
        <f t="shared" si="23"/>
        <v>0</v>
      </c>
      <c r="N40" s="705">
        <f t="shared" si="24"/>
        <v>0</v>
      </c>
      <c r="O40" s="705">
        <f>1500000-1400000</f>
        <v>100000</v>
      </c>
      <c r="P40" s="705">
        <f t="shared" si="25"/>
        <v>3300000</v>
      </c>
      <c r="Q40" s="705">
        <f t="shared" si="26"/>
        <v>0</v>
      </c>
      <c r="R40" s="705">
        <f t="shared" si="27"/>
        <v>100000</v>
      </c>
      <c r="S40" s="705">
        <v>1500000</v>
      </c>
      <c r="T40" s="705">
        <f t="shared" si="28"/>
        <v>-1400000</v>
      </c>
      <c r="U40" s="705">
        <f t="shared" si="29"/>
        <v>-1400000</v>
      </c>
      <c r="V40" s="705"/>
      <c r="W40" s="705"/>
      <c r="X40" s="705"/>
      <c r="Y40" s="705"/>
      <c r="Z40" s="210" t="s">
        <v>1075</v>
      </c>
      <c r="AA40" s="705"/>
      <c r="AB40" s="705"/>
      <c r="AC40" s="705"/>
      <c r="AD40" s="705"/>
      <c r="AE40" s="209"/>
      <c r="AF40" s="705">
        <f t="shared" si="30"/>
        <v>0</v>
      </c>
      <c r="AG40" s="705">
        <f t="shared" si="31"/>
        <v>-1400000</v>
      </c>
      <c r="AH40" s="705">
        <f t="shared" si="32"/>
        <v>0</v>
      </c>
      <c r="AI40" s="705"/>
      <c r="AJ40" s="705"/>
      <c r="AK40" s="705"/>
      <c r="AL40" s="708"/>
      <c r="AM40" s="738"/>
      <c r="AN40" s="209"/>
      <c r="AO40" s="209"/>
      <c r="AP40" s="209"/>
      <c r="AQ40" s="209"/>
      <c r="AR40" s="209"/>
      <c r="AS40" s="209"/>
      <c r="AT40" s="705">
        <f t="shared" si="33"/>
        <v>0</v>
      </c>
      <c r="AU40" s="209"/>
      <c r="AV40" s="209"/>
      <c r="AW40" s="209"/>
      <c r="AX40" s="209"/>
      <c r="AY40" s="717"/>
      <c r="AZ40" s="718"/>
      <c r="BA40" s="718"/>
      <c r="BB40" s="718"/>
      <c r="BC40" s="718"/>
      <c r="BD40" s="718"/>
      <c r="BE40" s="718"/>
      <c r="BF40" s="718"/>
      <c r="BG40" s="718"/>
      <c r="BH40" s="718"/>
      <c r="BI40" s="718"/>
      <c r="BJ40" s="718"/>
      <c r="BK40" s="718"/>
      <c r="BL40" s="718"/>
      <c r="BM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</row>
    <row r="41" spans="1:79" s="719" customFormat="1" ht="30" customHeight="1">
      <c r="A41" s="706" t="s">
        <v>1073</v>
      </c>
      <c r="B41" s="730" t="s">
        <v>1074</v>
      </c>
      <c r="C41" s="716">
        <f t="shared" si="35"/>
        <v>31</v>
      </c>
      <c r="D41" s="209">
        <v>20112</v>
      </c>
      <c r="E41" s="222" t="s">
        <v>657</v>
      </c>
      <c r="F41" s="705">
        <v>4700000</v>
      </c>
      <c r="G41" s="705">
        <v>4700000</v>
      </c>
      <c r="H41" s="705">
        <f t="shared" si="22"/>
        <v>0</v>
      </c>
      <c r="I41" s="705"/>
      <c r="J41" s="705"/>
      <c r="K41" s="705"/>
      <c r="L41" s="705"/>
      <c r="M41" s="705">
        <f t="shared" si="23"/>
        <v>0</v>
      </c>
      <c r="N41" s="705">
        <f t="shared" si="24"/>
        <v>0</v>
      </c>
      <c r="O41" s="705">
        <f>1000000-900000</f>
        <v>100000</v>
      </c>
      <c r="P41" s="705">
        <f t="shared" si="25"/>
        <v>4600000</v>
      </c>
      <c r="Q41" s="705">
        <f t="shared" si="26"/>
        <v>0</v>
      </c>
      <c r="R41" s="705">
        <f t="shared" si="27"/>
        <v>100000</v>
      </c>
      <c r="S41" s="705">
        <v>1000000</v>
      </c>
      <c r="T41" s="705">
        <f t="shared" si="28"/>
        <v>-900000</v>
      </c>
      <c r="U41" s="705">
        <f t="shared" si="29"/>
        <v>-900000</v>
      </c>
      <c r="V41" s="705"/>
      <c r="W41" s="705"/>
      <c r="X41" s="705"/>
      <c r="Y41" s="705"/>
      <c r="Z41" s="210" t="s">
        <v>1075</v>
      </c>
      <c r="AA41" s="705"/>
      <c r="AB41" s="705"/>
      <c r="AC41" s="705"/>
      <c r="AD41" s="705"/>
      <c r="AE41" s="209"/>
      <c r="AF41" s="705">
        <f t="shared" si="30"/>
        <v>0</v>
      </c>
      <c r="AG41" s="705">
        <f t="shared" si="31"/>
        <v>-900000</v>
      </c>
      <c r="AH41" s="705">
        <f t="shared" si="32"/>
        <v>0</v>
      </c>
      <c r="AI41" s="705"/>
      <c r="AJ41" s="705"/>
      <c r="AK41" s="705"/>
      <c r="AL41" s="708"/>
      <c r="AM41" s="738"/>
      <c r="AN41" s="209"/>
      <c r="AO41" s="209"/>
      <c r="AP41" s="209"/>
      <c r="AQ41" s="209"/>
      <c r="AR41" s="209"/>
      <c r="AS41" s="209"/>
      <c r="AT41" s="705">
        <f t="shared" si="33"/>
        <v>0</v>
      </c>
      <c r="AU41" s="209"/>
      <c r="AV41" s="209"/>
      <c r="AW41" s="209"/>
      <c r="AX41" s="209"/>
      <c r="AY41" s="717"/>
      <c r="AZ41" s="718"/>
      <c r="BA41" s="718"/>
      <c r="BB41" s="718"/>
      <c r="BC41" s="718"/>
      <c r="BD41" s="718"/>
      <c r="BE41" s="718"/>
      <c r="BF41" s="718"/>
      <c r="BG41" s="718"/>
      <c r="BH41" s="718"/>
      <c r="BI41" s="718"/>
      <c r="BJ41" s="718"/>
      <c r="BK41" s="718"/>
      <c r="BL41" s="718"/>
      <c r="BM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</row>
    <row r="42" spans="1:79" s="719" customFormat="1" ht="30" customHeight="1">
      <c r="A42" s="706" t="s">
        <v>1073</v>
      </c>
      <c r="B42" s="730" t="s">
        <v>1074</v>
      </c>
      <c r="C42" s="716">
        <f t="shared" si="35"/>
        <v>32</v>
      </c>
      <c r="D42" s="209">
        <v>20114</v>
      </c>
      <c r="E42" s="222" t="s">
        <v>695</v>
      </c>
      <c r="F42" s="705">
        <v>5000000</v>
      </c>
      <c r="G42" s="705">
        <v>5000000</v>
      </c>
      <c r="H42" s="705">
        <f t="shared" si="22"/>
        <v>0</v>
      </c>
      <c r="I42" s="705"/>
      <c r="J42" s="705"/>
      <c r="K42" s="705"/>
      <c r="L42" s="705"/>
      <c r="M42" s="705">
        <f t="shared" si="23"/>
        <v>0</v>
      </c>
      <c r="N42" s="705">
        <f t="shared" si="24"/>
        <v>0</v>
      </c>
      <c r="O42" s="705">
        <f>2000000-2000000</f>
        <v>0</v>
      </c>
      <c r="P42" s="705">
        <f t="shared" si="25"/>
        <v>5000000</v>
      </c>
      <c r="Q42" s="705">
        <f t="shared" si="26"/>
        <v>0</v>
      </c>
      <c r="R42" s="705">
        <f t="shared" si="27"/>
        <v>0</v>
      </c>
      <c r="S42" s="705">
        <v>2000000</v>
      </c>
      <c r="T42" s="705">
        <f t="shared" si="28"/>
        <v>-2000000</v>
      </c>
      <c r="U42" s="705">
        <f t="shared" si="29"/>
        <v>-1790000</v>
      </c>
      <c r="V42" s="705"/>
      <c r="W42" s="705"/>
      <c r="X42" s="705"/>
      <c r="Y42" s="112">
        <f>-70000*3</f>
        <v>-210000</v>
      </c>
      <c r="Z42" s="210" t="s">
        <v>1075</v>
      </c>
      <c r="AA42" s="705"/>
      <c r="AB42" s="705"/>
      <c r="AC42" s="705"/>
      <c r="AD42" s="705"/>
      <c r="AE42" s="209"/>
      <c r="AF42" s="705">
        <f t="shared" si="30"/>
        <v>0</v>
      </c>
      <c r="AG42" s="705">
        <f t="shared" si="31"/>
        <v>-2000000</v>
      </c>
      <c r="AH42" s="705">
        <f t="shared" si="32"/>
        <v>0</v>
      </c>
      <c r="AI42" s="705"/>
      <c r="AJ42" s="705"/>
      <c r="AK42" s="705"/>
      <c r="AL42" s="708"/>
      <c r="AM42" s="738"/>
      <c r="AN42" s="209"/>
      <c r="AO42" s="209"/>
      <c r="AP42" s="209"/>
      <c r="AQ42" s="209"/>
      <c r="AR42" s="209"/>
      <c r="AS42" s="209"/>
      <c r="AT42" s="705">
        <f t="shared" si="33"/>
        <v>0</v>
      </c>
      <c r="AU42" s="209"/>
      <c r="AV42" s="209"/>
      <c r="AW42" s="209"/>
      <c r="AX42" s="209"/>
      <c r="AY42" s="717"/>
      <c r="AZ42" s="718"/>
      <c r="BA42" s="718"/>
      <c r="BB42" s="718"/>
      <c r="BC42" s="718"/>
      <c r="BD42" s="718"/>
      <c r="BE42" s="718"/>
      <c r="BF42" s="718"/>
      <c r="BG42" s="718"/>
      <c r="BH42" s="718"/>
      <c r="BI42" s="718"/>
      <c r="BJ42" s="718"/>
      <c r="BK42" s="718"/>
      <c r="BL42" s="718"/>
      <c r="BM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</row>
    <row r="43" spans="1:79" s="719" customFormat="1" ht="30" customHeight="1">
      <c r="A43" s="706" t="s">
        <v>1073</v>
      </c>
      <c r="B43" s="730" t="s">
        <v>1074</v>
      </c>
      <c r="C43" s="716">
        <f t="shared" si="35"/>
        <v>33</v>
      </c>
      <c r="D43" s="209">
        <v>20139</v>
      </c>
      <c r="E43" s="222" t="s">
        <v>1098</v>
      </c>
      <c r="F43" s="705">
        <v>16000000</v>
      </c>
      <c r="G43" s="705"/>
      <c r="H43" s="705">
        <f t="shared" si="22"/>
        <v>16000000</v>
      </c>
      <c r="I43" s="705"/>
      <c r="J43" s="705"/>
      <c r="K43" s="705"/>
      <c r="L43" s="705"/>
      <c r="M43" s="705">
        <f t="shared" si="23"/>
        <v>0</v>
      </c>
      <c r="N43" s="705">
        <f t="shared" si="24"/>
        <v>0</v>
      </c>
      <c r="O43" s="705">
        <v>16000000</v>
      </c>
      <c r="P43" s="705">
        <f t="shared" si="25"/>
        <v>0</v>
      </c>
      <c r="Q43" s="705">
        <f t="shared" si="26"/>
        <v>0</v>
      </c>
      <c r="R43" s="705">
        <f t="shared" si="27"/>
        <v>16000000</v>
      </c>
      <c r="S43" s="705"/>
      <c r="T43" s="705">
        <f t="shared" si="28"/>
        <v>16000000</v>
      </c>
      <c r="U43" s="705">
        <f t="shared" si="29"/>
        <v>15000000</v>
      </c>
      <c r="V43" s="705">
        <v>1000000</v>
      </c>
      <c r="W43" s="705"/>
      <c r="X43" s="705"/>
      <c r="Y43" s="705"/>
      <c r="Z43" s="210" t="s">
        <v>1099</v>
      </c>
      <c r="AA43" s="705"/>
      <c r="AB43" s="705">
        <v>16000000</v>
      </c>
      <c r="AC43" s="705"/>
      <c r="AD43" s="705"/>
      <c r="AE43" s="209"/>
      <c r="AF43" s="705">
        <f t="shared" si="30"/>
        <v>16000000</v>
      </c>
      <c r="AG43" s="705">
        <f t="shared" si="31"/>
        <v>0</v>
      </c>
      <c r="AH43" s="705">
        <f t="shared" si="32"/>
        <v>15000000</v>
      </c>
      <c r="AI43" s="705">
        <v>1000000</v>
      </c>
      <c r="AJ43" s="705"/>
      <c r="AK43" s="705"/>
      <c r="AL43" s="708"/>
      <c r="AM43" s="738"/>
      <c r="AN43" s="209"/>
      <c r="AO43" s="209"/>
      <c r="AP43" s="209"/>
      <c r="AQ43" s="209"/>
      <c r="AR43" s="209"/>
      <c r="AS43" s="209"/>
      <c r="AT43" s="705">
        <f t="shared" si="33"/>
        <v>0</v>
      </c>
      <c r="AU43" s="209"/>
      <c r="AV43" s="209"/>
      <c r="AW43" s="209"/>
      <c r="AX43" s="209"/>
      <c r="AY43" s="717"/>
      <c r="AZ43" s="718"/>
      <c r="BA43" s="718"/>
      <c r="BB43" s="718"/>
      <c r="BC43" s="718"/>
      <c r="BD43" s="718"/>
      <c r="BE43" s="718"/>
      <c r="BF43" s="718"/>
      <c r="BG43" s="718"/>
      <c r="BH43" s="718"/>
      <c r="BI43" s="718"/>
      <c r="BJ43" s="718"/>
      <c r="BK43" s="718"/>
      <c r="BL43" s="718"/>
      <c r="BM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</row>
    <row r="44" spans="1:79" s="719" customFormat="1" ht="30" customHeight="1">
      <c r="A44" s="706" t="s">
        <v>1100</v>
      </c>
      <c r="B44" s="730" t="s">
        <v>1101</v>
      </c>
      <c r="C44" s="716">
        <f t="shared" si="35"/>
        <v>34</v>
      </c>
      <c r="D44" s="209">
        <v>2017</v>
      </c>
      <c r="E44" s="222" t="s">
        <v>1102</v>
      </c>
      <c r="F44" s="705">
        <v>37100000</v>
      </c>
      <c r="G44" s="705">
        <v>37100000</v>
      </c>
      <c r="H44" s="705">
        <f t="shared" si="22"/>
        <v>0</v>
      </c>
      <c r="I44" s="705">
        <v>27100000</v>
      </c>
      <c r="J44" s="705">
        <v>25401294</v>
      </c>
      <c r="K44" s="705"/>
      <c r="L44" s="705"/>
      <c r="M44" s="705">
        <f t="shared" si="23"/>
        <v>0</v>
      </c>
      <c r="N44" s="705">
        <f t="shared" si="24"/>
        <v>25401294</v>
      </c>
      <c r="O44" s="705">
        <f>5000000+1698706</f>
        <v>6698706</v>
      </c>
      <c r="P44" s="705">
        <f t="shared" si="25"/>
        <v>5000000</v>
      </c>
      <c r="Q44" s="705">
        <f t="shared" si="26"/>
        <v>1698706</v>
      </c>
      <c r="R44" s="705">
        <f t="shared" si="27"/>
        <v>5000000</v>
      </c>
      <c r="S44" s="705">
        <v>5000000</v>
      </c>
      <c r="T44" s="705">
        <f t="shared" si="28"/>
        <v>0</v>
      </c>
      <c r="U44" s="705">
        <f t="shared" si="29"/>
        <v>-7925306</v>
      </c>
      <c r="V44" s="705"/>
      <c r="W44" s="705"/>
      <c r="X44" s="705"/>
      <c r="Y44" s="705">
        <v>7925306</v>
      </c>
      <c r="Z44" s="210" t="s">
        <v>1103</v>
      </c>
      <c r="AA44" s="705"/>
      <c r="AB44" s="705"/>
      <c r="AC44" s="707">
        <f>950690-950690</f>
        <v>0</v>
      </c>
      <c r="AD44" s="705"/>
      <c r="AE44" s="209"/>
      <c r="AF44" s="705">
        <f t="shared" si="30"/>
        <v>0</v>
      </c>
      <c r="AG44" s="705">
        <f t="shared" si="31"/>
        <v>0</v>
      </c>
      <c r="AH44" s="705">
        <f t="shared" si="32"/>
        <v>-7925306</v>
      </c>
      <c r="AI44" s="705"/>
      <c r="AJ44" s="705"/>
      <c r="AK44" s="705"/>
      <c r="AL44" s="708">
        <v>7925306</v>
      </c>
      <c r="AM44" s="738"/>
      <c r="AN44" s="209"/>
      <c r="AO44" s="209"/>
      <c r="AP44" s="209"/>
      <c r="AQ44" s="209"/>
      <c r="AR44" s="209"/>
      <c r="AS44" s="209"/>
      <c r="AT44" s="705">
        <f t="shared" si="33"/>
        <v>0</v>
      </c>
      <c r="AU44" s="209"/>
      <c r="AV44" s="209"/>
      <c r="AW44" s="209"/>
      <c r="AX44" s="209"/>
      <c r="AY44" s="717"/>
      <c r="AZ44" s="718"/>
      <c r="BA44" s="718"/>
      <c r="BB44" s="718"/>
      <c r="BC44" s="718"/>
      <c r="BD44" s="718"/>
      <c r="BE44" s="718"/>
      <c r="BF44" s="718"/>
      <c r="BG44" s="718"/>
      <c r="BH44" s="718"/>
      <c r="BI44" s="718"/>
      <c r="BJ44" s="718"/>
      <c r="BK44" s="718"/>
      <c r="BL44" s="718"/>
      <c r="BM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</row>
    <row r="45" spans="1:79" s="719" customFormat="1" ht="30" customHeight="1">
      <c r="A45" s="706" t="s">
        <v>1100</v>
      </c>
      <c r="B45" s="730" t="s">
        <v>1101</v>
      </c>
      <c r="C45" s="716">
        <f t="shared" si="35"/>
        <v>35</v>
      </c>
      <c r="D45" s="209">
        <v>2009</v>
      </c>
      <c r="E45" s="222" t="s">
        <v>1104</v>
      </c>
      <c r="F45" s="705">
        <v>13700000</v>
      </c>
      <c r="G45" s="705">
        <v>13700000</v>
      </c>
      <c r="H45" s="705">
        <f t="shared" si="22"/>
        <v>0</v>
      </c>
      <c r="I45" s="705">
        <v>4200000</v>
      </c>
      <c r="J45" s="705">
        <v>3711087</v>
      </c>
      <c r="K45" s="705"/>
      <c r="L45" s="705"/>
      <c r="M45" s="705">
        <f t="shared" si="23"/>
        <v>0</v>
      </c>
      <c r="N45" s="705">
        <f t="shared" si="24"/>
        <v>3711087</v>
      </c>
      <c r="O45" s="705">
        <f>5000000+488913</f>
        <v>5488913</v>
      </c>
      <c r="P45" s="705">
        <f t="shared" si="25"/>
        <v>4500000</v>
      </c>
      <c r="Q45" s="705">
        <f t="shared" si="26"/>
        <v>488913</v>
      </c>
      <c r="R45" s="705">
        <f t="shared" si="27"/>
        <v>5000000</v>
      </c>
      <c r="S45" s="705">
        <v>5000000</v>
      </c>
      <c r="T45" s="705">
        <f t="shared" si="28"/>
        <v>0</v>
      </c>
      <c r="U45" s="705">
        <f t="shared" si="29"/>
        <v>-950690</v>
      </c>
      <c r="V45" s="705"/>
      <c r="W45" s="705"/>
      <c r="X45" s="705"/>
      <c r="Y45" s="705">
        <v>950690</v>
      </c>
      <c r="Z45" s="210" t="s">
        <v>1105</v>
      </c>
      <c r="AA45" s="705"/>
      <c r="AB45" s="705"/>
      <c r="AC45" s="707">
        <f>950690-950690</f>
        <v>0</v>
      </c>
      <c r="AD45" s="705"/>
      <c r="AE45" s="209"/>
      <c r="AF45" s="705">
        <f t="shared" si="30"/>
        <v>0</v>
      </c>
      <c r="AG45" s="705">
        <f t="shared" si="31"/>
        <v>0</v>
      </c>
      <c r="AH45" s="705">
        <f t="shared" si="32"/>
        <v>-950690</v>
      </c>
      <c r="AI45" s="705"/>
      <c r="AJ45" s="705"/>
      <c r="AK45" s="705"/>
      <c r="AL45" s="708">
        <v>950690</v>
      </c>
      <c r="AM45" s="738"/>
      <c r="AN45" s="209"/>
      <c r="AO45" s="209"/>
      <c r="AP45" s="209"/>
      <c r="AQ45" s="209"/>
      <c r="AR45" s="209"/>
      <c r="AS45" s="209"/>
      <c r="AT45" s="705">
        <f t="shared" si="33"/>
        <v>0</v>
      </c>
      <c r="AU45" s="209"/>
      <c r="AV45" s="209"/>
      <c r="AW45" s="209"/>
      <c r="AX45" s="209"/>
      <c r="AY45" s="717"/>
      <c r="AZ45" s="718"/>
      <c r="BA45" s="718"/>
      <c r="BB45" s="718"/>
      <c r="BC45" s="718"/>
      <c r="BD45" s="718"/>
      <c r="BE45" s="718"/>
      <c r="BF45" s="718"/>
      <c r="BG45" s="718"/>
      <c r="BH45" s="718"/>
      <c r="BI45" s="718"/>
      <c r="BJ45" s="718"/>
      <c r="BK45" s="718"/>
      <c r="BL45" s="718"/>
      <c r="BM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</row>
    <row r="46" spans="1:79" s="719" customFormat="1" ht="30" customHeight="1">
      <c r="A46" s="706" t="s">
        <v>1100</v>
      </c>
      <c r="B46" s="730" t="s">
        <v>1101</v>
      </c>
      <c r="C46" s="716">
        <f t="shared" si="35"/>
        <v>36</v>
      </c>
      <c r="D46" s="209">
        <v>20139</v>
      </c>
      <c r="E46" s="222" t="s">
        <v>1098</v>
      </c>
      <c r="F46" s="705">
        <v>17500000</v>
      </c>
      <c r="G46" s="705">
        <v>16000000</v>
      </c>
      <c r="H46" s="705">
        <f t="shared" si="22"/>
        <v>1500000</v>
      </c>
      <c r="I46" s="705"/>
      <c r="J46" s="705"/>
      <c r="K46" s="705"/>
      <c r="L46" s="705"/>
      <c r="M46" s="705">
        <f t="shared" si="23"/>
        <v>0</v>
      </c>
      <c r="N46" s="705">
        <f t="shared" si="24"/>
        <v>0</v>
      </c>
      <c r="O46" s="705">
        <v>17500000</v>
      </c>
      <c r="P46" s="705">
        <f t="shared" si="25"/>
        <v>0</v>
      </c>
      <c r="Q46" s="705">
        <f t="shared" si="26"/>
        <v>0</v>
      </c>
      <c r="R46" s="705">
        <f t="shared" si="27"/>
        <v>17500000</v>
      </c>
      <c r="S46" s="705">
        <v>16000000</v>
      </c>
      <c r="T46" s="705">
        <f t="shared" si="28"/>
        <v>1500000</v>
      </c>
      <c r="U46" s="705">
        <f t="shared" si="29"/>
        <v>1500000</v>
      </c>
      <c r="V46" s="705"/>
      <c r="W46" s="705"/>
      <c r="X46" s="705"/>
      <c r="Y46" s="705"/>
      <c r="Z46" s="210" t="s">
        <v>1090</v>
      </c>
      <c r="AA46" s="705"/>
      <c r="AB46" s="705"/>
      <c r="AC46" s="705">
        <v>1500000</v>
      </c>
      <c r="AD46" s="705"/>
      <c r="AE46" s="209"/>
      <c r="AF46" s="705">
        <f t="shared" si="30"/>
        <v>1500000</v>
      </c>
      <c r="AG46" s="705">
        <f t="shared" si="31"/>
        <v>0</v>
      </c>
      <c r="AH46" s="705">
        <f t="shared" si="32"/>
        <v>1500000</v>
      </c>
      <c r="AI46" s="705"/>
      <c r="AJ46" s="705"/>
      <c r="AK46" s="705"/>
      <c r="AL46" s="708"/>
      <c r="AM46" s="738"/>
      <c r="AN46" s="209"/>
      <c r="AO46" s="209"/>
      <c r="AP46" s="209"/>
      <c r="AQ46" s="209"/>
      <c r="AR46" s="209"/>
      <c r="AS46" s="209"/>
      <c r="AT46" s="705">
        <f t="shared" si="33"/>
        <v>0</v>
      </c>
      <c r="AU46" s="209"/>
      <c r="AV46" s="209"/>
      <c r="AW46" s="209"/>
      <c r="AX46" s="209"/>
      <c r="AY46" s="717"/>
      <c r="AZ46" s="718"/>
      <c r="BA46" s="718"/>
      <c r="BB46" s="718"/>
      <c r="BC46" s="718"/>
      <c r="BD46" s="718"/>
      <c r="BE46" s="718"/>
      <c r="BF46" s="718"/>
      <c r="BG46" s="718"/>
      <c r="BH46" s="718"/>
      <c r="BI46" s="718"/>
      <c r="BJ46" s="718"/>
      <c r="BK46" s="718"/>
      <c r="BL46" s="718"/>
      <c r="BM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</row>
    <row r="47" spans="1:79" s="719" customFormat="1" ht="30" customHeight="1">
      <c r="A47" s="706" t="s">
        <v>1076</v>
      </c>
      <c r="B47" s="730" t="s">
        <v>1077</v>
      </c>
      <c r="C47" s="716">
        <f t="shared" si="35"/>
        <v>37</v>
      </c>
      <c r="D47" s="209">
        <v>20139</v>
      </c>
      <c r="E47" s="222" t="s">
        <v>1098</v>
      </c>
      <c r="F47" s="705">
        <f>17500000+8000000</f>
        <v>25500000</v>
      </c>
      <c r="G47" s="705">
        <v>17500000</v>
      </c>
      <c r="H47" s="705">
        <f t="shared" si="22"/>
        <v>8000000</v>
      </c>
      <c r="I47" s="705"/>
      <c r="J47" s="705"/>
      <c r="K47" s="705"/>
      <c r="L47" s="705"/>
      <c r="M47" s="705">
        <f t="shared" ref="M47" si="36">SUM(K47:L47)</f>
        <v>0</v>
      </c>
      <c r="N47" s="705">
        <f t="shared" si="24"/>
        <v>0</v>
      </c>
      <c r="O47" s="705">
        <f>17500000+8000000</f>
        <v>25500000</v>
      </c>
      <c r="P47" s="705">
        <f t="shared" si="25"/>
        <v>0</v>
      </c>
      <c r="Q47" s="705">
        <f t="shared" si="26"/>
        <v>0</v>
      </c>
      <c r="R47" s="705">
        <f t="shared" si="27"/>
        <v>25500000</v>
      </c>
      <c r="S47" s="705">
        <f>16000000+1500000</f>
        <v>17500000</v>
      </c>
      <c r="T47" s="705">
        <f t="shared" si="28"/>
        <v>8000000</v>
      </c>
      <c r="U47" s="705">
        <f t="shared" si="29"/>
        <v>0</v>
      </c>
      <c r="V47" s="705">
        <v>8000000</v>
      </c>
      <c r="W47" s="705"/>
      <c r="X47" s="705"/>
      <c r="Y47" s="705"/>
      <c r="Z47" s="210" t="s">
        <v>1090</v>
      </c>
      <c r="AA47" s="705"/>
      <c r="AB47" s="705"/>
      <c r="AC47" s="705"/>
      <c r="AD47" s="705">
        <v>8000000</v>
      </c>
      <c r="AE47" s="209"/>
      <c r="AF47" s="705">
        <f t="shared" si="30"/>
        <v>8000000</v>
      </c>
      <c r="AG47" s="705">
        <f t="shared" si="31"/>
        <v>0</v>
      </c>
      <c r="AH47" s="705">
        <f t="shared" si="32"/>
        <v>0</v>
      </c>
      <c r="AI47" s="705">
        <v>8000000</v>
      </c>
      <c r="AJ47" s="705"/>
      <c r="AK47" s="705"/>
      <c r="AL47" s="747"/>
      <c r="AM47" s="738"/>
      <c r="AN47" s="209"/>
      <c r="AO47" s="209"/>
      <c r="AP47" s="209"/>
      <c r="AQ47" s="209"/>
      <c r="AR47" s="209"/>
      <c r="AS47" s="209"/>
      <c r="AT47" s="705">
        <f t="shared" si="33"/>
        <v>0</v>
      </c>
      <c r="AU47" s="209"/>
      <c r="AV47" s="209"/>
      <c r="AW47" s="209"/>
      <c r="AX47" s="209"/>
      <c r="AY47" s="718"/>
      <c r="AZ47" s="718"/>
      <c r="BA47" s="718"/>
      <c r="BB47" s="718"/>
      <c r="BC47" s="718"/>
      <c r="BD47" s="718"/>
      <c r="BE47" s="718"/>
      <c r="BF47" s="718"/>
      <c r="BG47" s="718"/>
      <c r="BH47" s="718"/>
      <c r="BI47" s="718"/>
      <c r="BJ47" s="718"/>
      <c r="BK47" s="718"/>
      <c r="BL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</row>
    <row r="48" spans="1:79" s="719" customFormat="1" ht="30" customHeight="1">
      <c r="A48" s="706" t="s">
        <v>1076</v>
      </c>
      <c r="B48" s="730" t="s">
        <v>1077</v>
      </c>
      <c r="C48" s="716">
        <f t="shared" si="35"/>
        <v>38</v>
      </c>
      <c r="D48" s="209">
        <v>20081</v>
      </c>
      <c r="E48" s="222" t="s">
        <v>592</v>
      </c>
      <c r="F48" s="705">
        <f>57500000+27500000</f>
        <v>85000000</v>
      </c>
      <c r="G48" s="705">
        <v>57500000</v>
      </c>
      <c r="H48" s="705">
        <f t="shared" si="22"/>
        <v>27500000</v>
      </c>
      <c r="I48" s="705">
        <v>39000000</v>
      </c>
      <c r="J48" s="705">
        <f>33957035+2965</f>
        <v>33960000</v>
      </c>
      <c r="K48" s="705"/>
      <c r="L48" s="705"/>
      <c r="M48" s="705">
        <f t="shared" ref="M48:M50" si="37">SUM(K48:L48)</f>
        <v>0</v>
      </c>
      <c r="N48" s="705">
        <f t="shared" si="24"/>
        <v>33960000</v>
      </c>
      <c r="O48" s="705">
        <f>21540000+3000000</f>
        <v>24540000</v>
      </c>
      <c r="P48" s="705">
        <f t="shared" si="25"/>
        <v>26500000</v>
      </c>
      <c r="Q48" s="705">
        <f t="shared" si="26"/>
        <v>5040000</v>
      </c>
      <c r="R48" s="705">
        <f t="shared" si="27"/>
        <v>19500000</v>
      </c>
      <c r="S48" s="705">
        <v>16500000</v>
      </c>
      <c r="T48" s="705">
        <f t="shared" si="28"/>
        <v>3000000</v>
      </c>
      <c r="U48" s="705">
        <f t="shared" si="29"/>
        <v>3000000</v>
      </c>
      <c r="V48" s="705"/>
      <c r="W48" s="705"/>
      <c r="X48" s="705"/>
      <c r="Y48" s="705"/>
      <c r="Z48" s="210" t="s">
        <v>1106</v>
      </c>
      <c r="AA48" s="705"/>
      <c r="AB48" s="705"/>
      <c r="AC48" s="705"/>
      <c r="AD48" s="705">
        <v>3000000</v>
      </c>
      <c r="AE48" s="209"/>
      <c r="AF48" s="705">
        <f t="shared" si="30"/>
        <v>3000000</v>
      </c>
      <c r="AG48" s="705">
        <f t="shared" si="31"/>
        <v>0</v>
      </c>
      <c r="AH48" s="705">
        <f t="shared" si="32"/>
        <v>3000000</v>
      </c>
      <c r="AI48" s="705"/>
      <c r="AJ48" s="705"/>
      <c r="AK48" s="705"/>
      <c r="AL48" s="747"/>
      <c r="AM48" s="738"/>
      <c r="AN48" s="209"/>
      <c r="AO48" s="209"/>
      <c r="AP48" s="209"/>
      <c r="AQ48" s="209"/>
      <c r="AR48" s="209"/>
      <c r="AS48" s="209"/>
      <c r="AT48" s="705">
        <f t="shared" si="33"/>
        <v>0</v>
      </c>
      <c r="AU48" s="209"/>
      <c r="AV48" s="209"/>
      <c r="AW48" s="209"/>
      <c r="AX48" s="209"/>
      <c r="AY48" s="718"/>
      <c r="AZ48" s="718"/>
      <c r="BA48" s="718"/>
      <c r="BB48" s="718"/>
      <c r="BC48" s="718"/>
      <c r="BD48" s="718"/>
      <c r="BE48" s="718"/>
      <c r="BF48" s="718"/>
      <c r="BG48" s="718"/>
      <c r="BH48" s="718"/>
      <c r="BI48" s="718"/>
      <c r="BJ48" s="718"/>
      <c r="BK48" s="718"/>
      <c r="BL48" s="205"/>
      <c r="BO48" s="205"/>
      <c r="BP48" s="205"/>
      <c r="BQ48" s="205"/>
      <c r="BR48" s="205"/>
      <c r="BS48" s="205"/>
      <c r="BT48" s="205"/>
      <c r="BU48" s="205"/>
      <c r="BV48" s="205"/>
      <c r="BW48" s="205"/>
      <c r="BX48" s="205"/>
      <c r="BY48" s="205"/>
      <c r="BZ48" s="205"/>
    </row>
    <row r="49" spans="1:78" s="719" customFormat="1" ht="30" customHeight="1">
      <c r="A49" s="706" t="s">
        <v>1076</v>
      </c>
      <c r="B49" s="730" t="s">
        <v>1077</v>
      </c>
      <c r="C49" s="716">
        <f t="shared" si="35"/>
        <v>39</v>
      </c>
      <c r="D49" s="209">
        <v>1620</v>
      </c>
      <c r="E49" s="222" t="s">
        <v>694</v>
      </c>
      <c r="F49" s="705">
        <v>4200000</v>
      </c>
      <c r="G49" s="705">
        <v>4200000</v>
      </c>
      <c r="H49" s="705">
        <f t="shared" si="22"/>
        <v>0</v>
      </c>
      <c r="I49" s="705">
        <v>200000</v>
      </c>
      <c r="J49" s="705"/>
      <c r="K49" s="705"/>
      <c r="L49" s="705"/>
      <c r="M49" s="705">
        <f t="shared" si="37"/>
        <v>0</v>
      </c>
      <c r="N49" s="705">
        <f t="shared" si="24"/>
        <v>0</v>
      </c>
      <c r="O49" s="705">
        <f>200000+300000</f>
        <v>500000</v>
      </c>
      <c r="P49" s="705">
        <f t="shared" si="25"/>
        <v>3700000</v>
      </c>
      <c r="Q49" s="705">
        <f t="shared" si="26"/>
        <v>200000</v>
      </c>
      <c r="R49" s="705">
        <f t="shared" si="27"/>
        <v>300000</v>
      </c>
      <c r="S49" s="705"/>
      <c r="T49" s="705">
        <f t="shared" si="28"/>
        <v>300000</v>
      </c>
      <c r="U49" s="705">
        <f t="shared" si="29"/>
        <v>300000</v>
      </c>
      <c r="V49" s="705"/>
      <c r="W49" s="705"/>
      <c r="X49" s="705"/>
      <c r="Y49" s="705"/>
      <c r="Z49" s="210" t="s">
        <v>1085</v>
      </c>
      <c r="AA49" s="705"/>
      <c r="AB49" s="705"/>
      <c r="AC49" s="705"/>
      <c r="AD49" s="705">
        <v>300000</v>
      </c>
      <c r="AE49" s="209"/>
      <c r="AF49" s="705">
        <f t="shared" si="30"/>
        <v>300000</v>
      </c>
      <c r="AG49" s="705">
        <f t="shared" si="31"/>
        <v>0</v>
      </c>
      <c r="AH49" s="705">
        <f t="shared" si="32"/>
        <v>300000</v>
      </c>
      <c r="AI49" s="705"/>
      <c r="AJ49" s="705"/>
      <c r="AK49" s="705"/>
      <c r="AL49" s="747"/>
      <c r="AM49" s="738"/>
      <c r="AN49" s="209"/>
      <c r="AO49" s="209"/>
      <c r="AP49" s="209"/>
      <c r="AQ49" s="209"/>
      <c r="AR49" s="209"/>
      <c r="AS49" s="209"/>
      <c r="AT49" s="705">
        <f t="shared" si="33"/>
        <v>0</v>
      </c>
      <c r="AU49" s="209"/>
      <c r="AV49" s="209"/>
      <c r="AW49" s="209"/>
      <c r="AX49" s="209"/>
      <c r="AY49" s="718"/>
      <c r="AZ49" s="718"/>
      <c r="BA49" s="718"/>
      <c r="BB49" s="718"/>
      <c r="BC49" s="718"/>
      <c r="BD49" s="718"/>
      <c r="BE49" s="718"/>
      <c r="BF49" s="718"/>
      <c r="BG49" s="718"/>
      <c r="BH49" s="718"/>
      <c r="BI49" s="718"/>
      <c r="BJ49" s="718"/>
      <c r="BK49" s="718"/>
      <c r="BL49" s="205"/>
      <c r="BO49" s="205"/>
      <c r="BP49" s="205"/>
      <c r="BQ49" s="205"/>
      <c r="BR49" s="205"/>
      <c r="BS49" s="205"/>
      <c r="BT49" s="205"/>
      <c r="BU49" s="205"/>
      <c r="BV49" s="205"/>
      <c r="BW49" s="205"/>
      <c r="BX49" s="205"/>
      <c r="BY49" s="205"/>
      <c r="BZ49" s="205"/>
    </row>
    <row r="50" spans="1:78" s="719" customFormat="1" ht="30" customHeight="1">
      <c r="A50" s="706" t="s">
        <v>1076</v>
      </c>
      <c r="B50" s="730" t="s">
        <v>1077</v>
      </c>
      <c r="C50" s="716">
        <f t="shared" si="35"/>
        <v>40</v>
      </c>
      <c r="D50" s="209">
        <v>2115</v>
      </c>
      <c r="E50" s="222" t="s">
        <v>214</v>
      </c>
      <c r="F50" s="705">
        <v>3700000</v>
      </c>
      <c r="G50" s="705">
        <v>3700000</v>
      </c>
      <c r="H50" s="705">
        <f t="shared" si="22"/>
        <v>0</v>
      </c>
      <c r="I50" s="705">
        <v>2300000</v>
      </c>
      <c r="J50" s="705">
        <v>2300000</v>
      </c>
      <c r="K50" s="705"/>
      <c r="L50" s="705"/>
      <c r="M50" s="705">
        <f t="shared" si="37"/>
        <v>0</v>
      </c>
      <c r="N50" s="705">
        <f t="shared" si="24"/>
        <v>2300000</v>
      </c>
      <c r="O50" s="705">
        <f>1400000-300000</f>
        <v>1100000</v>
      </c>
      <c r="P50" s="705">
        <f t="shared" si="25"/>
        <v>300000</v>
      </c>
      <c r="Q50" s="705">
        <f t="shared" si="26"/>
        <v>0</v>
      </c>
      <c r="R50" s="705">
        <f t="shared" si="27"/>
        <v>1100000</v>
      </c>
      <c r="S50" s="705">
        <v>1400000</v>
      </c>
      <c r="T50" s="705">
        <f t="shared" si="28"/>
        <v>-300000</v>
      </c>
      <c r="U50" s="705">
        <f t="shared" si="29"/>
        <v>-300000</v>
      </c>
      <c r="V50" s="705"/>
      <c r="W50" s="705"/>
      <c r="X50" s="705"/>
      <c r="Y50" s="705"/>
      <c r="Z50" s="210" t="s">
        <v>1084</v>
      </c>
      <c r="AA50" s="705"/>
      <c r="AB50" s="705"/>
      <c r="AC50" s="705"/>
      <c r="AD50" s="705"/>
      <c r="AE50" s="209"/>
      <c r="AF50" s="705">
        <f t="shared" si="30"/>
        <v>0</v>
      </c>
      <c r="AG50" s="705">
        <f t="shared" si="31"/>
        <v>-300000</v>
      </c>
      <c r="AH50" s="705">
        <f t="shared" si="32"/>
        <v>0</v>
      </c>
      <c r="AI50" s="705"/>
      <c r="AJ50" s="705"/>
      <c r="AK50" s="705"/>
      <c r="AL50" s="747"/>
      <c r="AM50" s="738"/>
      <c r="AN50" s="209"/>
      <c r="AO50" s="209"/>
      <c r="AP50" s="209"/>
      <c r="AQ50" s="209"/>
      <c r="AR50" s="209"/>
      <c r="AS50" s="209"/>
      <c r="AT50" s="705">
        <f t="shared" si="33"/>
        <v>0</v>
      </c>
      <c r="AU50" s="209"/>
      <c r="AV50" s="209"/>
      <c r="AW50" s="209"/>
      <c r="AX50" s="209"/>
      <c r="AY50" s="718"/>
      <c r="AZ50" s="718"/>
      <c r="BA50" s="718"/>
      <c r="BB50" s="718"/>
      <c r="BC50" s="718"/>
      <c r="BD50" s="718"/>
      <c r="BE50" s="718"/>
      <c r="BF50" s="718"/>
      <c r="BG50" s="718"/>
      <c r="BH50" s="718"/>
      <c r="BI50" s="718"/>
      <c r="BJ50" s="718"/>
      <c r="BK50" s="718"/>
      <c r="BL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5"/>
      <c r="BZ50" s="205"/>
    </row>
    <row r="51" spans="1:78" s="719" customFormat="1" ht="30" customHeight="1">
      <c r="A51" s="706" t="s">
        <v>1076</v>
      </c>
      <c r="B51" s="730" t="s">
        <v>1077</v>
      </c>
      <c r="C51" s="716">
        <f t="shared" si="35"/>
        <v>41</v>
      </c>
      <c r="D51" s="209">
        <v>2097</v>
      </c>
      <c r="E51" s="222" t="s">
        <v>223</v>
      </c>
      <c r="F51" s="705">
        <v>79000000</v>
      </c>
      <c r="G51" s="705">
        <v>79000000</v>
      </c>
      <c r="H51" s="705">
        <f t="shared" si="22"/>
        <v>0</v>
      </c>
      <c r="I51" s="705">
        <v>41119617</v>
      </c>
      <c r="J51" s="705">
        <f>34455920+13697</f>
        <v>34469617</v>
      </c>
      <c r="K51" s="705"/>
      <c r="L51" s="705"/>
      <c r="M51" s="705">
        <f t="shared" ref="M51:M55" si="38">SUM(K51:L51)</f>
        <v>0</v>
      </c>
      <c r="N51" s="705">
        <f t="shared" si="24"/>
        <v>34469617</v>
      </c>
      <c r="O51" s="705">
        <f>14551997+10000000</f>
        <v>24551997</v>
      </c>
      <c r="P51" s="705">
        <f t="shared" si="25"/>
        <v>19978386</v>
      </c>
      <c r="Q51" s="705">
        <f t="shared" si="26"/>
        <v>6650000</v>
      </c>
      <c r="R51" s="705">
        <f t="shared" si="27"/>
        <v>17901997</v>
      </c>
      <c r="S51" s="705">
        <v>7901997</v>
      </c>
      <c r="T51" s="705">
        <f t="shared" si="28"/>
        <v>10000000</v>
      </c>
      <c r="U51" s="705">
        <f t="shared" si="29"/>
        <v>10000000</v>
      </c>
      <c r="V51" s="705"/>
      <c r="W51" s="705"/>
      <c r="X51" s="705"/>
      <c r="Y51" s="705"/>
      <c r="Z51" s="210" t="s">
        <v>1085</v>
      </c>
      <c r="AA51" s="705"/>
      <c r="AB51" s="705"/>
      <c r="AC51" s="705"/>
      <c r="AD51" s="705">
        <v>10000000</v>
      </c>
      <c r="AE51" s="209"/>
      <c r="AF51" s="705">
        <f t="shared" si="30"/>
        <v>10000000</v>
      </c>
      <c r="AG51" s="705">
        <f t="shared" si="31"/>
        <v>0</v>
      </c>
      <c r="AH51" s="705">
        <f t="shared" si="32"/>
        <v>10000000</v>
      </c>
      <c r="AI51" s="705"/>
      <c r="AJ51" s="705"/>
      <c r="AK51" s="705"/>
      <c r="AL51" s="747"/>
      <c r="AM51" s="738"/>
      <c r="AN51" s="209"/>
      <c r="AO51" s="209"/>
      <c r="AP51" s="209"/>
      <c r="AQ51" s="209"/>
      <c r="AR51" s="209"/>
      <c r="AS51" s="209"/>
      <c r="AT51" s="705">
        <f t="shared" si="33"/>
        <v>0</v>
      </c>
      <c r="AU51" s="209"/>
      <c r="AV51" s="209"/>
      <c r="AW51" s="209"/>
      <c r="AX51" s="209"/>
      <c r="AY51" s="718"/>
      <c r="AZ51" s="718"/>
      <c r="BA51" s="718"/>
      <c r="BB51" s="718"/>
      <c r="BC51" s="718"/>
      <c r="BD51" s="718"/>
      <c r="BE51" s="718"/>
      <c r="BF51" s="718"/>
      <c r="BG51" s="718"/>
      <c r="BH51" s="718"/>
      <c r="BI51" s="718"/>
      <c r="BJ51" s="718"/>
      <c r="BK51" s="718"/>
      <c r="BL51" s="205"/>
      <c r="BO51" s="205"/>
      <c r="BP51" s="205"/>
      <c r="BQ51" s="205"/>
      <c r="BR51" s="205"/>
      <c r="BS51" s="205"/>
      <c r="BT51" s="205"/>
      <c r="BU51" s="205"/>
      <c r="BV51" s="205"/>
      <c r="BW51" s="205"/>
      <c r="BX51" s="205"/>
      <c r="BY51" s="205"/>
      <c r="BZ51" s="205"/>
    </row>
    <row r="52" spans="1:78" s="719" customFormat="1" ht="30" customHeight="1">
      <c r="A52" s="706" t="s">
        <v>1076</v>
      </c>
      <c r="B52" s="730" t="s">
        <v>1077</v>
      </c>
      <c r="C52" s="716">
        <f t="shared" si="35"/>
        <v>42</v>
      </c>
      <c r="D52" s="209">
        <v>2213</v>
      </c>
      <c r="E52" s="222" t="s">
        <v>352</v>
      </c>
      <c r="F52" s="705">
        <f>7100000+3000000</f>
        <v>10100000</v>
      </c>
      <c r="G52" s="705">
        <v>7100000</v>
      </c>
      <c r="H52" s="705">
        <f t="shared" si="22"/>
        <v>3000000</v>
      </c>
      <c r="I52" s="705">
        <v>7100000</v>
      </c>
      <c r="J52" s="705">
        <f>5524946+5054</f>
        <v>5530000</v>
      </c>
      <c r="K52" s="705"/>
      <c r="L52" s="705"/>
      <c r="M52" s="705">
        <f t="shared" si="38"/>
        <v>0</v>
      </c>
      <c r="N52" s="705">
        <f t="shared" si="24"/>
        <v>5530000</v>
      </c>
      <c r="O52" s="705">
        <f>1570000+1000000</f>
        <v>2570000</v>
      </c>
      <c r="P52" s="705">
        <f t="shared" si="25"/>
        <v>2000000</v>
      </c>
      <c r="Q52" s="705">
        <f t="shared" si="26"/>
        <v>1570000</v>
      </c>
      <c r="R52" s="705">
        <f t="shared" si="27"/>
        <v>1000000</v>
      </c>
      <c r="S52" s="705"/>
      <c r="T52" s="705">
        <f t="shared" si="28"/>
        <v>1000000</v>
      </c>
      <c r="U52" s="705">
        <f t="shared" si="29"/>
        <v>1000000</v>
      </c>
      <c r="V52" s="705"/>
      <c r="W52" s="705"/>
      <c r="X52" s="705"/>
      <c r="Y52" s="705"/>
      <c r="Z52" s="210" t="s">
        <v>1090</v>
      </c>
      <c r="AA52" s="705"/>
      <c r="AB52" s="705"/>
      <c r="AC52" s="705"/>
      <c r="AD52" s="705">
        <v>1000000</v>
      </c>
      <c r="AE52" s="209"/>
      <c r="AF52" s="705">
        <f t="shared" si="30"/>
        <v>1000000</v>
      </c>
      <c r="AG52" s="705">
        <f t="shared" si="31"/>
        <v>0</v>
      </c>
      <c r="AH52" s="705">
        <f t="shared" si="32"/>
        <v>1000000</v>
      </c>
      <c r="AI52" s="705"/>
      <c r="AJ52" s="705"/>
      <c r="AK52" s="705"/>
      <c r="AL52" s="747"/>
      <c r="AM52" s="738"/>
      <c r="AN52" s="209"/>
      <c r="AO52" s="209"/>
      <c r="AP52" s="209"/>
      <c r="AQ52" s="209"/>
      <c r="AR52" s="209"/>
      <c r="AS52" s="209"/>
      <c r="AT52" s="705">
        <f t="shared" si="33"/>
        <v>0</v>
      </c>
      <c r="AU52" s="209"/>
      <c r="AV52" s="209"/>
      <c r="AW52" s="209"/>
      <c r="AX52" s="209"/>
      <c r="AY52" s="718"/>
      <c r="AZ52" s="718"/>
      <c r="BA52" s="718"/>
      <c r="BB52" s="718"/>
      <c r="BC52" s="718"/>
      <c r="BD52" s="718"/>
      <c r="BE52" s="718"/>
      <c r="BF52" s="718"/>
      <c r="BG52" s="718"/>
      <c r="BH52" s="718"/>
      <c r="BI52" s="718"/>
      <c r="BJ52" s="718"/>
      <c r="BK52" s="718"/>
      <c r="BL52" s="205"/>
      <c r="BO52" s="205"/>
      <c r="BP52" s="205"/>
      <c r="BQ52" s="205"/>
      <c r="BR52" s="205"/>
      <c r="BS52" s="205"/>
      <c r="BT52" s="205"/>
      <c r="BU52" s="205"/>
      <c r="BV52" s="205"/>
      <c r="BW52" s="205"/>
      <c r="BX52" s="205"/>
      <c r="BY52" s="205"/>
      <c r="BZ52" s="205"/>
    </row>
    <row r="53" spans="1:78" s="719" customFormat="1" ht="30" customHeight="1">
      <c r="A53" s="706" t="s">
        <v>1076</v>
      </c>
      <c r="B53" s="730" t="s">
        <v>1077</v>
      </c>
      <c r="C53" s="716">
        <f t="shared" si="35"/>
        <v>43</v>
      </c>
      <c r="D53" s="209">
        <v>2205</v>
      </c>
      <c r="E53" s="222" t="s">
        <v>342</v>
      </c>
      <c r="F53" s="705">
        <f>18275000+850000</f>
        <v>19125000</v>
      </c>
      <c r="G53" s="705">
        <v>18275000</v>
      </c>
      <c r="H53" s="705">
        <f t="shared" si="22"/>
        <v>850000</v>
      </c>
      <c r="I53" s="705">
        <v>18000000</v>
      </c>
      <c r="J53" s="705">
        <f>16568520+1480</f>
        <v>16570000</v>
      </c>
      <c r="K53" s="705"/>
      <c r="L53" s="705"/>
      <c r="M53" s="705">
        <f t="shared" si="38"/>
        <v>0</v>
      </c>
      <c r="N53" s="705">
        <f t="shared" si="24"/>
        <v>16570000</v>
      </c>
      <c r="O53" s="705">
        <f>1705000+850000</f>
        <v>2555000</v>
      </c>
      <c r="P53" s="705">
        <f t="shared" si="25"/>
        <v>0</v>
      </c>
      <c r="Q53" s="705">
        <f t="shared" si="26"/>
        <v>1430000</v>
      </c>
      <c r="R53" s="705">
        <f t="shared" si="27"/>
        <v>1125000</v>
      </c>
      <c r="S53" s="705">
        <v>275000</v>
      </c>
      <c r="T53" s="705">
        <f t="shared" si="28"/>
        <v>850000</v>
      </c>
      <c r="U53" s="705">
        <f t="shared" si="29"/>
        <v>850000</v>
      </c>
      <c r="V53" s="705"/>
      <c r="W53" s="705"/>
      <c r="X53" s="705"/>
      <c r="Y53" s="705"/>
      <c r="Z53" s="210" t="s">
        <v>1090</v>
      </c>
      <c r="AA53" s="705"/>
      <c r="AB53" s="705"/>
      <c r="AC53" s="705"/>
      <c r="AD53" s="705">
        <v>850000</v>
      </c>
      <c r="AE53" s="209"/>
      <c r="AF53" s="705">
        <f t="shared" si="30"/>
        <v>850000</v>
      </c>
      <c r="AG53" s="705">
        <f t="shared" si="31"/>
        <v>0</v>
      </c>
      <c r="AH53" s="705">
        <f t="shared" si="32"/>
        <v>850000</v>
      </c>
      <c r="AI53" s="705"/>
      <c r="AJ53" s="705"/>
      <c r="AK53" s="705"/>
      <c r="AL53" s="747"/>
      <c r="AM53" s="738"/>
      <c r="AN53" s="209"/>
      <c r="AO53" s="209"/>
      <c r="AP53" s="209"/>
      <c r="AQ53" s="209"/>
      <c r="AR53" s="209"/>
      <c r="AS53" s="209"/>
      <c r="AT53" s="705">
        <f t="shared" si="33"/>
        <v>0</v>
      </c>
      <c r="AU53" s="209"/>
      <c r="AV53" s="209"/>
      <c r="AW53" s="209"/>
      <c r="AX53" s="209"/>
      <c r="AY53" s="718"/>
      <c r="AZ53" s="718"/>
      <c r="BA53" s="718"/>
      <c r="BB53" s="718"/>
      <c r="BC53" s="718"/>
      <c r="BD53" s="718"/>
      <c r="BE53" s="718"/>
      <c r="BF53" s="718"/>
      <c r="BG53" s="718"/>
      <c r="BH53" s="718"/>
      <c r="BI53" s="718"/>
      <c r="BJ53" s="718"/>
      <c r="BK53" s="718"/>
      <c r="BL53" s="205"/>
      <c r="BO53" s="205"/>
      <c r="BP53" s="205"/>
      <c r="BQ53" s="205"/>
      <c r="BR53" s="205"/>
      <c r="BS53" s="205"/>
      <c r="BT53" s="205"/>
      <c r="BU53" s="205"/>
      <c r="BV53" s="205"/>
      <c r="BW53" s="205"/>
      <c r="BX53" s="205"/>
      <c r="BY53" s="205"/>
      <c r="BZ53" s="205"/>
    </row>
    <row r="54" spans="1:78" s="719" customFormat="1" ht="30" customHeight="1">
      <c r="A54" s="706" t="s">
        <v>1076</v>
      </c>
      <c r="B54" s="730" t="s">
        <v>1077</v>
      </c>
      <c r="C54" s="716">
        <f t="shared" si="35"/>
        <v>44</v>
      </c>
      <c r="D54" s="209">
        <v>1670</v>
      </c>
      <c r="E54" s="222" t="s">
        <v>78</v>
      </c>
      <c r="F54" s="705">
        <v>37700000</v>
      </c>
      <c r="G54" s="705">
        <v>37700000</v>
      </c>
      <c r="H54" s="705">
        <f t="shared" si="22"/>
        <v>0</v>
      </c>
      <c r="I54" s="705">
        <v>6050000</v>
      </c>
      <c r="J54" s="705">
        <f>5809570+430</f>
        <v>5810000</v>
      </c>
      <c r="K54" s="705"/>
      <c r="L54" s="705"/>
      <c r="M54" s="705">
        <f t="shared" si="38"/>
        <v>0</v>
      </c>
      <c r="N54" s="705">
        <f t="shared" si="24"/>
        <v>5810000</v>
      </c>
      <c r="O54" s="705">
        <f>5240000-4000000</f>
        <v>1240000</v>
      </c>
      <c r="P54" s="705">
        <f t="shared" si="25"/>
        <v>30650000</v>
      </c>
      <c r="Q54" s="705">
        <f t="shared" si="26"/>
        <v>240000</v>
      </c>
      <c r="R54" s="705">
        <f t="shared" si="27"/>
        <v>1000000</v>
      </c>
      <c r="S54" s="705">
        <v>5000000</v>
      </c>
      <c r="T54" s="705">
        <f t="shared" si="28"/>
        <v>-4000000</v>
      </c>
      <c r="U54" s="705">
        <f t="shared" si="29"/>
        <v>-4000000</v>
      </c>
      <c r="V54" s="705"/>
      <c r="W54" s="705"/>
      <c r="X54" s="705"/>
      <c r="Y54" s="705"/>
      <c r="Z54" s="210" t="s">
        <v>1084</v>
      </c>
      <c r="AA54" s="705"/>
      <c r="AB54" s="705"/>
      <c r="AC54" s="705"/>
      <c r="AD54" s="705">
        <v>-100000</v>
      </c>
      <c r="AE54" s="209"/>
      <c r="AF54" s="705">
        <f t="shared" si="30"/>
        <v>-100000</v>
      </c>
      <c r="AG54" s="705">
        <f t="shared" si="31"/>
        <v>-3900000</v>
      </c>
      <c r="AH54" s="705">
        <f t="shared" si="32"/>
        <v>-100000</v>
      </c>
      <c r="AI54" s="705"/>
      <c r="AJ54" s="705"/>
      <c r="AK54" s="705"/>
      <c r="AL54" s="747"/>
      <c r="AM54" s="738"/>
      <c r="AN54" s="209"/>
      <c r="AO54" s="209"/>
      <c r="AP54" s="209"/>
      <c r="AQ54" s="209"/>
      <c r="AR54" s="209"/>
      <c r="AS54" s="209"/>
      <c r="AT54" s="705">
        <f t="shared" si="33"/>
        <v>0</v>
      </c>
      <c r="AU54" s="209"/>
      <c r="AV54" s="209"/>
      <c r="AW54" s="209"/>
      <c r="AX54" s="209"/>
      <c r="AY54" s="718"/>
      <c r="AZ54" s="718"/>
      <c r="BA54" s="718"/>
      <c r="BB54" s="718"/>
      <c r="BC54" s="718"/>
      <c r="BD54" s="718"/>
      <c r="BE54" s="718"/>
      <c r="BF54" s="718"/>
      <c r="BG54" s="718"/>
      <c r="BH54" s="718"/>
      <c r="BI54" s="718"/>
      <c r="BJ54" s="718"/>
      <c r="BK54" s="718"/>
      <c r="BL54" s="205"/>
      <c r="BO54" s="205"/>
      <c r="BP54" s="205"/>
      <c r="BQ54" s="205"/>
      <c r="BR54" s="205"/>
      <c r="BS54" s="205"/>
      <c r="BT54" s="205"/>
      <c r="BU54" s="205"/>
      <c r="BV54" s="205"/>
      <c r="BW54" s="205"/>
      <c r="BX54" s="205"/>
      <c r="BY54" s="205"/>
      <c r="BZ54" s="205"/>
    </row>
    <row r="55" spans="1:78" s="719" customFormat="1" ht="30" customHeight="1">
      <c r="A55" s="706" t="s">
        <v>1076</v>
      </c>
      <c r="B55" s="730" t="s">
        <v>1077</v>
      </c>
      <c r="C55" s="716">
        <f t="shared" si="35"/>
        <v>45</v>
      </c>
      <c r="D55" s="209">
        <v>2209</v>
      </c>
      <c r="E55" s="222" t="s">
        <v>369</v>
      </c>
      <c r="F55" s="705">
        <v>46500000</v>
      </c>
      <c r="G55" s="705">
        <v>46500000</v>
      </c>
      <c r="H55" s="705">
        <f t="shared" si="22"/>
        <v>0</v>
      </c>
      <c r="I55" s="705">
        <v>1500000</v>
      </c>
      <c r="J55" s="705">
        <f>1045608+4392</f>
        <v>1050000</v>
      </c>
      <c r="K55" s="705"/>
      <c r="L55" s="705"/>
      <c r="M55" s="705">
        <f t="shared" si="38"/>
        <v>0</v>
      </c>
      <c r="N55" s="705">
        <f t="shared" si="24"/>
        <v>1050000</v>
      </c>
      <c r="O55" s="705">
        <f>5000000-4250000</f>
        <v>750000</v>
      </c>
      <c r="P55" s="705">
        <f t="shared" si="25"/>
        <v>44700000</v>
      </c>
      <c r="Q55" s="705">
        <f t="shared" si="26"/>
        <v>450000</v>
      </c>
      <c r="R55" s="705">
        <f t="shared" si="27"/>
        <v>300000</v>
      </c>
      <c r="S55" s="705">
        <v>4550000</v>
      </c>
      <c r="T55" s="705">
        <f t="shared" si="28"/>
        <v>-4250000</v>
      </c>
      <c r="U55" s="705">
        <f t="shared" si="29"/>
        <v>-4250000</v>
      </c>
      <c r="V55" s="705"/>
      <c r="W55" s="705"/>
      <c r="X55" s="705"/>
      <c r="Y55" s="705"/>
      <c r="Z55" s="210" t="s">
        <v>1084</v>
      </c>
      <c r="AA55" s="705"/>
      <c r="AB55" s="705"/>
      <c r="AC55" s="705"/>
      <c r="AD55" s="705"/>
      <c r="AE55" s="209"/>
      <c r="AF55" s="705">
        <f t="shared" si="30"/>
        <v>0</v>
      </c>
      <c r="AG55" s="705">
        <f t="shared" si="31"/>
        <v>-4250000</v>
      </c>
      <c r="AH55" s="705">
        <f t="shared" si="32"/>
        <v>0</v>
      </c>
      <c r="AI55" s="705"/>
      <c r="AJ55" s="705"/>
      <c r="AK55" s="705"/>
      <c r="AL55" s="747"/>
      <c r="AM55" s="738"/>
      <c r="AN55" s="209"/>
      <c r="AO55" s="209"/>
      <c r="AP55" s="209"/>
      <c r="AQ55" s="209"/>
      <c r="AR55" s="209"/>
      <c r="AS55" s="209"/>
      <c r="AT55" s="705">
        <f t="shared" si="33"/>
        <v>0</v>
      </c>
      <c r="AU55" s="209"/>
      <c r="AV55" s="209"/>
      <c r="AW55" s="209"/>
      <c r="AX55" s="209"/>
      <c r="AY55" s="718"/>
      <c r="AZ55" s="718"/>
      <c r="BA55" s="718"/>
      <c r="BB55" s="718"/>
      <c r="BC55" s="718"/>
      <c r="BD55" s="718"/>
      <c r="BE55" s="718"/>
      <c r="BF55" s="718"/>
      <c r="BG55" s="718"/>
      <c r="BH55" s="718"/>
      <c r="BI55" s="718"/>
      <c r="BJ55" s="718"/>
      <c r="BK55" s="718"/>
      <c r="BL55" s="205"/>
      <c r="BO55" s="205"/>
      <c r="BP55" s="205"/>
      <c r="BQ55" s="205"/>
      <c r="BR55" s="205"/>
      <c r="BS55" s="205"/>
      <c r="BT55" s="205"/>
      <c r="BU55" s="205"/>
      <c r="BV55" s="205"/>
      <c r="BW55" s="205"/>
      <c r="BX55" s="205"/>
      <c r="BY55" s="205"/>
      <c r="BZ55" s="205"/>
    </row>
    <row r="56" spans="1:78" s="719" customFormat="1" ht="30" customHeight="1">
      <c r="A56" s="706" t="s">
        <v>1076</v>
      </c>
      <c r="B56" s="730" t="s">
        <v>1077</v>
      </c>
      <c r="C56" s="716">
        <f t="shared" si="35"/>
        <v>46</v>
      </c>
      <c r="D56" s="209">
        <v>20017</v>
      </c>
      <c r="E56" s="222" t="s">
        <v>1107</v>
      </c>
      <c r="F56" s="705">
        <v>10000000</v>
      </c>
      <c r="G56" s="705">
        <v>10000000</v>
      </c>
      <c r="H56" s="705">
        <f t="shared" si="22"/>
        <v>0</v>
      </c>
      <c r="I56" s="705">
        <v>2350000</v>
      </c>
      <c r="J56" s="705">
        <f>303035+1965</f>
        <v>305000</v>
      </c>
      <c r="K56" s="705"/>
      <c r="L56" s="705"/>
      <c r="M56" s="705">
        <f t="shared" ref="M56" si="39">SUM(K56:L56)</f>
        <v>0</v>
      </c>
      <c r="N56" s="705">
        <f t="shared" si="24"/>
        <v>305000</v>
      </c>
      <c r="O56" s="705">
        <f>2545000-2250000</f>
        <v>295000</v>
      </c>
      <c r="P56" s="705">
        <f t="shared" si="25"/>
        <v>9400000</v>
      </c>
      <c r="Q56" s="705">
        <f t="shared" si="26"/>
        <v>2045000</v>
      </c>
      <c r="R56" s="705">
        <f t="shared" si="27"/>
        <v>-1750000</v>
      </c>
      <c r="S56" s="705">
        <v>500000</v>
      </c>
      <c r="T56" s="705">
        <f t="shared" si="28"/>
        <v>-2250000</v>
      </c>
      <c r="U56" s="705">
        <f t="shared" si="29"/>
        <v>-2250000</v>
      </c>
      <c r="V56" s="705"/>
      <c r="W56" s="705"/>
      <c r="X56" s="705"/>
      <c r="Y56" s="705"/>
      <c r="Z56" s="210" t="s">
        <v>1084</v>
      </c>
      <c r="AA56" s="705"/>
      <c r="AB56" s="705"/>
      <c r="AC56" s="705"/>
      <c r="AD56" s="705">
        <v>-1750000</v>
      </c>
      <c r="AE56" s="209"/>
      <c r="AF56" s="705">
        <f t="shared" si="30"/>
        <v>-1750000</v>
      </c>
      <c r="AG56" s="705">
        <f t="shared" si="31"/>
        <v>-500000</v>
      </c>
      <c r="AH56" s="705">
        <f t="shared" si="32"/>
        <v>-1750000</v>
      </c>
      <c r="AI56" s="705"/>
      <c r="AJ56" s="705"/>
      <c r="AK56" s="705"/>
      <c r="AL56" s="747"/>
      <c r="AM56" s="738"/>
      <c r="AN56" s="209"/>
      <c r="AO56" s="209"/>
      <c r="AP56" s="209"/>
      <c r="AQ56" s="209"/>
      <c r="AR56" s="209"/>
      <c r="AS56" s="209"/>
      <c r="AT56" s="705">
        <f t="shared" si="33"/>
        <v>0</v>
      </c>
      <c r="AU56" s="209"/>
      <c r="AV56" s="209"/>
      <c r="AW56" s="209"/>
      <c r="AX56" s="209"/>
      <c r="AY56" s="718"/>
      <c r="AZ56" s="718"/>
      <c r="BA56" s="718"/>
      <c r="BB56" s="718"/>
      <c r="BC56" s="718"/>
      <c r="BD56" s="718"/>
      <c r="BE56" s="718"/>
      <c r="BF56" s="718"/>
      <c r="BG56" s="718"/>
      <c r="BH56" s="718"/>
      <c r="BI56" s="718"/>
      <c r="BJ56" s="718"/>
      <c r="BK56" s="718"/>
      <c r="BL56" s="205"/>
      <c r="BO56" s="205"/>
      <c r="BP56" s="205"/>
      <c r="BQ56" s="205"/>
      <c r="BR56" s="205"/>
      <c r="BS56" s="205"/>
      <c r="BT56" s="205"/>
      <c r="BU56" s="205"/>
      <c r="BV56" s="205"/>
      <c r="BW56" s="205"/>
      <c r="BX56" s="205"/>
      <c r="BY56" s="205"/>
      <c r="BZ56" s="205"/>
    </row>
    <row r="57" spans="1:78" s="719" customFormat="1" ht="30" customHeight="1">
      <c r="A57" s="706" t="s">
        <v>1086</v>
      </c>
      <c r="B57" s="730" t="s">
        <v>1087</v>
      </c>
      <c r="C57" s="716">
        <f t="shared" si="35"/>
        <v>47</v>
      </c>
      <c r="D57" s="209">
        <v>20139</v>
      </c>
      <c r="E57" s="222" t="s">
        <v>1098</v>
      </c>
      <c r="F57" s="705">
        <f>17500000+8000000+2000000</f>
        <v>27500000</v>
      </c>
      <c r="G57" s="705">
        <v>25500000</v>
      </c>
      <c r="H57" s="705">
        <f t="shared" si="22"/>
        <v>2000000</v>
      </c>
      <c r="I57" s="705"/>
      <c r="J57" s="705"/>
      <c r="K57" s="705"/>
      <c r="L57" s="705"/>
      <c r="M57" s="705">
        <f t="shared" ref="M57" si="40">SUM(K57:L57)</f>
        <v>0</v>
      </c>
      <c r="N57" s="705">
        <f t="shared" si="24"/>
        <v>0</v>
      </c>
      <c r="O57" s="705">
        <f>17500000+8000000+2000000</f>
        <v>27500000</v>
      </c>
      <c r="P57" s="705">
        <f t="shared" si="25"/>
        <v>0</v>
      </c>
      <c r="Q57" s="705">
        <f t="shared" si="26"/>
        <v>0</v>
      </c>
      <c r="R57" s="705">
        <f t="shared" si="27"/>
        <v>27500000</v>
      </c>
      <c r="S57" s="705">
        <v>25500000</v>
      </c>
      <c r="T57" s="705">
        <f t="shared" si="28"/>
        <v>2000000</v>
      </c>
      <c r="U57" s="705">
        <f t="shared" si="29"/>
        <v>0</v>
      </c>
      <c r="V57" s="705">
        <v>2000000</v>
      </c>
      <c r="W57" s="705"/>
      <c r="X57" s="705"/>
      <c r="Y57" s="705"/>
      <c r="Z57" s="210" t="s">
        <v>1090</v>
      </c>
      <c r="AA57" s="705"/>
      <c r="AB57" s="705"/>
      <c r="AC57" s="705"/>
      <c r="AD57" s="705">
        <f t="shared" ref="AD57:AD71" si="41">SUM(Z57:AB57)</f>
        <v>0</v>
      </c>
      <c r="AE57" s="705">
        <v>2000000</v>
      </c>
      <c r="AF57" s="705">
        <f t="shared" si="30"/>
        <v>2000000</v>
      </c>
      <c r="AG57" s="705">
        <f t="shared" si="31"/>
        <v>0</v>
      </c>
      <c r="AH57" s="705">
        <f t="shared" si="32"/>
        <v>0</v>
      </c>
      <c r="AI57" s="705">
        <v>2000000</v>
      </c>
      <c r="AJ57" s="705"/>
      <c r="AK57" s="705"/>
      <c r="AL57" s="747"/>
      <c r="AM57" s="713"/>
      <c r="AN57" s="705"/>
      <c r="AO57" s="705"/>
      <c r="AP57" s="705"/>
      <c r="AQ57" s="705"/>
      <c r="AR57" s="705"/>
      <c r="AS57" s="705"/>
      <c r="AT57" s="705">
        <f t="shared" si="33"/>
        <v>0</v>
      </c>
      <c r="AU57" s="705"/>
      <c r="AV57" s="705"/>
      <c r="AW57" s="705"/>
      <c r="AX57" s="705"/>
      <c r="AY57" s="718"/>
      <c r="AZ57" s="718"/>
      <c r="BA57" s="718"/>
      <c r="BB57" s="718"/>
      <c r="BC57" s="718"/>
      <c r="BD57" s="718"/>
      <c r="BE57" s="718"/>
      <c r="BF57" s="718"/>
      <c r="BG57" s="718"/>
      <c r="BH57" s="718"/>
      <c r="BI57" s="718"/>
      <c r="BJ57" s="718"/>
      <c r="BK57" s="718"/>
      <c r="BL57" s="205"/>
      <c r="BO57" s="205"/>
      <c r="BP57" s="205"/>
      <c r="BQ57" s="205"/>
      <c r="BR57" s="205"/>
      <c r="BS57" s="205"/>
      <c r="BT57" s="205"/>
      <c r="BU57" s="205"/>
      <c r="BV57" s="205"/>
      <c r="BW57" s="205"/>
      <c r="BX57" s="205"/>
      <c r="BY57" s="205"/>
      <c r="BZ57" s="205"/>
    </row>
    <row r="58" spans="1:78" s="719" customFormat="1" ht="30" customHeight="1">
      <c r="A58" s="706" t="s">
        <v>1086</v>
      </c>
      <c r="B58" s="730" t="s">
        <v>1087</v>
      </c>
      <c r="C58" s="716">
        <f t="shared" si="35"/>
        <v>48</v>
      </c>
      <c r="D58" s="209">
        <v>20081</v>
      </c>
      <c r="E58" s="222" t="s">
        <v>592</v>
      </c>
      <c r="F58" s="705">
        <f>57500000+27500000</f>
        <v>85000000</v>
      </c>
      <c r="G58" s="705">
        <v>85000000</v>
      </c>
      <c r="H58" s="705">
        <f t="shared" si="22"/>
        <v>0</v>
      </c>
      <c r="I58" s="705">
        <v>39000000</v>
      </c>
      <c r="J58" s="705">
        <f>33957035+2965</f>
        <v>33960000</v>
      </c>
      <c r="K58" s="705"/>
      <c r="L58" s="705"/>
      <c r="M58" s="705">
        <f t="shared" ref="M58" si="42">SUM(K58:L58)</f>
        <v>0</v>
      </c>
      <c r="N58" s="705">
        <f t="shared" si="24"/>
        <v>33960000</v>
      </c>
      <c r="O58" s="705">
        <f>21540000+3000000+7000000</f>
        <v>31540000</v>
      </c>
      <c r="P58" s="705">
        <f t="shared" si="25"/>
        <v>19500000</v>
      </c>
      <c r="Q58" s="705">
        <f t="shared" si="26"/>
        <v>5040000</v>
      </c>
      <c r="R58" s="705">
        <f t="shared" si="27"/>
        <v>26500000</v>
      </c>
      <c r="S58" s="705">
        <v>19500000</v>
      </c>
      <c r="T58" s="705">
        <f t="shared" si="28"/>
        <v>7000000</v>
      </c>
      <c r="U58" s="705">
        <f t="shared" si="29"/>
        <v>7000000</v>
      </c>
      <c r="V58" s="705"/>
      <c r="W58" s="705"/>
      <c r="X58" s="705"/>
      <c r="Y58" s="705"/>
      <c r="Z58" s="210" t="s">
        <v>1108</v>
      </c>
      <c r="AA58" s="705"/>
      <c r="AB58" s="705"/>
      <c r="AC58" s="705"/>
      <c r="AD58" s="705">
        <f t="shared" si="41"/>
        <v>0</v>
      </c>
      <c r="AE58" s="711">
        <v>7000000</v>
      </c>
      <c r="AF58" s="705">
        <f t="shared" ref="AF58" si="43">SUM(AA58:AE58)</f>
        <v>7000000</v>
      </c>
      <c r="AG58" s="705">
        <f t="shared" si="31"/>
        <v>0</v>
      </c>
      <c r="AH58" s="705">
        <f t="shared" si="32"/>
        <v>7000000</v>
      </c>
      <c r="AI58" s="705"/>
      <c r="AJ58" s="705"/>
      <c r="AK58" s="705"/>
      <c r="AL58" s="747"/>
      <c r="AM58" s="713"/>
      <c r="AN58" s="705"/>
      <c r="AO58" s="705"/>
      <c r="AP58" s="705"/>
      <c r="AQ58" s="705"/>
      <c r="AR58" s="705"/>
      <c r="AS58" s="705"/>
      <c r="AT58" s="705">
        <f t="shared" si="33"/>
        <v>0</v>
      </c>
      <c r="AU58" s="705"/>
      <c r="AV58" s="705"/>
      <c r="AW58" s="705"/>
      <c r="AX58" s="705"/>
      <c r="AY58" s="718"/>
      <c r="AZ58" s="718"/>
      <c r="BA58" s="718"/>
      <c r="BB58" s="718"/>
      <c r="BC58" s="718"/>
      <c r="BD58" s="718"/>
      <c r="BE58" s="718"/>
      <c r="BF58" s="718"/>
      <c r="BG58" s="718"/>
      <c r="BH58" s="718"/>
      <c r="BI58" s="718"/>
      <c r="BJ58" s="718"/>
      <c r="BK58" s="718"/>
      <c r="BL58" s="205"/>
      <c r="BO58" s="205"/>
      <c r="BP58" s="205"/>
      <c r="BQ58" s="205"/>
      <c r="BR58" s="205"/>
      <c r="BS58" s="205"/>
      <c r="BT58" s="205"/>
      <c r="BU58" s="205"/>
      <c r="BV58" s="205"/>
      <c r="BW58" s="205"/>
      <c r="BX58" s="205"/>
      <c r="BY58" s="205"/>
      <c r="BZ58" s="205"/>
    </row>
    <row r="59" spans="1:78" s="719" customFormat="1" ht="30" customHeight="1">
      <c r="A59" s="706" t="s">
        <v>1086</v>
      </c>
      <c r="B59" s="730" t="s">
        <v>1087</v>
      </c>
      <c r="C59" s="716">
        <f t="shared" si="35"/>
        <v>49</v>
      </c>
      <c r="D59" s="209">
        <v>2097</v>
      </c>
      <c r="E59" s="222" t="s">
        <v>223</v>
      </c>
      <c r="F59" s="705">
        <v>79000000</v>
      </c>
      <c r="G59" s="705">
        <v>79000000</v>
      </c>
      <c r="H59" s="705">
        <f t="shared" si="22"/>
        <v>0</v>
      </c>
      <c r="I59" s="705">
        <v>41119617</v>
      </c>
      <c r="J59" s="705">
        <f>34455920+13697</f>
        <v>34469617</v>
      </c>
      <c r="K59" s="705"/>
      <c r="L59" s="705"/>
      <c r="M59" s="705">
        <f t="shared" ref="M59" si="44">SUM(K59:L59)</f>
        <v>0</v>
      </c>
      <c r="N59" s="705">
        <f t="shared" si="24"/>
        <v>34469617</v>
      </c>
      <c r="O59" s="705">
        <f>14551997+10000000+7500000</f>
        <v>32051997</v>
      </c>
      <c r="P59" s="705">
        <f t="shared" si="25"/>
        <v>12478386</v>
      </c>
      <c r="Q59" s="705">
        <f t="shared" si="26"/>
        <v>6650000</v>
      </c>
      <c r="R59" s="705">
        <f t="shared" si="27"/>
        <v>25401997</v>
      </c>
      <c r="S59" s="705">
        <v>17901997</v>
      </c>
      <c r="T59" s="705">
        <f t="shared" si="28"/>
        <v>7500000</v>
      </c>
      <c r="U59" s="705">
        <f t="shared" si="29"/>
        <v>7500000</v>
      </c>
      <c r="V59" s="705"/>
      <c r="W59" s="705"/>
      <c r="X59" s="705"/>
      <c r="Y59" s="705"/>
      <c r="Z59" s="210" t="s">
        <v>1085</v>
      </c>
      <c r="AA59" s="705"/>
      <c r="AB59" s="705"/>
      <c r="AC59" s="705"/>
      <c r="AD59" s="705">
        <f t="shared" si="41"/>
        <v>0</v>
      </c>
      <c r="AE59" s="705">
        <v>7500000</v>
      </c>
      <c r="AF59" s="705">
        <f t="shared" si="30"/>
        <v>7500000</v>
      </c>
      <c r="AG59" s="705">
        <f t="shared" si="31"/>
        <v>0</v>
      </c>
      <c r="AH59" s="705">
        <f t="shared" si="32"/>
        <v>7500000</v>
      </c>
      <c r="AI59" s="705"/>
      <c r="AJ59" s="705"/>
      <c r="AK59" s="705"/>
      <c r="AL59" s="747"/>
      <c r="AM59" s="713"/>
      <c r="AN59" s="705"/>
      <c r="AO59" s="705"/>
      <c r="AP59" s="705"/>
      <c r="AQ59" s="705"/>
      <c r="AR59" s="705"/>
      <c r="AS59" s="705"/>
      <c r="AT59" s="705">
        <f t="shared" si="33"/>
        <v>0</v>
      </c>
      <c r="AU59" s="705"/>
      <c r="AV59" s="705"/>
      <c r="AW59" s="705"/>
      <c r="AX59" s="705"/>
      <c r="AY59" s="718"/>
      <c r="AZ59" s="718"/>
      <c r="BA59" s="718"/>
      <c r="BB59" s="718"/>
      <c r="BC59" s="718"/>
      <c r="BD59" s="718"/>
      <c r="BE59" s="718"/>
      <c r="BF59" s="718"/>
      <c r="BG59" s="718"/>
      <c r="BH59" s="718"/>
      <c r="BI59" s="718"/>
      <c r="BJ59" s="718"/>
      <c r="BK59" s="718"/>
      <c r="BL59" s="205"/>
      <c r="BO59" s="205"/>
      <c r="BP59" s="205"/>
      <c r="BQ59" s="205"/>
      <c r="BR59" s="205"/>
      <c r="BS59" s="205"/>
      <c r="BT59" s="205"/>
      <c r="BU59" s="205"/>
      <c r="BV59" s="205"/>
      <c r="BW59" s="205"/>
      <c r="BX59" s="205"/>
      <c r="BY59" s="205"/>
      <c r="BZ59" s="205"/>
    </row>
    <row r="60" spans="1:78" s="719" customFormat="1" ht="30" customHeight="1">
      <c r="A60" s="706" t="s">
        <v>1086</v>
      </c>
      <c r="B60" s="730" t="s">
        <v>1087</v>
      </c>
      <c r="C60" s="716">
        <f t="shared" si="35"/>
        <v>50</v>
      </c>
      <c r="D60" s="209">
        <v>2151</v>
      </c>
      <c r="E60" s="222" t="s">
        <v>311</v>
      </c>
      <c r="F60" s="705">
        <v>54000000</v>
      </c>
      <c r="G60" s="705">
        <v>54000000</v>
      </c>
      <c r="H60" s="705">
        <f t="shared" si="22"/>
        <v>0</v>
      </c>
      <c r="I60" s="705">
        <v>6000000</v>
      </c>
      <c r="J60" s="705">
        <f>4443787+6213</f>
        <v>4450000</v>
      </c>
      <c r="K60" s="705"/>
      <c r="L60" s="705"/>
      <c r="M60" s="705">
        <f t="shared" ref="M60" si="45">SUM(K60:L60)</f>
        <v>0</v>
      </c>
      <c r="N60" s="705">
        <f t="shared" si="24"/>
        <v>4450000</v>
      </c>
      <c r="O60" s="705">
        <f>6550000+4000000</f>
        <v>10550000</v>
      </c>
      <c r="P60" s="705">
        <f t="shared" si="25"/>
        <v>39000000</v>
      </c>
      <c r="Q60" s="705">
        <f t="shared" si="26"/>
        <v>1550000</v>
      </c>
      <c r="R60" s="705">
        <f t="shared" si="27"/>
        <v>9000000</v>
      </c>
      <c r="S60" s="705">
        <v>5000000</v>
      </c>
      <c r="T60" s="705">
        <f t="shared" si="28"/>
        <v>4000000</v>
      </c>
      <c r="U60" s="705">
        <f t="shared" si="29"/>
        <v>4000000</v>
      </c>
      <c r="V60" s="705"/>
      <c r="W60" s="705"/>
      <c r="X60" s="705"/>
      <c r="Y60" s="705"/>
      <c r="Z60" s="210" t="s">
        <v>1085</v>
      </c>
      <c r="AA60" s="705"/>
      <c r="AB60" s="705"/>
      <c r="AC60" s="705"/>
      <c r="AD60" s="705">
        <f t="shared" si="41"/>
        <v>0</v>
      </c>
      <c r="AE60" s="712">
        <v>4000000</v>
      </c>
      <c r="AF60" s="705">
        <f t="shared" si="30"/>
        <v>4000000</v>
      </c>
      <c r="AG60" s="705">
        <f t="shared" si="31"/>
        <v>0</v>
      </c>
      <c r="AH60" s="705">
        <f t="shared" si="32"/>
        <v>4000000</v>
      </c>
      <c r="AI60" s="705"/>
      <c r="AJ60" s="705"/>
      <c r="AK60" s="705"/>
      <c r="AL60" s="747"/>
      <c r="AM60" s="713"/>
      <c r="AN60" s="705"/>
      <c r="AO60" s="705"/>
      <c r="AP60" s="705"/>
      <c r="AQ60" s="705"/>
      <c r="AR60" s="705"/>
      <c r="AS60" s="705"/>
      <c r="AT60" s="705">
        <f t="shared" si="33"/>
        <v>0</v>
      </c>
      <c r="AU60" s="705"/>
      <c r="AV60" s="705"/>
      <c r="AW60" s="705"/>
      <c r="AX60" s="705"/>
      <c r="AY60" s="718"/>
      <c r="AZ60" s="718"/>
      <c r="BA60" s="718"/>
      <c r="BB60" s="718"/>
      <c r="BC60" s="718"/>
      <c r="BD60" s="718"/>
      <c r="BE60" s="718"/>
      <c r="BF60" s="718"/>
      <c r="BG60" s="718"/>
      <c r="BH60" s="718"/>
      <c r="BI60" s="718"/>
      <c r="BJ60" s="718"/>
      <c r="BK60" s="718"/>
      <c r="BL60" s="205"/>
      <c r="BO60" s="205"/>
      <c r="BP60" s="205"/>
      <c r="BQ60" s="205"/>
      <c r="BR60" s="205"/>
      <c r="BS60" s="205"/>
      <c r="BT60" s="205"/>
      <c r="BU60" s="205"/>
      <c r="BV60" s="205"/>
      <c r="BW60" s="205"/>
      <c r="BX60" s="205"/>
      <c r="BY60" s="205"/>
      <c r="BZ60" s="205"/>
    </row>
    <row r="61" spans="1:78" s="719" customFormat="1" ht="30" customHeight="1">
      <c r="A61" s="706" t="s">
        <v>1086</v>
      </c>
      <c r="B61" s="730" t="s">
        <v>1087</v>
      </c>
      <c r="C61" s="716">
        <f t="shared" si="35"/>
        <v>51</v>
      </c>
      <c r="D61" s="209">
        <v>2213</v>
      </c>
      <c r="E61" s="222" t="s">
        <v>352</v>
      </c>
      <c r="F61" s="705">
        <f>7100000+3000000</f>
        <v>10100000</v>
      </c>
      <c r="G61" s="705">
        <v>10100000</v>
      </c>
      <c r="H61" s="705">
        <f t="shared" si="22"/>
        <v>0</v>
      </c>
      <c r="I61" s="705">
        <v>7100000</v>
      </c>
      <c r="J61" s="705">
        <f>5524946+5054</f>
        <v>5530000</v>
      </c>
      <c r="K61" s="705"/>
      <c r="L61" s="705"/>
      <c r="M61" s="705">
        <f t="shared" ref="M61" si="46">SUM(K61:L61)</f>
        <v>0</v>
      </c>
      <c r="N61" s="705">
        <f t="shared" si="24"/>
        <v>5530000</v>
      </c>
      <c r="O61" s="705">
        <f>1570000+1000000+2000000</f>
        <v>4570000</v>
      </c>
      <c r="P61" s="705">
        <f t="shared" si="25"/>
        <v>0</v>
      </c>
      <c r="Q61" s="705">
        <f t="shared" si="26"/>
        <v>1570000</v>
      </c>
      <c r="R61" s="705">
        <f t="shared" si="27"/>
        <v>3000000</v>
      </c>
      <c r="S61" s="705">
        <v>1000000</v>
      </c>
      <c r="T61" s="705">
        <f t="shared" si="28"/>
        <v>2000000</v>
      </c>
      <c r="U61" s="705">
        <f t="shared" si="29"/>
        <v>2000000</v>
      </c>
      <c r="V61" s="705"/>
      <c r="W61" s="705"/>
      <c r="X61" s="705"/>
      <c r="Y61" s="705"/>
      <c r="Z61" s="210" t="s">
        <v>1085</v>
      </c>
      <c r="AA61" s="705"/>
      <c r="AB61" s="705"/>
      <c r="AC61" s="705"/>
      <c r="AD61" s="705">
        <f t="shared" si="41"/>
        <v>0</v>
      </c>
      <c r="AE61" s="705">
        <v>2000000</v>
      </c>
      <c r="AF61" s="705">
        <f t="shared" si="30"/>
        <v>2000000</v>
      </c>
      <c r="AG61" s="705">
        <f t="shared" si="31"/>
        <v>0</v>
      </c>
      <c r="AH61" s="705">
        <f t="shared" si="32"/>
        <v>2000000</v>
      </c>
      <c r="AI61" s="705"/>
      <c r="AJ61" s="705"/>
      <c r="AK61" s="705"/>
      <c r="AL61" s="747"/>
      <c r="AM61" s="713"/>
      <c r="AN61" s="705"/>
      <c r="AO61" s="705"/>
      <c r="AP61" s="705"/>
      <c r="AQ61" s="705"/>
      <c r="AR61" s="705"/>
      <c r="AS61" s="705"/>
      <c r="AT61" s="705">
        <f t="shared" si="33"/>
        <v>0</v>
      </c>
      <c r="AU61" s="705"/>
      <c r="AV61" s="705"/>
      <c r="AW61" s="705"/>
      <c r="AX61" s="705"/>
      <c r="AY61" s="718"/>
      <c r="AZ61" s="718"/>
      <c r="BA61" s="718"/>
      <c r="BB61" s="718"/>
      <c r="BC61" s="718"/>
      <c r="BD61" s="718"/>
      <c r="BE61" s="718"/>
      <c r="BF61" s="718"/>
      <c r="BG61" s="718"/>
      <c r="BH61" s="718"/>
      <c r="BI61" s="718"/>
      <c r="BJ61" s="718"/>
      <c r="BK61" s="718"/>
      <c r="BL61" s="205"/>
      <c r="BO61" s="205"/>
      <c r="BP61" s="205"/>
      <c r="BQ61" s="205"/>
      <c r="BR61" s="205"/>
      <c r="BS61" s="205"/>
      <c r="BT61" s="205"/>
      <c r="BU61" s="205"/>
      <c r="BV61" s="205"/>
      <c r="BW61" s="205"/>
      <c r="BX61" s="205"/>
      <c r="BY61" s="205"/>
      <c r="BZ61" s="205"/>
    </row>
    <row r="62" spans="1:78" s="719" customFormat="1" ht="30" customHeight="1">
      <c r="A62" s="706" t="s">
        <v>1086</v>
      </c>
      <c r="B62" s="730" t="s">
        <v>1087</v>
      </c>
      <c r="C62" s="716">
        <f t="shared" si="35"/>
        <v>52</v>
      </c>
      <c r="D62" s="209">
        <v>2101</v>
      </c>
      <c r="E62" s="222" t="s">
        <v>1109</v>
      </c>
      <c r="F62" s="705">
        <v>24200000</v>
      </c>
      <c r="G62" s="705">
        <v>24200000</v>
      </c>
      <c r="H62" s="705">
        <f t="shared" si="22"/>
        <v>0</v>
      </c>
      <c r="I62" s="705">
        <v>7500000</v>
      </c>
      <c r="J62" s="705">
        <f>4730972+19028</f>
        <v>4750000</v>
      </c>
      <c r="K62" s="705"/>
      <c r="L62" s="705"/>
      <c r="M62" s="705">
        <f t="shared" ref="M62:M65" si="47">SUM(K62:L62)</f>
        <v>0</v>
      </c>
      <c r="N62" s="705">
        <f t="shared" si="24"/>
        <v>4750000</v>
      </c>
      <c r="O62" s="705">
        <f>10450000+2000000</f>
        <v>12450000</v>
      </c>
      <c r="P62" s="705">
        <f t="shared" si="25"/>
        <v>7000000</v>
      </c>
      <c r="Q62" s="705">
        <f t="shared" si="26"/>
        <v>2750000</v>
      </c>
      <c r="R62" s="705">
        <f t="shared" si="27"/>
        <v>9700000</v>
      </c>
      <c r="S62" s="705">
        <v>7700000</v>
      </c>
      <c r="T62" s="705">
        <f t="shared" si="28"/>
        <v>2000000</v>
      </c>
      <c r="U62" s="705">
        <f t="shared" si="29"/>
        <v>2000000</v>
      </c>
      <c r="V62" s="705"/>
      <c r="W62" s="705"/>
      <c r="X62" s="705"/>
      <c r="Y62" s="705"/>
      <c r="Z62" s="210" t="s">
        <v>1085</v>
      </c>
      <c r="AA62" s="705"/>
      <c r="AB62" s="705"/>
      <c r="AC62" s="705"/>
      <c r="AD62" s="705">
        <f t="shared" si="41"/>
        <v>0</v>
      </c>
      <c r="AE62" s="705">
        <f>2000000-2000000</f>
        <v>0</v>
      </c>
      <c r="AF62" s="705">
        <f t="shared" si="30"/>
        <v>0</v>
      </c>
      <c r="AG62" s="705">
        <f t="shared" si="31"/>
        <v>2000000</v>
      </c>
      <c r="AH62" s="705">
        <f t="shared" si="32"/>
        <v>0</v>
      </c>
      <c r="AI62" s="705"/>
      <c r="AJ62" s="705"/>
      <c r="AK62" s="705"/>
      <c r="AL62" s="747"/>
      <c r="AM62" s="713"/>
      <c r="AN62" s="705"/>
      <c r="AO62" s="705"/>
      <c r="AP62" s="705"/>
      <c r="AQ62" s="705"/>
      <c r="AR62" s="705"/>
      <c r="AS62" s="705"/>
      <c r="AT62" s="705">
        <f t="shared" si="33"/>
        <v>0</v>
      </c>
      <c r="AU62" s="705"/>
      <c r="AV62" s="705"/>
      <c r="AW62" s="705"/>
      <c r="AX62" s="705"/>
      <c r="AY62" s="718"/>
      <c r="AZ62" s="718"/>
      <c r="BA62" s="718"/>
      <c r="BB62" s="718"/>
      <c r="BC62" s="718"/>
      <c r="BD62" s="718"/>
      <c r="BE62" s="718"/>
      <c r="BF62" s="718"/>
      <c r="BG62" s="718"/>
      <c r="BH62" s="718"/>
      <c r="BI62" s="718"/>
      <c r="BJ62" s="718"/>
      <c r="BK62" s="718"/>
      <c r="BL62" s="205"/>
      <c r="BO62" s="205"/>
      <c r="BP62" s="205"/>
      <c r="BQ62" s="205"/>
      <c r="BR62" s="205"/>
      <c r="BS62" s="205"/>
      <c r="BT62" s="205"/>
      <c r="BU62" s="205"/>
      <c r="BV62" s="205"/>
      <c r="BW62" s="205"/>
      <c r="BX62" s="205"/>
      <c r="BY62" s="205"/>
      <c r="BZ62" s="205"/>
    </row>
    <row r="63" spans="1:78" s="719" customFormat="1" ht="30" customHeight="1">
      <c r="A63" s="706" t="s">
        <v>1086</v>
      </c>
      <c r="B63" s="730" t="s">
        <v>1087</v>
      </c>
      <c r="C63" s="716">
        <f t="shared" si="35"/>
        <v>53</v>
      </c>
      <c r="D63" s="209">
        <v>1957</v>
      </c>
      <c r="E63" s="222" t="s">
        <v>1110</v>
      </c>
      <c r="F63" s="705">
        <v>75000000</v>
      </c>
      <c r="G63" s="705">
        <v>75000000</v>
      </c>
      <c r="H63" s="705">
        <f t="shared" si="22"/>
        <v>0</v>
      </c>
      <c r="I63" s="705">
        <v>34101449</v>
      </c>
      <c r="J63" s="705">
        <f>33624938+6511</f>
        <v>33631449</v>
      </c>
      <c r="K63" s="705"/>
      <c r="L63" s="705"/>
      <c r="M63" s="705">
        <f t="shared" si="47"/>
        <v>0</v>
      </c>
      <c r="N63" s="705">
        <f t="shared" si="24"/>
        <v>33631449</v>
      </c>
      <c r="O63" s="705">
        <f>30068551+5000000</f>
        <v>35068551</v>
      </c>
      <c r="P63" s="705">
        <f t="shared" si="25"/>
        <v>6300000</v>
      </c>
      <c r="Q63" s="705">
        <f t="shared" si="26"/>
        <v>470000</v>
      </c>
      <c r="R63" s="705">
        <f t="shared" si="27"/>
        <v>34598551</v>
      </c>
      <c r="S63" s="705">
        <v>29598551</v>
      </c>
      <c r="T63" s="705">
        <f t="shared" si="28"/>
        <v>5000000</v>
      </c>
      <c r="U63" s="705">
        <f t="shared" si="29"/>
        <v>5000000</v>
      </c>
      <c r="V63" s="705"/>
      <c r="W63" s="705"/>
      <c r="X63" s="705"/>
      <c r="Y63" s="705"/>
      <c r="Z63" s="210" t="s">
        <v>1085</v>
      </c>
      <c r="AA63" s="705"/>
      <c r="AB63" s="705"/>
      <c r="AC63" s="705"/>
      <c r="AD63" s="705">
        <f t="shared" si="41"/>
        <v>0</v>
      </c>
      <c r="AE63" s="712">
        <v>5000000</v>
      </c>
      <c r="AF63" s="705">
        <f t="shared" si="30"/>
        <v>5000000</v>
      </c>
      <c r="AG63" s="705">
        <f t="shared" si="31"/>
        <v>0</v>
      </c>
      <c r="AH63" s="705">
        <f t="shared" si="32"/>
        <v>5000000</v>
      </c>
      <c r="AI63" s="705"/>
      <c r="AJ63" s="705"/>
      <c r="AK63" s="705"/>
      <c r="AL63" s="747"/>
      <c r="AM63" s="713"/>
      <c r="AN63" s="705"/>
      <c r="AO63" s="705"/>
      <c r="AP63" s="705"/>
      <c r="AQ63" s="705"/>
      <c r="AR63" s="705"/>
      <c r="AS63" s="705"/>
      <c r="AT63" s="705">
        <f t="shared" si="33"/>
        <v>0</v>
      </c>
      <c r="AU63" s="705"/>
      <c r="AV63" s="705"/>
      <c r="AW63" s="705"/>
      <c r="AX63" s="705"/>
      <c r="AY63" s="718"/>
      <c r="AZ63" s="718"/>
      <c r="BA63" s="718"/>
      <c r="BB63" s="718"/>
      <c r="BC63" s="718"/>
      <c r="BD63" s="718"/>
      <c r="BE63" s="718"/>
      <c r="BF63" s="718"/>
      <c r="BG63" s="718"/>
      <c r="BH63" s="718"/>
      <c r="BI63" s="718"/>
      <c r="BJ63" s="718"/>
      <c r="BK63" s="718"/>
      <c r="BL63" s="205"/>
      <c r="BO63" s="205"/>
      <c r="BP63" s="205"/>
      <c r="BQ63" s="205"/>
      <c r="BR63" s="205"/>
      <c r="BS63" s="205"/>
      <c r="BT63" s="205"/>
      <c r="BU63" s="205"/>
      <c r="BV63" s="205"/>
      <c r="BW63" s="205"/>
      <c r="BX63" s="205"/>
      <c r="BY63" s="205"/>
      <c r="BZ63" s="205"/>
    </row>
    <row r="64" spans="1:78" s="719" customFormat="1" ht="30" customHeight="1">
      <c r="A64" s="706" t="s">
        <v>1086</v>
      </c>
      <c r="B64" s="730" t="s">
        <v>1087</v>
      </c>
      <c r="C64" s="716">
        <f t="shared" si="35"/>
        <v>54</v>
      </c>
      <c r="D64" s="209">
        <v>1298</v>
      </c>
      <c r="E64" s="222" t="s">
        <v>1111</v>
      </c>
      <c r="F64" s="705">
        <f>6600000+170000</f>
        <v>6770000</v>
      </c>
      <c r="G64" s="705">
        <v>6600000</v>
      </c>
      <c r="H64" s="705">
        <f t="shared" si="22"/>
        <v>170000</v>
      </c>
      <c r="I64" s="705">
        <v>6100000</v>
      </c>
      <c r="J64" s="705">
        <f>5766092+3908</f>
        <v>5770000</v>
      </c>
      <c r="K64" s="705"/>
      <c r="L64" s="705"/>
      <c r="M64" s="705">
        <f t="shared" si="47"/>
        <v>0</v>
      </c>
      <c r="N64" s="705">
        <f t="shared" si="24"/>
        <v>5770000</v>
      </c>
      <c r="O64" s="705">
        <f>600000+400000</f>
        <v>1000000</v>
      </c>
      <c r="P64" s="705">
        <f t="shared" si="25"/>
        <v>0</v>
      </c>
      <c r="Q64" s="705">
        <f t="shared" si="26"/>
        <v>330000</v>
      </c>
      <c r="R64" s="705">
        <f t="shared" si="27"/>
        <v>670000</v>
      </c>
      <c r="S64" s="705">
        <v>270000</v>
      </c>
      <c r="T64" s="705">
        <f t="shared" si="28"/>
        <v>400000</v>
      </c>
      <c r="U64" s="705">
        <f t="shared" si="29"/>
        <v>400000</v>
      </c>
      <c r="V64" s="705"/>
      <c r="W64" s="705"/>
      <c r="X64" s="705"/>
      <c r="Y64" s="705"/>
      <c r="Z64" s="210" t="s">
        <v>1090</v>
      </c>
      <c r="AA64" s="705"/>
      <c r="AB64" s="705"/>
      <c r="AC64" s="705"/>
      <c r="AD64" s="705">
        <f t="shared" si="41"/>
        <v>0</v>
      </c>
      <c r="AE64" s="705">
        <v>400000</v>
      </c>
      <c r="AF64" s="705">
        <f t="shared" si="30"/>
        <v>400000</v>
      </c>
      <c r="AG64" s="705">
        <f t="shared" si="31"/>
        <v>0</v>
      </c>
      <c r="AH64" s="705">
        <f t="shared" si="32"/>
        <v>400000</v>
      </c>
      <c r="AI64" s="705"/>
      <c r="AJ64" s="705"/>
      <c r="AK64" s="705"/>
      <c r="AL64" s="747"/>
      <c r="AM64" s="713"/>
      <c r="AN64" s="705"/>
      <c r="AO64" s="705"/>
      <c r="AP64" s="705"/>
      <c r="AQ64" s="705"/>
      <c r="AR64" s="705"/>
      <c r="AS64" s="705"/>
      <c r="AT64" s="705">
        <f t="shared" si="33"/>
        <v>0</v>
      </c>
      <c r="AU64" s="705"/>
      <c r="AV64" s="705"/>
      <c r="AW64" s="705"/>
      <c r="AX64" s="705"/>
      <c r="AY64" s="718"/>
      <c r="AZ64" s="718"/>
      <c r="BA64" s="718"/>
      <c r="BB64" s="718"/>
      <c r="BC64" s="718"/>
      <c r="BD64" s="718"/>
      <c r="BE64" s="718"/>
      <c r="BF64" s="718"/>
      <c r="BG64" s="718"/>
      <c r="BH64" s="718"/>
      <c r="BI64" s="718"/>
      <c r="BJ64" s="718"/>
      <c r="BK64" s="718"/>
      <c r="BL64" s="205"/>
      <c r="BO64" s="205"/>
      <c r="BP64" s="205"/>
      <c r="BQ64" s="205"/>
      <c r="BR64" s="205"/>
      <c r="BS64" s="205"/>
      <c r="BT64" s="205"/>
      <c r="BU64" s="205"/>
      <c r="BV64" s="205"/>
      <c r="BW64" s="205"/>
      <c r="BX64" s="205"/>
      <c r="BY64" s="205"/>
      <c r="BZ64" s="205"/>
    </row>
    <row r="65" spans="1:79" s="719" customFormat="1" ht="30" customHeight="1">
      <c r="A65" s="706" t="s">
        <v>1086</v>
      </c>
      <c r="B65" s="730" t="s">
        <v>1087</v>
      </c>
      <c r="C65" s="716">
        <f t="shared" si="35"/>
        <v>55</v>
      </c>
      <c r="D65" s="209">
        <v>2002</v>
      </c>
      <c r="E65" s="222" t="s">
        <v>106</v>
      </c>
      <c r="F65" s="705">
        <v>2300000</v>
      </c>
      <c r="G65" s="705">
        <v>2300000</v>
      </c>
      <c r="H65" s="705">
        <f t="shared" si="22"/>
        <v>0</v>
      </c>
      <c r="I65" s="705">
        <v>1500000</v>
      </c>
      <c r="J65" s="705">
        <f>1495997+4003</f>
        <v>1500000</v>
      </c>
      <c r="K65" s="705"/>
      <c r="L65" s="705"/>
      <c r="M65" s="705">
        <f t="shared" si="47"/>
        <v>0</v>
      </c>
      <c r="N65" s="705">
        <f t="shared" si="24"/>
        <v>1500000</v>
      </c>
      <c r="O65" s="705">
        <f>500000-400000</f>
        <v>100000</v>
      </c>
      <c r="P65" s="705">
        <f t="shared" si="25"/>
        <v>700000</v>
      </c>
      <c r="Q65" s="705">
        <f t="shared" si="26"/>
        <v>0</v>
      </c>
      <c r="R65" s="705">
        <f t="shared" si="27"/>
        <v>100000</v>
      </c>
      <c r="S65" s="705">
        <v>500000</v>
      </c>
      <c r="T65" s="705">
        <f t="shared" si="28"/>
        <v>-400000</v>
      </c>
      <c r="U65" s="705">
        <f t="shared" si="29"/>
        <v>-400000</v>
      </c>
      <c r="V65" s="705"/>
      <c r="W65" s="705"/>
      <c r="X65" s="705"/>
      <c r="Y65" s="705"/>
      <c r="Z65" s="210" t="s">
        <v>1084</v>
      </c>
      <c r="AA65" s="705"/>
      <c r="AB65" s="705"/>
      <c r="AC65" s="705"/>
      <c r="AD65" s="705">
        <f t="shared" si="41"/>
        <v>0</v>
      </c>
      <c r="AE65" s="705"/>
      <c r="AF65" s="705">
        <f t="shared" si="30"/>
        <v>0</v>
      </c>
      <c r="AG65" s="705">
        <f t="shared" si="31"/>
        <v>-400000</v>
      </c>
      <c r="AH65" s="705">
        <f t="shared" si="32"/>
        <v>0</v>
      </c>
      <c r="AI65" s="705"/>
      <c r="AJ65" s="705"/>
      <c r="AK65" s="705"/>
      <c r="AL65" s="747"/>
      <c r="AM65" s="713"/>
      <c r="AN65" s="705"/>
      <c r="AO65" s="705"/>
      <c r="AP65" s="705"/>
      <c r="AQ65" s="705"/>
      <c r="AR65" s="705"/>
      <c r="AS65" s="705"/>
      <c r="AT65" s="705">
        <f t="shared" si="33"/>
        <v>0</v>
      </c>
      <c r="AU65" s="705"/>
      <c r="AV65" s="705"/>
      <c r="AW65" s="705"/>
      <c r="AX65" s="705"/>
      <c r="AY65" s="718"/>
      <c r="AZ65" s="718"/>
      <c r="BA65" s="718"/>
      <c r="BB65" s="718"/>
      <c r="BC65" s="718"/>
      <c r="BD65" s="718"/>
      <c r="BE65" s="718"/>
      <c r="BF65" s="718"/>
      <c r="BG65" s="718"/>
      <c r="BH65" s="718"/>
      <c r="BI65" s="718"/>
      <c r="BJ65" s="718"/>
      <c r="BK65" s="718"/>
      <c r="BL65" s="205"/>
      <c r="BO65" s="205"/>
      <c r="BP65" s="205"/>
      <c r="BQ65" s="205"/>
      <c r="BR65" s="205"/>
      <c r="BS65" s="205"/>
      <c r="BT65" s="205"/>
      <c r="BU65" s="205"/>
      <c r="BV65" s="205"/>
      <c r="BW65" s="205"/>
      <c r="BX65" s="205"/>
      <c r="BY65" s="205"/>
      <c r="BZ65" s="205"/>
    </row>
    <row r="66" spans="1:79" s="719" customFormat="1" ht="30" customHeight="1">
      <c r="A66" s="706" t="s">
        <v>1086</v>
      </c>
      <c r="B66" s="730" t="s">
        <v>1087</v>
      </c>
      <c r="C66" s="716">
        <f t="shared" si="35"/>
        <v>56</v>
      </c>
      <c r="D66" s="209">
        <v>2076</v>
      </c>
      <c r="E66" s="222" t="s">
        <v>1112</v>
      </c>
      <c r="F66" s="705">
        <v>2350000</v>
      </c>
      <c r="G66" s="705">
        <v>2350000</v>
      </c>
      <c r="H66" s="705">
        <f t="shared" si="22"/>
        <v>0</v>
      </c>
      <c r="I66" s="705">
        <v>2350000</v>
      </c>
      <c r="J66" s="705">
        <f>231641+18359</f>
        <v>250000</v>
      </c>
      <c r="K66" s="705"/>
      <c r="L66" s="705"/>
      <c r="M66" s="705">
        <f t="shared" ref="M66:M70" si="48">SUM(K66:L66)</f>
        <v>0</v>
      </c>
      <c r="N66" s="705">
        <f t="shared" si="24"/>
        <v>250000</v>
      </c>
      <c r="O66" s="705">
        <f>1700000+400000</f>
        <v>2100000</v>
      </c>
      <c r="P66" s="705">
        <f t="shared" si="25"/>
        <v>0</v>
      </c>
      <c r="Q66" s="705">
        <f t="shared" si="26"/>
        <v>2100000</v>
      </c>
      <c r="R66" s="705">
        <f t="shared" si="27"/>
        <v>0</v>
      </c>
      <c r="S66" s="705">
        <v>-400000</v>
      </c>
      <c r="T66" s="705">
        <f t="shared" si="28"/>
        <v>400000</v>
      </c>
      <c r="U66" s="705">
        <f t="shared" si="29"/>
        <v>400000</v>
      </c>
      <c r="V66" s="705"/>
      <c r="W66" s="705"/>
      <c r="X66" s="705"/>
      <c r="Y66" s="705"/>
      <c r="Z66" s="210" t="s">
        <v>1085</v>
      </c>
      <c r="AA66" s="705"/>
      <c r="AB66" s="705"/>
      <c r="AC66" s="705"/>
      <c r="AD66" s="705">
        <f t="shared" si="41"/>
        <v>0</v>
      </c>
      <c r="AE66" s="705">
        <v>400000</v>
      </c>
      <c r="AF66" s="705">
        <f t="shared" si="30"/>
        <v>400000</v>
      </c>
      <c r="AG66" s="705">
        <f t="shared" si="31"/>
        <v>0</v>
      </c>
      <c r="AH66" s="705">
        <f t="shared" si="32"/>
        <v>400000</v>
      </c>
      <c r="AI66" s="705"/>
      <c r="AJ66" s="705"/>
      <c r="AK66" s="705"/>
      <c r="AL66" s="747"/>
      <c r="AM66" s="713"/>
      <c r="AN66" s="705"/>
      <c r="AO66" s="705"/>
      <c r="AP66" s="705"/>
      <c r="AQ66" s="705"/>
      <c r="AR66" s="705"/>
      <c r="AS66" s="705">
        <v>400000</v>
      </c>
      <c r="AT66" s="705">
        <f t="shared" si="33"/>
        <v>400000</v>
      </c>
      <c r="AU66" s="705"/>
      <c r="AV66" s="705"/>
      <c r="AW66" s="705"/>
      <c r="AX66" s="705"/>
      <c r="AY66" s="718"/>
      <c r="AZ66" s="718"/>
      <c r="BA66" s="718"/>
      <c r="BB66" s="718"/>
      <c r="BC66" s="718"/>
      <c r="BD66" s="718"/>
      <c r="BE66" s="718"/>
      <c r="BF66" s="718"/>
      <c r="BG66" s="718"/>
      <c r="BH66" s="718"/>
      <c r="BI66" s="718"/>
      <c r="BJ66" s="718"/>
      <c r="BK66" s="718"/>
      <c r="BL66" s="205"/>
      <c r="BO66" s="205"/>
      <c r="BP66" s="205"/>
      <c r="BQ66" s="205"/>
      <c r="BR66" s="205"/>
      <c r="BS66" s="205"/>
      <c r="BT66" s="205"/>
      <c r="BU66" s="205"/>
      <c r="BV66" s="205"/>
      <c r="BW66" s="205"/>
      <c r="BX66" s="205"/>
      <c r="BY66" s="205"/>
      <c r="BZ66" s="205"/>
    </row>
    <row r="67" spans="1:79" s="719" customFormat="1" ht="30" customHeight="1">
      <c r="A67" s="706" t="s">
        <v>1086</v>
      </c>
      <c r="B67" s="730" t="s">
        <v>1087</v>
      </c>
      <c r="C67" s="716">
        <f t="shared" si="35"/>
        <v>57</v>
      </c>
      <c r="D67" s="209">
        <v>2232</v>
      </c>
      <c r="E67" s="222" t="s">
        <v>412</v>
      </c>
      <c r="F67" s="705">
        <v>17200000</v>
      </c>
      <c r="G67" s="705">
        <v>17200000</v>
      </c>
      <c r="H67" s="705">
        <f t="shared" si="22"/>
        <v>0</v>
      </c>
      <c r="I67" s="705">
        <v>800000</v>
      </c>
      <c r="J67" s="705">
        <f>778625+1375</f>
        <v>780000</v>
      </c>
      <c r="K67" s="705"/>
      <c r="L67" s="705"/>
      <c r="M67" s="705">
        <f t="shared" si="48"/>
        <v>0</v>
      </c>
      <c r="N67" s="705">
        <f t="shared" si="24"/>
        <v>780000</v>
      </c>
      <c r="O67" s="705">
        <f>4020000-4000000</f>
        <v>20000</v>
      </c>
      <c r="P67" s="705">
        <f t="shared" si="25"/>
        <v>16400000</v>
      </c>
      <c r="Q67" s="705">
        <f t="shared" si="26"/>
        <v>20000</v>
      </c>
      <c r="R67" s="705">
        <f t="shared" si="27"/>
        <v>0</v>
      </c>
      <c r="S67" s="705">
        <v>4000000</v>
      </c>
      <c r="T67" s="705">
        <f t="shared" si="28"/>
        <v>-4000000</v>
      </c>
      <c r="U67" s="705">
        <f t="shared" si="29"/>
        <v>-4000000</v>
      </c>
      <c r="V67" s="705"/>
      <c r="W67" s="705"/>
      <c r="X67" s="705"/>
      <c r="Y67" s="705"/>
      <c r="Z67" s="210" t="s">
        <v>1084</v>
      </c>
      <c r="AA67" s="705"/>
      <c r="AB67" s="705"/>
      <c r="AC67" s="705"/>
      <c r="AD67" s="705">
        <f t="shared" si="41"/>
        <v>0</v>
      </c>
      <c r="AE67" s="705"/>
      <c r="AF67" s="705">
        <f t="shared" si="30"/>
        <v>0</v>
      </c>
      <c r="AG67" s="705">
        <f t="shared" si="31"/>
        <v>-4000000</v>
      </c>
      <c r="AH67" s="705">
        <f t="shared" si="32"/>
        <v>0</v>
      </c>
      <c r="AI67" s="705"/>
      <c r="AJ67" s="705"/>
      <c r="AK67" s="705"/>
      <c r="AL67" s="747"/>
      <c r="AM67" s="713"/>
      <c r="AN67" s="705"/>
      <c r="AO67" s="705"/>
      <c r="AP67" s="705"/>
      <c r="AQ67" s="705"/>
      <c r="AR67" s="705"/>
      <c r="AS67" s="705"/>
      <c r="AT67" s="705">
        <f t="shared" si="33"/>
        <v>0</v>
      </c>
      <c r="AU67" s="705"/>
      <c r="AV67" s="705"/>
      <c r="AW67" s="705"/>
      <c r="AX67" s="705"/>
      <c r="AY67" s="718"/>
      <c r="AZ67" s="718"/>
      <c r="BA67" s="718"/>
      <c r="BB67" s="718"/>
      <c r="BC67" s="718"/>
      <c r="BD67" s="718"/>
      <c r="BE67" s="718"/>
      <c r="BF67" s="718"/>
      <c r="BG67" s="718"/>
      <c r="BH67" s="718"/>
      <c r="BI67" s="718"/>
      <c r="BJ67" s="718"/>
      <c r="BK67" s="718"/>
      <c r="BL67" s="205"/>
      <c r="BO67" s="205"/>
      <c r="BP67" s="205"/>
      <c r="BQ67" s="205"/>
      <c r="BR67" s="205"/>
      <c r="BS67" s="205"/>
      <c r="BT67" s="205"/>
      <c r="BU67" s="205"/>
      <c r="BV67" s="205"/>
      <c r="BW67" s="205"/>
      <c r="BX67" s="205"/>
      <c r="BY67" s="205"/>
      <c r="BZ67" s="205"/>
    </row>
    <row r="68" spans="1:79" s="719" customFormat="1" ht="30" customHeight="1">
      <c r="A68" s="706" t="s">
        <v>1086</v>
      </c>
      <c r="B68" s="730" t="s">
        <v>1087</v>
      </c>
      <c r="C68" s="716">
        <f t="shared" si="35"/>
        <v>58</v>
      </c>
      <c r="D68" s="209">
        <v>2001</v>
      </c>
      <c r="E68" s="222" t="s">
        <v>102</v>
      </c>
      <c r="F68" s="705">
        <v>32700000</v>
      </c>
      <c r="G68" s="705">
        <v>32700000</v>
      </c>
      <c r="H68" s="705">
        <f t="shared" si="22"/>
        <v>0</v>
      </c>
      <c r="I68" s="705">
        <v>8398700</v>
      </c>
      <c r="J68" s="705">
        <f>6406298+2402</f>
        <v>6408700</v>
      </c>
      <c r="K68" s="705"/>
      <c r="L68" s="705"/>
      <c r="M68" s="705">
        <f t="shared" ref="M68" si="49">SUM(K68:L68)</f>
        <v>0</v>
      </c>
      <c r="N68" s="705">
        <f t="shared" si="24"/>
        <v>6408700</v>
      </c>
      <c r="O68" s="705">
        <f>11591300+7700000+2300000</f>
        <v>21591300</v>
      </c>
      <c r="P68" s="705">
        <f t="shared" si="25"/>
        <v>4700000</v>
      </c>
      <c r="Q68" s="705">
        <f t="shared" si="26"/>
        <v>1990000</v>
      </c>
      <c r="R68" s="705">
        <f t="shared" si="27"/>
        <v>19601300</v>
      </c>
      <c r="S68" s="705">
        <v>19601300</v>
      </c>
      <c r="T68" s="705">
        <f t="shared" si="28"/>
        <v>0</v>
      </c>
      <c r="U68" s="705">
        <f t="shared" si="29"/>
        <v>-6395825</v>
      </c>
      <c r="V68" s="705"/>
      <c r="W68" s="705"/>
      <c r="X68" s="705"/>
      <c r="Y68" s="705">
        <v>6395825</v>
      </c>
      <c r="Z68" s="210" t="s">
        <v>1113</v>
      </c>
      <c r="AA68" s="705"/>
      <c r="AB68" s="705"/>
      <c r="AC68" s="705"/>
      <c r="AD68" s="705">
        <f t="shared" si="41"/>
        <v>0</v>
      </c>
      <c r="AE68" s="707"/>
      <c r="AF68" s="705">
        <f t="shared" si="30"/>
        <v>0</v>
      </c>
      <c r="AG68" s="705">
        <f t="shared" si="31"/>
        <v>0</v>
      </c>
      <c r="AH68" s="705">
        <f t="shared" si="32"/>
        <v>-6395825</v>
      </c>
      <c r="AI68" s="705"/>
      <c r="AJ68" s="705"/>
      <c r="AK68" s="705"/>
      <c r="AL68" s="708">
        <v>6395825</v>
      </c>
      <c r="AM68" s="741"/>
      <c r="AN68" s="705">
        <f>AM68-AR68</f>
        <v>-6395825</v>
      </c>
      <c r="AO68" s="705"/>
      <c r="AP68" s="705"/>
      <c r="AQ68" s="705"/>
      <c r="AR68" s="705">
        <v>6395825</v>
      </c>
      <c r="AS68" s="705"/>
      <c r="AT68" s="705">
        <f t="shared" si="33"/>
        <v>0</v>
      </c>
      <c r="AU68" s="705"/>
      <c r="AV68" s="705"/>
      <c r="AW68" s="705"/>
      <c r="AX68" s="705"/>
      <c r="AY68" s="718"/>
      <c r="AZ68" s="718"/>
      <c r="BA68" s="718"/>
      <c r="BB68" s="718"/>
      <c r="BC68" s="718"/>
      <c r="BD68" s="718"/>
      <c r="BE68" s="718"/>
      <c r="BF68" s="718"/>
      <c r="BG68" s="718"/>
      <c r="BH68" s="718"/>
      <c r="BI68" s="718"/>
      <c r="BJ68" s="718"/>
      <c r="BK68" s="718"/>
      <c r="BL68" s="205"/>
      <c r="BO68" s="205"/>
      <c r="BP68" s="205"/>
      <c r="BQ68" s="205"/>
      <c r="BR68" s="205"/>
      <c r="BS68" s="205"/>
      <c r="BT68" s="205"/>
      <c r="BU68" s="205"/>
      <c r="BV68" s="205"/>
      <c r="BW68" s="205"/>
      <c r="BX68" s="205"/>
      <c r="BY68" s="205"/>
      <c r="BZ68" s="205"/>
    </row>
    <row r="69" spans="1:79" s="719" customFormat="1" ht="30" customHeight="1">
      <c r="A69" s="706" t="s">
        <v>1086</v>
      </c>
      <c r="B69" s="730" t="s">
        <v>1087</v>
      </c>
      <c r="C69" s="716">
        <f t="shared" si="35"/>
        <v>59</v>
      </c>
      <c r="D69" s="209">
        <v>2205</v>
      </c>
      <c r="E69" s="222" t="s">
        <v>342</v>
      </c>
      <c r="F69" s="705">
        <f>18275000+850000</f>
        <v>19125000</v>
      </c>
      <c r="G69" s="705">
        <v>19125000</v>
      </c>
      <c r="H69" s="705">
        <f t="shared" si="22"/>
        <v>0</v>
      </c>
      <c r="I69" s="705">
        <v>18000000</v>
      </c>
      <c r="J69" s="705">
        <f>16568520+1480</f>
        <v>16570000</v>
      </c>
      <c r="K69" s="705"/>
      <c r="L69" s="705"/>
      <c r="M69" s="705">
        <f t="shared" ref="M69" si="50">SUM(K69:L69)</f>
        <v>0</v>
      </c>
      <c r="N69" s="705">
        <f t="shared" si="24"/>
        <v>16570000</v>
      </c>
      <c r="O69" s="705">
        <f>1705000+850000</f>
        <v>2555000</v>
      </c>
      <c r="P69" s="705">
        <f t="shared" si="25"/>
        <v>0</v>
      </c>
      <c r="Q69" s="705">
        <f t="shared" si="26"/>
        <v>1430000</v>
      </c>
      <c r="R69" s="705">
        <f t="shared" si="27"/>
        <v>1125000</v>
      </c>
      <c r="S69" s="705">
        <v>1125000</v>
      </c>
      <c r="T69" s="705">
        <f t="shared" si="28"/>
        <v>0</v>
      </c>
      <c r="U69" s="705">
        <f t="shared" si="29"/>
        <v>-6481994</v>
      </c>
      <c r="V69" s="705"/>
      <c r="W69" s="705"/>
      <c r="X69" s="705"/>
      <c r="Y69" s="705">
        <v>6481994</v>
      </c>
      <c r="Z69" s="210" t="s">
        <v>1113</v>
      </c>
      <c r="AA69" s="705"/>
      <c r="AB69" s="705"/>
      <c r="AC69" s="705"/>
      <c r="AD69" s="705">
        <f t="shared" si="41"/>
        <v>0</v>
      </c>
      <c r="AE69" s="707"/>
      <c r="AF69" s="705">
        <f t="shared" si="30"/>
        <v>0</v>
      </c>
      <c r="AG69" s="705">
        <f t="shared" si="31"/>
        <v>0</v>
      </c>
      <c r="AH69" s="705">
        <f t="shared" si="32"/>
        <v>-6481994</v>
      </c>
      <c r="AI69" s="705"/>
      <c r="AJ69" s="705"/>
      <c r="AK69" s="705"/>
      <c r="AL69" s="708">
        <v>6481994</v>
      </c>
      <c r="AM69" s="741"/>
      <c r="AN69" s="705">
        <f t="shared" ref="AN69:AN72" si="51">AM69-AR69</f>
        <v>-6481994</v>
      </c>
      <c r="AO69" s="705"/>
      <c r="AP69" s="705"/>
      <c r="AQ69" s="705"/>
      <c r="AR69" s="705">
        <v>6481994</v>
      </c>
      <c r="AS69" s="705"/>
      <c r="AT69" s="705">
        <f t="shared" si="33"/>
        <v>0</v>
      </c>
      <c r="AU69" s="705"/>
      <c r="AV69" s="705"/>
      <c r="AW69" s="705"/>
      <c r="AX69" s="705"/>
      <c r="AY69" s="718"/>
      <c r="AZ69" s="718"/>
      <c r="BA69" s="718"/>
      <c r="BB69" s="718"/>
      <c r="BC69" s="718"/>
      <c r="BD69" s="718"/>
      <c r="BE69" s="718"/>
      <c r="BF69" s="718"/>
      <c r="BG69" s="718"/>
      <c r="BH69" s="718"/>
      <c r="BI69" s="718"/>
      <c r="BJ69" s="718"/>
      <c r="BK69" s="718"/>
      <c r="BL69" s="205"/>
      <c r="BO69" s="205"/>
      <c r="BP69" s="205"/>
      <c r="BQ69" s="205"/>
      <c r="BR69" s="205"/>
      <c r="BS69" s="205"/>
      <c r="BT69" s="205"/>
      <c r="BU69" s="205"/>
      <c r="BV69" s="205"/>
      <c r="BW69" s="205"/>
      <c r="BX69" s="205"/>
      <c r="BY69" s="205"/>
      <c r="BZ69" s="205"/>
    </row>
    <row r="70" spans="1:79" s="719" customFormat="1" ht="30" customHeight="1">
      <c r="A70" s="706" t="s">
        <v>1086</v>
      </c>
      <c r="B70" s="730" t="s">
        <v>1087</v>
      </c>
      <c r="C70" s="716">
        <f t="shared" si="35"/>
        <v>60</v>
      </c>
      <c r="D70" s="209">
        <v>2201</v>
      </c>
      <c r="E70" s="222" t="s">
        <v>367</v>
      </c>
      <c r="F70" s="705">
        <v>120000000</v>
      </c>
      <c r="G70" s="705">
        <v>120000000</v>
      </c>
      <c r="H70" s="705">
        <f t="shared" si="22"/>
        <v>0</v>
      </c>
      <c r="I70" s="705">
        <v>9576755</v>
      </c>
      <c r="J70" s="705">
        <f>6690820+5935</f>
        <v>6696755</v>
      </c>
      <c r="K70" s="705"/>
      <c r="L70" s="705"/>
      <c r="M70" s="705">
        <f t="shared" si="48"/>
        <v>0</v>
      </c>
      <c r="N70" s="705">
        <f t="shared" si="24"/>
        <v>6696755</v>
      </c>
      <c r="O70" s="705">
        <f>18880000</f>
        <v>18880000</v>
      </c>
      <c r="P70" s="705">
        <f t="shared" si="25"/>
        <v>94423245</v>
      </c>
      <c r="Q70" s="705">
        <f t="shared" si="26"/>
        <v>2880000</v>
      </c>
      <c r="R70" s="705">
        <f t="shared" si="27"/>
        <v>16000000</v>
      </c>
      <c r="S70" s="705">
        <v>16000000</v>
      </c>
      <c r="T70" s="705">
        <f t="shared" si="28"/>
        <v>0</v>
      </c>
      <c r="U70" s="705">
        <f t="shared" si="29"/>
        <v>-10544739</v>
      </c>
      <c r="V70" s="705"/>
      <c r="W70" s="705"/>
      <c r="X70" s="705"/>
      <c r="Y70" s="705">
        <v>10544739</v>
      </c>
      <c r="Z70" s="210" t="s">
        <v>1113</v>
      </c>
      <c r="AA70" s="705"/>
      <c r="AB70" s="705"/>
      <c r="AC70" s="705"/>
      <c r="AD70" s="705">
        <f t="shared" si="41"/>
        <v>0</v>
      </c>
      <c r="AE70" s="707"/>
      <c r="AF70" s="705">
        <f t="shared" si="30"/>
        <v>0</v>
      </c>
      <c r="AG70" s="705">
        <f t="shared" si="31"/>
        <v>0</v>
      </c>
      <c r="AH70" s="705">
        <f t="shared" si="32"/>
        <v>-10544739</v>
      </c>
      <c r="AI70" s="705"/>
      <c r="AJ70" s="705"/>
      <c r="AK70" s="705"/>
      <c r="AL70" s="708">
        <v>10544739</v>
      </c>
      <c r="AM70" s="741"/>
      <c r="AN70" s="705">
        <f t="shared" si="51"/>
        <v>-10544739</v>
      </c>
      <c r="AO70" s="705"/>
      <c r="AP70" s="705"/>
      <c r="AQ70" s="705"/>
      <c r="AR70" s="705">
        <v>10544739</v>
      </c>
      <c r="AS70" s="705"/>
      <c r="AT70" s="705">
        <f t="shared" si="33"/>
        <v>0</v>
      </c>
      <c r="AU70" s="705"/>
      <c r="AV70" s="705"/>
      <c r="AW70" s="705"/>
      <c r="AX70" s="705"/>
      <c r="AY70" s="718"/>
      <c r="AZ70" s="718"/>
      <c r="BA70" s="718"/>
      <c r="BB70" s="718"/>
      <c r="BC70" s="718"/>
      <c r="BD70" s="718"/>
      <c r="BE70" s="718"/>
      <c r="BF70" s="718"/>
      <c r="BG70" s="718"/>
      <c r="BH70" s="718"/>
      <c r="BI70" s="718"/>
      <c r="BJ70" s="718"/>
      <c r="BK70" s="718"/>
      <c r="BL70" s="205"/>
      <c r="BO70" s="205"/>
      <c r="BP70" s="205"/>
      <c r="BQ70" s="205"/>
      <c r="BR70" s="205"/>
      <c r="BS70" s="205"/>
      <c r="BT70" s="205"/>
      <c r="BU70" s="205"/>
      <c r="BV70" s="205"/>
      <c r="BW70" s="205"/>
      <c r="BX70" s="205"/>
      <c r="BY70" s="205"/>
      <c r="BZ70" s="205"/>
    </row>
    <row r="71" spans="1:79" s="719" customFormat="1" ht="30" customHeight="1">
      <c r="A71" s="706" t="s">
        <v>1086</v>
      </c>
      <c r="B71" s="730" t="s">
        <v>1087</v>
      </c>
      <c r="C71" s="716">
        <f t="shared" si="35"/>
        <v>61</v>
      </c>
      <c r="D71" s="209">
        <v>2017</v>
      </c>
      <c r="E71" s="222" t="s">
        <v>1102</v>
      </c>
      <c r="F71" s="705">
        <v>37100000</v>
      </c>
      <c r="G71" s="705">
        <v>37100000</v>
      </c>
      <c r="H71" s="705">
        <f t="shared" si="22"/>
        <v>0</v>
      </c>
      <c r="I71" s="705">
        <v>27100000</v>
      </c>
      <c r="J71" s="705">
        <v>25401294</v>
      </c>
      <c r="K71" s="705"/>
      <c r="L71" s="705"/>
      <c r="M71" s="705">
        <f t="shared" ref="M71:M72" si="52">SUM(K71:L71)</f>
        <v>0</v>
      </c>
      <c r="N71" s="705">
        <f t="shared" si="24"/>
        <v>25401294</v>
      </c>
      <c r="O71" s="705">
        <f>5000000+1698706</f>
        <v>6698706</v>
      </c>
      <c r="P71" s="705">
        <f t="shared" si="25"/>
        <v>5000000</v>
      </c>
      <c r="Q71" s="705">
        <f t="shared" si="26"/>
        <v>1698706</v>
      </c>
      <c r="R71" s="705">
        <f t="shared" si="27"/>
        <v>5000000</v>
      </c>
      <c r="S71" s="705">
        <v>5000000</v>
      </c>
      <c r="T71" s="705">
        <f t="shared" si="28"/>
        <v>0</v>
      </c>
      <c r="U71" s="705">
        <f t="shared" si="29"/>
        <v>-2620266</v>
      </c>
      <c r="V71" s="705"/>
      <c r="W71" s="705"/>
      <c r="X71" s="705"/>
      <c r="Y71" s="705">
        <v>2620266</v>
      </c>
      <c r="Z71" s="210" t="s">
        <v>1103</v>
      </c>
      <c r="AA71" s="705"/>
      <c r="AB71" s="705"/>
      <c r="AC71" s="705"/>
      <c r="AD71" s="705">
        <f t="shared" si="41"/>
        <v>0</v>
      </c>
      <c r="AE71" s="707"/>
      <c r="AF71" s="705">
        <f t="shared" si="30"/>
        <v>0</v>
      </c>
      <c r="AG71" s="705">
        <f t="shared" si="31"/>
        <v>0</v>
      </c>
      <c r="AH71" s="705">
        <f t="shared" si="32"/>
        <v>-2620266</v>
      </c>
      <c r="AI71" s="705"/>
      <c r="AJ71" s="705"/>
      <c r="AK71" s="705"/>
      <c r="AL71" s="708">
        <v>2620266</v>
      </c>
      <c r="AM71" s="741"/>
      <c r="AN71" s="705">
        <f t="shared" si="51"/>
        <v>-2620266</v>
      </c>
      <c r="AO71" s="705"/>
      <c r="AP71" s="705"/>
      <c r="AQ71" s="705"/>
      <c r="AR71" s="705">
        <v>2620266</v>
      </c>
      <c r="AS71" s="705"/>
      <c r="AT71" s="705">
        <f t="shared" si="33"/>
        <v>0</v>
      </c>
      <c r="AU71" s="705"/>
      <c r="AV71" s="705"/>
      <c r="AW71" s="705"/>
      <c r="AX71" s="705"/>
      <c r="AY71" s="718"/>
      <c r="AZ71" s="718"/>
      <c r="BA71" s="718"/>
      <c r="BB71" s="718"/>
      <c r="BC71" s="718"/>
      <c r="BD71" s="718"/>
      <c r="BE71" s="718"/>
      <c r="BF71" s="718"/>
      <c r="BG71" s="718"/>
      <c r="BH71" s="718"/>
      <c r="BI71" s="718"/>
      <c r="BJ71" s="718"/>
      <c r="BK71" s="718"/>
      <c r="BL71" s="205"/>
      <c r="BO71" s="205"/>
      <c r="BP71" s="205"/>
      <c r="BQ71" s="205"/>
      <c r="BR71" s="205"/>
      <c r="BS71" s="205"/>
      <c r="BT71" s="205"/>
      <c r="BU71" s="205"/>
      <c r="BV71" s="205"/>
      <c r="BW71" s="205"/>
      <c r="BX71" s="205"/>
      <c r="BY71" s="205"/>
      <c r="BZ71" s="205"/>
    </row>
    <row r="72" spans="1:79" s="719" customFormat="1" ht="30" customHeight="1">
      <c r="A72" s="706" t="s">
        <v>1086</v>
      </c>
      <c r="B72" s="730" t="s">
        <v>1087</v>
      </c>
      <c r="C72" s="716">
        <f t="shared" si="35"/>
        <v>62</v>
      </c>
      <c r="D72" s="209">
        <v>2009</v>
      </c>
      <c r="E72" s="222" t="s">
        <v>1104</v>
      </c>
      <c r="F72" s="705">
        <v>13700000</v>
      </c>
      <c r="G72" s="705">
        <v>13700000</v>
      </c>
      <c r="H72" s="705">
        <f t="shared" si="22"/>
        <v>0</v>
      </c>
      <c r="I72" s="705">
        <v>4200000</v>
      </c>
      <c r="J72" s="705">
        <v>3711087</v>
      </c>
      <c r="K72" s="705"/>
      <c r="L72" s="705"/>
      <c r="M72" s="705">
        <f t="shared" si="52"/>
        <v>0</v>
      </c>
      <c r="N72" s="705">
        <f t="shared" si="24"/>
        <v>3711087</v>
      </c>
      <c r="O72" s="705">
        <f>5000000+488913</f>
        <v>5488913</v>
      </c>
      <c r="P72" s="705">
        <f t="shared" si="25"/>
        <v>4500000</v>
      </c>
      <c r="Q72" s="705">
        <f t="shared" si="26"/>
        <v>488913</v>
      </c>
      <c r="R72" s="705">
        <f t="shared" si="27"/>
        <v>5000000</v>
      </c>
      <c r="S72" s="705">
        <v>5000000</v>
      </c>
      <c r="T72" s="705">
        <f t="shared" si="28"/>
        <v>0</v>
      </c>
      <c r="U72" s="705">
        <f t="shared" si="29"/>
        <v>-614878</v>
      </c>
      <c r="V72" s="705"/>
      <c r="W72" s="705"/>
      <c r="X72" s="705"/>
      <c r="Y72" s="705">
        <v>614878</v>
      </c>
      <c r="Z72" s="210" t="s">
        <v>1105</v>
      </c>
      <c r="AA72" s="705"/>
      <c r="AB72" s="705"/>
      <c r="AC72" s="705"/>
      <c r="AD72" s="705"/>
      <c r="AE72" s="707"/>
      <c r="AF72" s="705">
        <f t="shared" si="30"/>
        <v>0</v>
      </c>
      <c r="AG72" s="705">
        <f t="shared" si="31"/>
        <v>0</v>
      </c>
      <c r="AH72" s="705">
        <f t="shared" si="32"/>
        <v>-614878</v>
      </c>
      <c r="AI72" s="705"/>
      <c r="AJ72" s="705"/>
      <c r="AK72" s="705"/>
      <c r="AL72" s="708">
        <v>614878</v>
      </c>
      <c r="AM72" s="741"/>
      <c r="AN72" s="705">
        <f t="shared" si="51"/>
        <v>-614878</v>
      </c>
      <c r="AO72" s="705"/>
      <c r="AP72" s="705"/>
      <c r="AQ72" s="705"/>
      <c r="AR72" s="705">
        <v>614878</v>
      </c>
      <c r="AS72" s="705"/>
      <c r="AT72" s="705">
        <f t="shared" si="33"/>
        <v>0</v>
      </c>
      <c r="AU72" s="705"/>
      <c r="AV72" s="705"/>
      <c r="AW72" s="705"/>
      <c r="AX72" s="705"/>
      <c r="AY72" s="717"/>
      <c r="AZ72" s="718"/>
      <c r="BA72" s="718"/>
      <c r="BB72" s="718"/>
      <c r="BC72" s="718"/>
      <c r="BD72" s="718"/>
      <c r="BE72" s="718"/>
      <c r="BF72" s="718"/>
      <c r="BG72" s="718"/>
      <c r="BH72" s="718"/>
      <c r="BI72" s="718"/>
      <c r="BJ72" s="718"/>
      <c r="BK72" s="718"/>
      <c r="BL72" s="718"/>
      <c r="BM72" s="205"/>
      <c r="BP72" s="205"/>
      <c r="BQ72" s="205"/>
      <c r="BR72" s="205"/>
      <c r="BS72" s="205"/>
      <c r="BT72" s="205"/>
      <c r="BU72" s="205"/>
      <c r="BV72" s="205"/>
      <c r="BW72" s="205"/>
      <c r="BX72" s="205"/>
      <c r="BY72" s="205"/>
      <c r="BZ72" s="205"/>
      <c r="CA72" s="205"/>
    </row>
    <row r="73" spans="1:79" s="719" customFormat="1" ht="30" customHeight="1">
      <c r="A73" s="706" t="s">
        <v>1091</v>
      </c>
      <c r="B73" s="730" t="s">
        <v>1092</v>
      </c>
      <c r="C73" s="716">
        <f t="shared" si="35"/>
        <v>63</v>
      </c>
      <c r="D73" s="209">
        <v>2151</v>
      </c>
      <c r="E73" s="222" t="s">
        <v>311</v>
      </c>
      <c r="F73" s="705">
        <v>54000000</v>
      </c>
      <c r="G73" s="705">
        <v>54000000</v>
      </c>
      <c r="H73" s="705">
        <f t="shared" si="22"/>
        <v>0</v>
      </c>
      <c r="I73" s="705">
        <v>6000000</v>
      </c>
      <c r="J73" s="705">
        <f>4443787+6213</f>
        <v>4450000</v>
      </c>
      <c r="K73" s="705"/>
      <c r="L73" s="705"/>
      <c r="M73" s="705">
        <f t="shared" ref="M73" si="53">SUM(K73:L73)</f>
        <v>0</v>
      </c>
      <c r="N73" s="705">
        <f t="shared" si="24"/>
        <v>4450000</v>
      </c>
      <c r="O73" s="711">
        <f>6550000+4000000+2000000</f>
        <v>12550000</v>
      </c>
      <c r="P73" s="705">
        <f t="shared" si="25"/>
        <v>37000000</v>
      </c>
      <c r="Q73" s="705">
        <f t="shared" si="26"/>
        <v>1550000</v>
      </c>
      <c r="R73" s="705">
        <f t="shared" si="27"/>
        <v>11000000</v>
      </c>
      <c r="S73" s="711">
        <f>5000000+4000000</f>
        <v>9000000</v>
      </c>
      <c r="T73" s="705">
        <f t="shared" si="28"/>
        <v>2000000</v>
      </c>
      <c r="U73" s="705">
        <f t="shared" si="29"/>
        <v>2000000</v>
      </c>
      <c r="V73" s="705"/>
      <c r="W73" s="705"/>
      <c r="X73" s="705"/>
      <c r="Y73" s="705"/>
      <c r="Z73" s="210" t="s">
        <v>1085</v>
      </c>
      <c r="AA73" s="705"/>
      <c r="AB73" s="705"/>
      <c r="AC73" s="705"/>
      <c r="AD73" s="705">
        <f t="shared" ref="AD73:AD79" si="54">SUM(AA73:AC73)</f>
        <v>0</v>
      </c>
      <c r="AE73" s="712">
        <f>2000000-1000000</f>
        <v>1000000</v>
      </c>
      <c r="AF73" s="705">
        <f t="shared" si="30"/>
        <v>1000000</v>
      </c>
      <c r="AG73" s="705">
        <f t="shared" si="31"/>
        <v>1000000</v>
      </c>
      <c r="AH73" s="705">
        <f t="shared" si="32"/>
        <v>1000000</v>
      </c>
      <c r="AI73" s="705"/>
      <c r="AJ73" s="705"/>
      <c r="AK73" s="705"/>
      <c r="AL73" s="708"/>
      <c r="AM73" s="713"/>
      <c r="AN73" s="705"/>
      <c r="AO73" s="705"/>
      <c r="AP73" s="705"/>
      <c r="AQ73" s="705"/>
      <c r="AR73" s="705"/>
      <c r="AS73" s="705"/>
      <c r="AT73" s="705">
        <f t="shared" si="33"/>
        <v>0</v>
      </c>
      <c r="AU73" s="705"/>
      <c r="AV73" s="705"/>
      <c r="AW73" s="705"/>
      <c r="AX73" s="705"/>
      <c r="AY73" s="718"/>
      <c r="AZ73" s="205"/>
      <c r="BC73" s="718"/>
      <c r="BD73" s="718"/>
      <c r="BE73" s="718"/>
      <c r="BF73" s="718"/>
      <c r="BG73" s="718"/>
      <c r="BH73" s="205"/>
      <c r="BI73" s="205"/>
      <c r="BJ73" s="205"/>
      <c r="BK73" s="205"/>
      <c r="BL73" s="205"/>
      <c r="BM73" s="205"/>
      <c r="BN73" s="205"/>
      <c r="BO73" s="205"/>
      <c r="BP73" s="205"/>
      <c r="BQ73" s="205"/>
      <c r="BR73" s="205"/>
      <c r="BS73" s="205"/>
    </row>
    <row r="74" spans="1:79" s="719" customFormat="1" ht="30" customHeight="1">
      <c r="A74" s="706" t="s">
        <v>1091</v>
      </c>
      <c r="B74" s="730" t="s">
        <v>1092</v>
      </c>
      <c r="C74" s="716">
        <f t="shared" si="35"/>
        <v>64</v>
      </c>
      <c r="D74" s="209">
        <v>1957</v>
      </c>
      <c r="E74" s="222" t="s">
        <v>1110</v>
      </c>
      <c r="F74" s="705">
        <v>75000000</v>
      </c>
      <c r="G74" s="705">
        <v>75000000</v>
      </c>
      <c r="H74" s="705">
        <f t="shared" si="22"/>
        <v>0</v>
      </c>
      <c r="I74" s="705">
        <v>34101449</v>
      </c>
      <c r="J74" s="705">
        <f>33624938+6511</f>
        <v>33631449</v>
      </c>
      <c r="K74" s="705"/>
      <c r="L74" s="705"/>
      <c r="M74" s="705">
        <f t="shared" ref="M74" si="55">SUM(K74:L74)</f>
        <v>0</v>
      </c>
      <c r="N74" s="705">
        <f t="shared" si="24"/>
        <v>33631449</v>
      </c>
      <c r="O74" s="711">
        <f>30068551+5000000-2000000+5000000</f>
        <v>38068551</v>
      </c>
      <c r="P74" s="705">
        <f t="shared" si="25"/>
        <v>3300000</v>
      </c>
      <c r="Q74" s="705">
        <f t="shared" si="26"/>
        <v>470000</v>
      </c>
      <c r="R74" s="705">
        <f t="shared" si="27"/>
        <v>37598551</v>
      </c>
      <c r="S74" s="711">
        <f>29598551+5000000</f>
        <v>34598551</v>
      </c>
      <c r="T74" s="705">
        <f t="shared" si="28"/>
        <v>3000000</v>
      </c>
      <c r="U74" s="705">
        <f t="shared" si="29"/>
        <v>3000000</v>
      </c>
      <c r="V74" s="705"/>
      <c r="W74" s="705"/>
      <c r="X74" s="705"/>
      <c r="Y74" s="705"/>
      <c r="Z74" s="210" t="s">
        <v>1085</v>
      </c>
      <c r="AA74" s="705"/>
      <c r="AB74" s="705"/>
      <c r="AC74" s="705"/>
      <c r="AD74" s="705">
        <f t="shared" si="54"/>
        <v>0</v>
      </c>
      <c r="AE74" s="712">
        <v>3000000</v>
      </c>
      <c r="AF74" s="705">
        <f t="shared" si="30"/>
        <v>3000000</v>
      </c>
      <c r="AG74" s="705">
        <f t="shared" si="31"/>
        <v>0</v>
      </c>
      <c r="AH74" s="705">
        <f t="shared" si="32"/>
        <v>3000000</v>
      </c>
      <c r="AI74" s="705"/>
      <c r="AJ74" s="705"/>
      <c r="AK74" s="705"/>
      <c r="AL74" s="708"/>
      <c r="AM74" s="713"/>
      <c r="AN74" s="705"/>
      <c r="AO74" s="705"/>
      <c r="AP74" s="705"/>
      <c r="AQ74" s="705"/>
      <c r="AR74" s="705"/>
      <c r="AS74" s="705"/>
      <c r="AT74" s="705">
        <f t="shared" si="33"/>
        <v>0</v>
      </c>
      <c r="AU74" s="705"/>
      <c r="AV74" s="705"/>
      <c r="AW74" s="705"/>
      <c r="AX74" s="705"/>
      <c r="AY74" s="718"/>
      <c r="AZ74" s="205"/>
      <c r="BC74" s="718"/>
      <c r="BD74" s="718"/>
      <c r="BE74" s="718"/>
      <c r="BF74" s="718"/>
      <c r="BG74" s="718"/>
      <c r="BH74" s="205"/>
      <c r="BI74" s="205"/>
      <c r="BJ74" s="205"/>
      <c r="BK74" s="205"/>
      <c r="BL74" s="205"/>
      <c r="BM74" s="205"/>
      <c r="BN74" s="205"/>
      <c r="BO74" s="205"/>
      <c r="BP74" s="205"/>
      <c r="BQ74" s="205"/>
      <c r="BR74" s="205"/>
      <c r="BS74" s="205"/>
    </row>
    <row r="75" spans="1:79" s="719" customFormat="1" ht="30" customHeight="1">
      <c r="A75" s="706" t="s">
        <v>1091</v>
      </c>
      <c r="B75" s="730" t="s">
        <v>1092</v>
      </c>
      <c r="C75" s="716">
        <f t="shared" si="35"/>
        <v>65</v>
      </c>
      <c r="D75" s="209">
        <v>2001</v>
      </c>
      <c r="E75" s="222" t="s">
        <v>102</v>
      </c>
      <c r="F75" s="705">
        <v>32700000</v>
      </c>
      <c r="G75" s="705">
        <v>32700000</v>
      </c>
      <c r="H75" s="705">
        <f t="shared" si="22"/>
        <v>0</v>
      </c>
      <c r="I75" s="705">
        <v>8398700</v>
      </c>
      <c r="J75" s="705">
        <f>6406298+2402</f>
        <v>6408700</v>
      </c>
      <c r="K75" s="705"/>
      <c r="L75" s="705"/>
      <c r="M75" s="705">
        <f t="shared" ref="M75:M78" si="56">SUM(K75:L75)</f>
        <v>0</v>
      </c>
      <c r="N75" s="705">
        <f t="shared" si="24"/>
        <v>6408700</v>
      </c>
      <c r="O75" s="705">
        <f>11591300+7700000+2300000+4700000</f>
        <v>26291300</v>
      </c>
      <c r="P75" s="705">
        <f t="shared" si="25"/>
        <v>0</v>
      </c>
      <c r="Q75" s="705">
        <f t="shared" si="26"/>
        <v>1990000</v>
      </c>
      <c r="R75" s="705">
        <f t="shared" si="27"/>
        <v>24301300</v>
      </c>
      <c r="S75" s="705">
        <v>19601300</v>
      </c>
      <c r="T75" s="705">
        <f t="shared" si="28"/>
        <v>4700000</v>
      </c>
      <c r="U75" s="705">
        <f t="shared" si="29"/>
        <v>4700000</v>
      </c>
      <c r="V75" s="705"/>
      <c r="W75" s="705"/>
      <c r="X75" s="705"/>
      <c r="Y75" s="705"/>
      <c r="Z75" s="210" t="s">
        <v>1114</v>
      </c>
      <c r="AA75" s="705"/>
      <c r="AB75" s="705"/>
      <c r="AC75" s="705"/>
      <c r="AD75" s="705">
        <f t="shared" si="54"/>
        <v>0</v>
      </c>
      <c r="AE75" s="705">
        <v>4700000</v>
      </c>
      <c r="AF75" s="705">
        <f t="shared" si="30"/>
        <v>4700000</v>
      </c>
      <c r="AG75" s="705">
        <f t="shared" si="31"/>
        <v>0</v>
      </c>
      <c r="AH75" s="705">
        <f t="shared" si="32"/>
        <v>4700000</v>
      </c>
      <c r="AI75" s="705"/>
      <c r="AJ75" s="705"/>
      <c r="AK75" s="705"/>
      <c r="AL75" s="708"/>
      <c r="AM75" s="713"/>
      <c r="AN75" s="705"/>
      <c r="AO75" s="705"/>
      <c r="AP75" s="705"/>
      <c r="AQ75" s="705"/>
      <c r="AR75" s="705"/>
      <c r="AS75" s="705"/>
      <c r="AT75" s="705">
        <f t="shared" si="33"/>
        <v>0</v>
      </c>
      <c r="AU75" s="705"/>
      <c r="AV75" s="705"/>
      <c r="AW75" s="705"/>
      <c r="AX75" s="705"/>
      <c r="AY75" s="718"/>
      <c r="AZ75" s="718"/>
      <c r="BA75" s="205"/>
      <c r="BC75" s="718"/>
      <c r="BD75" s="718"/>
      <c r="BE75" s="718"/>
      <c r="BF75" s="718"/>
      <c r="BG75" s="718"/>
      <c r="BI75" s="205"/>
      <c r="BJ75" s="205"/>
      <c r="BK75" s="205"/>
      <c r="BL75" s="205"/>
      <c r="BM75" s="205"/>
      <c r="BN75" s="205"/>
      <c r="BO75" s="205"/>
      <c r="BP75" s="205"/>
      <c r="BQ75" s="205"/>
      <c r="BR75" s="205"/>
      <c r="BS75" s="205"/>
      <c r="BT75" s="205"/>
    </row>
    <row r="76" spans="1:79" s="719" customFormat="1" ht="30" customHeight="1">
      <c r="A76" s="706" t="s">
        <v>1091</v>
      </c>
      <c r="B76" s="730" t="s">
        <v>1092</v>
      </c>
      <c r="C76" s="716">
        <f t="shared" si="35"/>
        <v>66</v>
      </c>
      <c r="D76" s="209">
        <v>20084</v>
      </c>
      <c r="E76" s="222" t="s">
        <v>580</v>
      </c>
      <c r="F76" s="705">
        <v>109000000</v>
      </c>
      <c r="G76" s="705">
        <v>109000000</v>
      </c>
      <c r="H76" s="705">
        <f t="shared" si="22"/>
        <v>0</v>
      </c>
      <c r="I76" s="705">
        <v>500000</v>
      </c>
      <c r="J76" s="705">
        <f>494805+5195</f>
        <v>500000</v>
      </c>
      <c r="K76" s="705"/>
      <c r="L76" s="705"/>
      <c r="M76" s="705">
        <f t="shared" si="56"/>
        <v>0</v>
      </c>
      <c r="N76" s="705">
        <f t="shared" si="24"/>
        <v>500000</v>
      </c>
      <c r="O76" s="705">
        <v>15000000</v>
      </c>
      <c r="P76" s="705">
        <f t="shared" si="25"/>
        <v>93500000</v>
      </c>
      <c r="Q76" s="705">
        <f t="shared" si="26"/>
        <v>0</v>
      </c>
      <c r="R76" s="705">
        <f t="shared" si="27"/>
        <v>15000000</v>
      </c>
      <c r="S76" s="705">
        <v>15000000</v>
      </c>
      <c r="T76" s="705">
        <f t="shared" si="28"/>
        <v>0</v>
      </c>
      <c r="U76" s="705">
        <f t="shared" si="29"/>
        <v>-500000</v>
      </c>
      <c r="V76" s="705"/>
      <c r="W76" s="705"/>
      <c r="X76" s="705">
        <v>500000</v>
      </c>
      <c r="Y76" s="705"/>
      <c r="Z76" s="210" t="s">
        <v>1115</v>
      </c>
      <c r="AA76" s="705"/>
      <c r="AB76" s="705"/>
      <c r="AC76" s="705"/>
      <c r="AD76" s="705">
        <f t="shared" si="54"/>
        <v>0</v>
      </c>
      <c r="AE76" s="707"/>
      <c r="AF76" s="705">
        <f t="shared" si="30"/>
        <v>0</v>
      </c>
      <c r="AG76" s="705">
        <f t="shared" si="31"/>
        <v>0</v>
      </c>
      <c r="AH76" s="705">
        <f t="shared" si="32"/>
        <v>-500000</v>
      </c>
      <c r="AI76" s="705"/>
      <c r="AJ76" s="705"/>
      <c r="AK76" s="705">
        <v>500000</v>
      </c>
      <c r="AL76" s="708"/>
      <c r="AM76" s="713"/>
      <c r="AN76" s="705"/>
      <c r="AO76" s="705"/>
      <c r="AP76" s="705"/>
      <c r="AQ76" s="705"/>
      <c r="AR76" s="705"/>
      <c r="AS76" s="707"/>
      <c r="AT76" s="705">
        <f t="shared" si="33"/>
        <v>-500000</v>
      </c>
      <c r="AU76" s="705"/>
      <c r="AV76" s="705"/>
      <c r="AW76" s="705">
        <v>500000</v>
      </c>
      <c r="AX76" s="705"/>
      <c r="AY76" s="718"/>
      <c r="AZ76" s="718"/>
      <c r="BA76" s="205"/>
      <c r="BC76" s="718"/>
      <c r="BD76" s="718"/>
      <c r="BE76" s="718"/>
      <c r="BF76" s="718"/>
      <c r="BG76" s="718"/>
      <c r="BI76" s="205"/>
      <c r="BJ76" s="205"/>
      <c r="BK76" s="205"/>
      <c r="BL76" s="205"/>
      <c r="BM76" s="205"/>
      <c r="BN76" s="205"/>
      <c r="BO76" s="205"/>
      <c r="BP76" s="205"/>
      <c r="BQ76" s="205"/>
      <c r="BR76" s="205"/>
      <c r="BS76" s="205"/>
      <c r="BT76" s="205"/>
    </row>
    <row r="77" spans="1:79" s="719" customFormat="1" ht="30" customHeight="1">
      <c r="A77" s="706" t="s">
        <v>1091</v>
      </c>
      <c r="B77" s="730" t="s">
        <v>1092</v>
      </c>
      <c r="C77" s="716">
        <f t="shared" si="35"/>
        <v>67</v>
      </c>
      <c r="D77" s="209">
        <v>1657</v>
      </c>
      <c r="E77" s="222" t="s">
        <v>25</v>
      </c>
      <c r="F77" s="705">
        <v>65000000</v>
      </c>
      <c r="G77" s="705">
        <v>65000000</v>
      </c>
      <c r="H77" s="705">
        <f t="shared" si="22"/>
        <v>0</v>
      </c>
      <c r="I77" s="705">
        <v>54519789</v>
      </c>
      <c r="J77" s="705">
        <f>53294967+4822</f>
        <v>53299789</v>
      </c>
      <c r="K77" s="705"/>
      <c r="L77" s="705"/>
      <c r="M77" s="705">
        <f t="shared" si="56"/>
        <v>0</v>
      </c>
      <c r="N77" s="705">
        <f t="shared" si="24"/>
        <v>53299789</v>
      </c>
      <c r="O77" s="705">
        <f>1220000-10500000+5800000</f>
        <v>-3480000</v>
      </c>
      <c r="P77" s="705">
        <f t="shared" si="25"/>
        <v>15180211</v>
      </c>
      <c r="Q77" s="705">
        <f t="shared" si="26"/>
        <v>1220000</v>
      </c>
      <c r="R77" s="705">
        <f t="shared" si="27"/>
        <v>-4700000</v>
      </c>
      <c r="S77" s="705"/>
      <c r="T77" s="705">
        <f t="shared" si="28"/>
        <v>-4700000</v>
      </c>
      <c r="U77" s="705">
        <f t="shared" si="29"/>
        <v>-4700000</v>
      </c>
      <c r="V77" s="705"/>
      <c r="W77" s="705"/>
      <c r="X77" s="705"/>
      <c r="Y77" s="705"/>
      <c r="Z77" s="210" t="s">
        <v>1114</v>
      </c>
      <c r="AA77" s="705"/>
      <c r="AB77" s="705"/>
      <c r="AC77" s="705"/>
      <c r="AD77" s="705">
        <f t="shared" si="54"/>
        <v>0</v>
      </c>
      <c r="AE77" s="705">
        <v>-4700000</v>
      </c>
      <c r="AF77" s="705">
        <f t="shared" si="30"/>
        <v>-4700000</v>
      </c>
      <c r="AG77" s="705">
        <f t="shared" si="31"/>
        <v>0</v>
      </c>
      <c r="AH77" s="705">
        <f t="shared" si="32"/>
        <v>-4700000</v>
      </c>
      <c r="AI77" s="705"/>
      <c r="AJ77" s="705"/>
      <c r="AK77" s="705"/>
      <c r="AL77" s="708"/>
      <c r="AM77" s="713"/>
      <c r="AN77" s="705"/>
      <c r="AO77" s="705"/>
      <c r="AP77" s="705"/>
      <c r="AQ77" s="705"/>
      <c r="AR77" s="705"/>
      <c r="AS77" s="705">
        <v>-4700000</v>
      </c>
      <c r="AT77" s="705">
        <f t="shared" si="33"/>
        <v>-4700000</v>
      </c>
      <c r="AU77" s="705"/>
      <c r="AV77" s="705"/>
      <c r="AW77" s="705"/>
      <c r="AX77" s="705"/>
      <c r="AY77" s="718"/>
      <c r="AZ77" s="718"/>
      <c r="BA77" s="205"/>
      <c r="BC77" s="718"/>
      <c r="BD77" s="718"/>
      <c r="BE77" s="718"/>
      <c r="BF77" s="718"/>
      <c r="BG77" s="718"/>
      <c r="BI77" s="205"/>
      <c r="BJ77" s="205"/>
      <c r="BK77" s="205"/>
      <c r="BL77" s="205"/>
      <c r="BM77" s="205"/>
      <c r="BN77" s="205"/>
      <c r="BO77" s="205"/>
      <c r="BP77" s="205"/>
      <c r="BQ77" s="205"/>
      <c r="BR77" s="205"/>
      <c r="BS77" s="205"/>
      <c r="BT77" s="205"/>
    </row>
    <row r="78" spans="1:79" s="719" customFormat="1" ht="30" customHeight="1">
      <c r="A78" s="706" t="s">
        <v>1091</v>
      </c>
      <c r="B78" s="730" t="s">
        <v>1092</v>
      </c>
      <c r="C78" s="716">
        <f t="shared" si="35"/>
        <v>68</v>
      </c>
      <c r="D78" s="209">
        <v>1965</v>
      </c>
      <c r="E78" s="222" t="s">
        <v>227</v>
      </c>
      <c r="F78" s="705">
        <v>87000000</v>
      </c>
      <c r="G78" s="705">
        <v>87000000</v>
      </c>
      <c r="H78" s="705">
        <f t="shared" si="22"/>
        <v>0</v>
      </c>
      <c r="I78" s="705">
        <v>2100000</v>
      </c>
      <c r="J78" s="705">
        <f>2066817+3183</f>
        <v>2070000</v>
      </c>
      <c r="K78" s="705"/>
      <c r="L78" s="705"/>
      <c r="M78" s="705">
        <f t="shared" si="56"/>
        <v>0</v>
      </c>
      <c r="N78" s="705">
        <f t="shared" si="24"/>
        <v>2070000</v>
      </c>
      <c r="O78" s="705">
        <f>18030000-2500000</f>
        <v>15530000</v>
      </c>
      <c r="P78" s="705">
        <f t="shared" si="25"/>
        <v>69400000</v>
      </c>
      <c r="Q78" s="705">
        <f t="shared" si="26"/>
        <v>30000</v>
      </c>
      <c r="R78" s="705">
        <f t="shared" si="27"/>
        <v>15500000</v>
      </c>
      <c r="S78" s="705">
        <v>18000000</v>
      </c>
      <c r="T78" s="705">
        <f t="shared" si="28"/>
        <v>-2500000</v>
      </c>
      <c r="U78" s="705">
        <f t="shared" si="29"/>
        <v>-2500000</v>
      </c>
      <c r="V78" s="705"/>
      <c r="W78" s="705"/>
      <c r="X78" s="705"/>
      <c r="Y78" s="705"/>
      <c r="Z78" s="210" t="s">
        <v>1114</v>
      </c>
      <c r="AA78" s="705"/>
      <c r="AB78" s="705"/>
      <c r="AC78" s="705"/>
      <c r="AD78" s="705">
        <f t="shared" si="54"/>
        <v>0</v>
      </c>
      <c r="AE78" s="705"/>
      <c r="AF78" s="705">
        <f t="shared" si="30"/>
        <v>0</v>
      </c>
      <c r="AG78" s="705">
        <f t="shared" si="31"/>
        <v>-2500000</v>
      </c>
      <c r="AH78" s="705">
        <f t="shared" si="32"/>
        <v>0</v>
      </c>
      <c r="AI78" s="705"/>
      <c r="AJ78" s="705"/>
      <c r="AK78" s="705"/>
      <c r="AL78" s="708"/>
      <c r="AM78" s="713"/>
      <c r="AN78" s="705"/>
      <c r="AO78" s="705"/>
      <c r="AP78" s="705"/>
      <c r="AQ78" s="705"/>
      <c r="AR78" s="705"/>
      <c r="AS78" s="705"/>
      <c r="AT78" s="705">
        <f t="shared" si="33"/>
        <v>0</v>
      </c>
      <c r="AU78" s="705"/>
      <c r="AV78" s="705"/>
      <c r="AW78" s="705"/>
      <c r="AX78" s="705"/>
      <c r="AY78" s="718"/>
      <c r="AZ78" s="718"/>
      <c r="BA78" s="205"/>
      <c r="BC78" s="718"/>
      <c r="BD78" s="718"/>
      <c r="BE78" s="718"/>
      <c r="BF78" s="718"/>
      <c r="BG78" s="718"/>
      <c r="BI78" s="205"/>
      <c r="BJ78" s="205"/>
      <c r="BK78" s="205"/>
      <c r="BL78" s="205"/>
      <c r="BM78" s="205"/>
      <c r="BN78" s="205"/>
      <c r="BO78" s="205"/>
      <c r="BP78" s="205"/>
      <c r="BQ78" s="205"/>
      <c r="BR78" s="205"/>
      <c r="BS78" s="205"/>
      <c r="BT78" s="205"/>
    </row>
    <row r="79" spans="1:79" s="719" customFormat="1" ht="30" customHeight="1">
      <c r="A79" s="706" t="s">
        <v>1091</v>
      </c>
      <c r="B79" s="730" t="s">
        <v>1092</v>
      </c>
      <c r="C79" s="716">
        <f t="shared" si="35"/>
        <v>69</v>
      </c>
      <c r="D79" s="209">
        <v>20081</v>
      </c>
      <c r="E79" s="222" t="s">
        <v>592</v>
      </c>
      <c r="F79" s="705">
        <f>57500000+27500000</f>
        <v>85000000</v>
      </c>
      <c r="G79" s="705">
        <v>85000000</v>
      </c>
      <c r="H79" s="705">
        <f t="shared" si="22"/>
        <v>0</v>
      </c>
      <c r="I79" s="705">
        <v>39000000</v>
      </c>
      <c r="J79" s="705">
        <f>33957035+2965</f>
        <v>33960000</v>
      </c>
      <c r="K79" s="705"/>
      <c r="L79" s="705"/>
      <c r="M79" s="705">
        <f t="shared" ref="M79" si="57">SUM(K79:L79)</f>
        <v>0</v>
      </c>
      <c r="N79" s="705">
        <f t="shared" si="24"/>
        <v>33960000</v>
      </c>
      <c r="O79" s="705">
        <f>21540000+3000000+7000000-2000000</f>
        <v>29540000</v>
      </c>
      <c r="P79" s="705">
        <f t="shared" si="25"/>
        <v>21500000</v>
      </c>
      <c r="Q79" s="705">
        <f t="shared" si="26"/>
        <v>5040000</v>
      </c>
      <c r="R79" s="705">
        <f t="shared" si="27"/>
        <v>24500000</v>
      </c>
      <c r="S79" s="705">
        <v>26500000</v>
      </c>
      <c r="T79" s="705">
        <f t="shared" si="28"/>
        <v>-2000000</v>
      </c>
      <c r="U79" s="705">
        <f t="shared" si="29"/>
        <v>-2000000</v>
      </c>
      <c r="V79" s="705"/>
      <c r="W79" s="705"/>
      <c r="X79" s="705"/>
      <c r="Y79" s="705"/>
      <c r="Z79" s="210" t="s">
        <v>1108</v>
      </c>
      <c r="AA79" s="705"/>
      <c r="AB79" s="705"/>
      <c r="AC79" s="705"/>
      <c r="AD79" s="705">
        <f t="shared" si="54"/>
        <v>0</v>
      </c>
      <c r="AE79" s="711">
        <v>-2000000</v>
      </c>
      <c r="AF79" s="705">
        <f t="shared" si="30"/>
        <v>-2000000</v>
      </c>
      <c r="AG79" s="705">
        <f t="shared" si="31"/>
        <v>0</v>
      </c>
      <c r="AH79" s="705">
        <f t="shared" si="32"/>
        <v>-2000000</v>
      </c>
      <c r="AI79" s="705"/>
      <c r="AJ79" s="705"/>
      <c r="AK79" s="705"/>
      <c r="AL79" s="708"/>
      <c r="AM79" s="713"/>
      <c r="AN79" s="705"/>
      <c r="AO79" s="705"/>
      <c r="AP79" s="705"/>
      <c r="AQ79" s="705"/>
      <c r="AR79" s="705"/>
      <c r="AS79" s="705"/>
      <c r="AT79" s="705">
        <f t="shared" si="33"/>
        <v>0</v>
      </c>
      <c r="AU79" s="705"/>
      <c r="AV79" s="705"/>
      <c r="AW79" s="705"/>
      <c r="AX79" s="705"/>
      <c r="AY79" s="718"/>
      <c r="AZ79" s="718"/>
      <c r="BA79" s="205"/>
      <c r="BC79" s="718"/>
      <c r="BD79" s="718"/>
      <c r="BE79" s="718"/>
      <c r="BF79" s="718"/>
      <c r="BG79" s="718"/>
      <c r="BI79" s="205"/>
      <c r="BJ79" s="205"/>
      <c r="BK79" s="205"/>
      <c r="BL79" s="205"/>
      <c r="BM79" s="205"/>
      <c r="BN79" s="205"/>
      <c r="BO79" s="205"/>
      <c r="BP79" s="205"/>
      <c r="BQ79" s="205"/>
      <c r="BR79" s="205"/>
      <c r="BS79" s="205"/>
      <c r="BT79" s="205"/>
    </row>
    <row r="80" spans="1:79" s="719" customFormat="1" ht="30" customHeight="1">
      <c r="A80" s="720"/>
      <c r="B80" s="732"/>
      <c r="C80" s="720">
        <f>COUNT(C37:C79)</f>
        <v>43</v>
      </c>
      <c r="D80" s="211"/>
      <c r="E80" s="129" t="s">
        <v>65</v>
      </c>
      <c r="F80" s="709">
        <f t="shared" ref="F80:Y80" si="58">SUM(F37:F79)</f>
        <v>2106051330</v>
      </c>
      <c r="G80" s="709">
        <f t="shared" si="58"/>
        <v>2039331330</v>
      </c>
      <c r="H80" s="709">
        <f t="shared" si="58"/>
        <v>66720000</v>
      </c>
      <c r="I80" s="709">
        <f t="shared" si="58"/>
        <v>891570357</v>
      </c>
      <c r="J80" s="709">
        <f t="shared" si="58"/>
        <v>816605119</v>
      </c>
      <c r="K80" s="709">
        <f t="shared" si="58"/>
        <v>0</v>
      </c>
      <c r="L80" s="709">
        <f t="shared" si="58"/>
        <v>0</v>
      </c>
      <c r="M80" s="709">
        <f t="shared" si="58"/>
        <v>0</v>
      </c>
      <c r="N80" s="709">
        <f t="shared" si="58"/>
        <v>816605119</v>
      </c>
      <c r="O80" s="709">
        <f t="shared" si="58"/>
        <v>560640234</v>
      </c>
      <c r="P80" s="709">
        <f t="shared" si="58"/>
        <v>728805977</v>
      </c>
      <c r="Q80" s="709">
        <f t="shared" si="58"/>
        <v>74965238</v>
      </c>
      <c r="R80" s="709">
        <f t="shared" si="58"/>
        <v>485674996</v>
      </c>
      <c r="S80" s="709">
        <f t="shared" si="58"/>
        <v>438724996</v>
      </c>
      <c r="T80" s="709">
        <f t="shared" si="58"/>
        <v>46950000</v>
      </c>
      <c r="U80" s="709">
        <f t="shared" si="58"/>
        <v>126302</v>
      </c>
      <c r="V80" s="709">
        <f t="shared" si="58"/>
        <v>11000000</v>
      </c>
      <c r="W80" s="709">
        <f t="shared" si="58"/>
        <v>0</v>
      </c>
      <c r="X80" s="709">
        <f t="shared" si="58"/>
        <v>500000</v>
      </c>
      <c r="Y80" s="709">
        <f t="shared" si="58"/>
        <v>35323698</v>
      </c>
      <c r="Z80" s="709"/>
      <c r="AA80" s="709">
        <f>SUM(AA37:AA79)</f>
        <v>5000000</v>
      </c>
      <c r="AB80" s="709">
        <f t="shared" ref="AB80:AF80" si="59">SUM(AB37:AB79)</f>
        <v>16000000</v>
      </c>
      <c r="AC80" s="709">
        <f t="shared" si="59"/>
        <v>1500000</v>
      </c>
      <c r="AD80" s="709">
        <f t="shared" si="59"/>
        <v>21300000</v>
      </c>
      <c r="AE80" s="709">
        <f t="shared" si="59"/>
        <v>30300000</v>
      </c>
      <c r="AF80" s="709">
        <f t="shared" si="59"/>
        <v>74100000</v>
      </c>
      <c r="AG80" s="709">
        <f t="shared" ref="AG80:AS80" si="60">SUM(AG37:AG79)</f>
        <v>-27150000</v>
      </c>
      <c r="AH80" s="709">
        <f t="shared" si="60"/>
        <v>27066302</v>
      </c>
      <c r="AI80" s="709">
        <f t="shared" si="60"/>
        <v>11000000</v>
      </c>
      <c r="AJ80" s="709">
        <f t="shared" si="60"/>
        <v>0</v>
      </c>
      <c r="AK80" s="709">
        <f t="shared" si="60"/>
        <v>500000</v>
      </c>
      <c r="AL80" s="714">
        <f t="shared" si="60"/>
        <v>35533698</v>
      </c>
      <c r="AM80" s="742">
        <f t="shared" si="60"/>
        <v>0</v>
      </c>
      <c r="AN80" s="714">
        <f t="shared" si="60"/>
        <v>-26657702</v>
      </c>
      <c r="AO80" s="714">
        <f t="shared" si="60"/>
        <v>0</v>
      </c>
      <c r="AP80" s="714">
        <f t="shared" si="60"/>
        <v>0</v>
      </c>
      <c r="AQ80" s="714">
        <f t="shared" si="60"/>
        <v>0</v>
      </c>
      <c r="AR80" s="714">
        <f t="shared" si="60"/>
        <v>26657702</v>
      </c>
      <c r="AS80" s="714">
        <f t="shared" si="60"/>
        <v>-4300000</v>
      </c>
      <c r="AT80" s="714">
        <f t="shared" ref="AT80:AX80" si="61">SUM(AT37:AT79)</f>
        <v>-4800000</v>
      </c>
      <c r="AU80" s="714">
        <f t="shared" si="61"/>
        <v>0</v>
      </c>
      <c r="AV80" s="714">
        <f t="shared" si="61"/>
        <v>0</v>
      </c>
      <c r="AW80" s="714">
        <f t="shared" si="61"/>
        <v>500000</v>
      </c>
      <c r="AX80" s="714">
        <f t="shared" si="61"/>
        <v>0</v>
      </c>
      <c r="AY80" s="717"/>
      <c r="AZ80" s="718"/>
      <c r="BA80" s="718"/>
      <c r="BB80" s="718"/>
      <c r="BC80" s="718"/>
      <c r="BD80" s="718"/>
      <c r="BE80" s="718"/>
      <c r="BF80" s="718"/>
      <c r="BG80" s="718"/>
      <c r="BH80" s="718"/>
      <c r="BI80" s="718"/>
      <c r="BJ80" s="718"/>
      <c r="BK80" s="718"/>
      <c r="BL80" s="718"/>
      <c r="BM80" s="205"/>
      <c r="BP80" s="205"/>
      <c r="BQ80" s="205"/>
      <c r="BR80" s="205"/>
      <c r="BS80" s="205"/>
      <c r="BT80" s="205"/>
      <c r="BU80" s="205"/>
      <c r="BV80" s="205"/>
      <c r="BW80" s="205"/>
      <c r="BX80" s="205"/>
      <c r="BY80" s="205"/>
      <c r="BZ80" s="205"/>
      <c r="CA80" s="205"/>
    </row>
    <row r="81" spans="1:79" s="719" customFormat="1" ht="20.100000000000001" customHeight="1">
      <c r="A81" s="720"/>
      <c r="B81" s="732"/>
      <c r="C81" s="720"/>
      <c r="D81" s="211"/>
      <c r="E81" s="129"/>
      <c r="F81" s="709"/>
      <c r="G81" s="709"/>
      <c r="H81" s="709"/>
      <c r="I81" s="709"/>
      <c r="J81" s="709"/>
      <c r="K81" s="709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130"/>
      <c r="AA81" s="709"/>
      <c r="AB81" s="709"/>
      <c r="AC81" s="709"/>
      <c r="AD81" s="715"/>
      <c r="AE81" s="709"/>
      <c r="AF81" s="715"/>
      <c r="AG81" s="715"/>
      <c r="AH81" s="722"/>
      <c r="AI81" s="709"/>
      <c r="AJ81" s="709"/>
      <c r="AK81" s="709"/>
      <c r="AL81" s="714"/>
      <c r="AM81" s="739"/>
      <c r="AN81" s="709"/>
      <c r="AO81" s="709"/>
      <c r="AP81" s="709"/>
      <c r="AQ81" s="709"/>
      <c r="AR81" s="709"/>
      <c r="AS81" s="709"/>
      <c r="AT81" s="709"/>
      <c r="AU81" s="709"/>
      <c r="AV81" s="709"/>
      <c r="AW81" s="709"/>
      <c r="AX81" s="709"/>
      <c r="AY81" s="717"/>
      <c r="AZ81" s="718"/>
      <c r="BA81" s="718"/>
      <c r="BB81" s="718"/>
      <c r="BC81" s="718"/>
      <c r="BD81" s="718"/>
      <c r="BE81" s="718"/>
      <c r="BF81" s="718"/>
      <c r="BG81" s="718"/>
      <c r="BH81" s="718"/>
      <c r="BI81" s="718"/>
      <c r="BJ81" s="718"/>
      <c r="BK81" s="718"/>
      <c r="BL81" s="718"/>
      <c r="BM81" s="205"/>
      <c r="BP81" s="205"/>
      <c r="BQ81" s="205"/>
      <c r="BR81" s="205"/>
      <c r="BS81" s="205"/>
      <c r="BT81" s="205"/>
      <c r="BU81" s="205"/>
      <c r="BV81" s="205"/>
      <c r="BW81" s="205"/>
      <c r="BX81" s="205"/>
      <c r="BY81" s="205"/>
      <c r="BZ81" s="205"/>
      <c r="CA81" s="205"/>
    </row>
    <row r="82" spans="1:79" s="719" customFormat="1" ht="30" customHeight="1">
      <c r="A82" s="716"/>
      <c r="B82" s="731"/>
      <c r="C82" s="716"/>
      <c r="D82" s="209"/>
      <c r="E82" s="129" t="s">
        <v>426</v>
      </c>
      <c r="F82" s="705"/>
      <c r="G82" s="705"/>
      <c r="H82" s="705"/>
      <c r="I82" s="705"/>
      <c r="J82" s="705"/>
      <c r="K82" s="705"/>
      <c r="L82" s="705"/>
      <c r="M82" s="705"/>
      <c r="N82" s="705"/>
      <c r="O82" s="705"/>
      <c r="P82" s="705"/>
      <c r="Q82" s="705"/>
      <c r="R82" s="705"/>
      <c r="S82" s="705"/>
      <c r="T82" s="705"/>
      <c r="U82" s="705"/>
      <c r="V82" s="705"/>
      <c r="W82" s="705"/>
      <c r="X82" s="705"/>
      <c r="Y82" s="209"/>
      <c r="Z82" s="127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746"/>
      <c r="AM82" s="738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717"/>
      <c r="AZ82" s="718"/>
      <c r="BA82" s="718"/>
      <c r="BB82" s="718"/>
      <c r="BC82" s="718"/>
      <c r="BD82" s="718"/>
      <c r="BE82" s="718"/>
      <c r="BF82" s="718"/>
      <c r="BG82" s="718"/>
      <c r="BH82" s="718"/>
      <c r="BI82" s="718"/>
      <c r="BJ82" s="718"/>
      <c r="BK82" s="718"/>
      <c r="BL82" s="718"/>
      <c r="BM82" s="205"/>
      <c r="BP82" s="205"/>
      <c r="BQ82" s="205"/>
      <c r="BR82" s="205"/>
      <c r="BS82" s="205"/>
      <c r="BT82" s="205"/>
      <c r="BU82" s="205"/>
      <c r="BV82" s="205"/>
      <c r="BW82" s="205"/>
      <c r="BX82" s="205"/>
      <c r="BY82" s="205"/>
      <c r="BZ82" s="205"/>
      <c r="CA82" s="205"/>
    </row>
    <row r="83" spans="1:79" s="719" customFormat="1" ht="30" customHeight="1">
      <c r="A83" s="706" t="s">
        <v>1073</v>
      </c>
      <c r="B83" s="730" t="s">
        <v>1074</v>
      </c>
      <c r="C83" s="716">
        <f>C79+1</f>
        <v>70</v>
      </c>
      <c r="D83" s="209">
        <v>20030</v>
      </c>
      <c r="E83" s="222" t="s">
        <v>440</v>
      </c>
      <c r="F83" s="705">
        <v>55050000</v>
      </c>
      <c r="G83" s="705">
        <v>55050000</v>
      </c>
      <c r="H83" s="705">
        <f t="shared" ref="H83:H114" si="62">F83-G83</f>
        <v>0</v>
      </c>
      <c r="I83" s="705">
        <f>45150000+2700000</f>
        <v>47850000</v>
      </c>
      <c r="J83" s="705">
        <f>45447112+2888</f>
        <v>45450000</v>
      </c>
      <c r="K83" s="705"/>
      <c r="L83" s="705"/>
      <c r="M83" s="705">
        <f t="shared" ref="M83:M96" si="63">SUM(K83:L83)</f>
        <v>0</v>
      </c>
      <c r="N83" s="705">
        <f t="shared" ref="N83:N114" si="64">M83+J83</f>
        <v>45450000</v>
      </c>
      <c r="O83" s="705">
        <f>9600000-7200000-1000000+610500+4300000</f>
        <v>6310500</v>
      </c>
      <c r="P83" s="705">
        <f t="shared" ref="P83:P114" si="65">F83-N83-O83</f>
        <v>3289500</v>
      </c>
      <c r="Q83" s="705">
        <f t="shared" ref="Q83:Q114" si="66">I83-N83</f>
        <v>2400000</v>
      </c>
      <c r="R83" s="705">
        <f t="shared" ref="R83:R114" si="67">O83-Q83</f>
        <v>3910500</v>
      </c>
      <c r="S83" s="705">
        <v>7200000</v>
      </c>
      <c r="T83" s="705">
        <f t="shared" ref="T83:T114" si="68">R83-S83</f>
        <v>-3289500</v>
      </c>
      <c r="U83" s="705">
        <f t="shared" ref="U83:U114" si="69">T83-X83-Y83-V83-W83</f>
        <v>1239500</v>
      </c>
      <c r="V83" s="705">
        <v>-5139500</v>
      </c>
      <c r="W83" s="705"/>
      <c r="X83" s="705"/>
      <c r="Y83" s="4">
        <f>40500+285000+114000+171000</f>
        <v>610500</v>
      </c>
      <c r="Z83" s="210" t="s">
        <v>1116</v>
      </c>
      <c r="AA83" s="707">
        <f>2060500-2060500</f>
        <v>0</v>
      </c>
      <c r="AB83" s="705"/>
      <c r="AC83" s="705"/>
      <c r="AD83" s="705"/>
      <c r="AE83" s="705"/>
      <c r="AF83" s="705">
        <f t="shared" ref="AF83:AF87" si="70">SUM(AA83:AE83)</f>
        <v>0</v>
      </c>
      <c r="AG83" s="705">
        <f t="shared" ref="AG83:AG114" si="71">T83-AF83</f>
        <v>-3289500</v>
      </c>
      <c r="AH83" s="705">
        <f t="shared" ref="AH83:AH114" si="72">AF83-AI83-AJ83-AK83-AL83</f>
        <v>2060000</v>
      </c>
      <c r="AI83" s="705">
        <v>-2060000</v>
      </c>
      <c r="AJ83" s="705"/>
      <c r="AK83" s="705"/>
      <c r="AL83" s="708"/>
      <c r="AM83" s="713"/>
      <c r="AN83" s="705"/>
      <c r="AO83" s="705"/>
      <c r="AP83" s="705"/>
      <c r="AQ83" s="705"/>
      <c r="AR83" s="705"/>
      <c r="AS83" s="705"/>
      <c r="AT83" s="705">
        <f t="shared" si="33"/>
        <v>0</v>
      </c>
      <c r="AU83" s="705"/>
      <c r="AV83" s="705"/>
      <c r="AW83" s="705"/>
      <c r="AX83" s="705"/>
      <c r="AY83" s="717"/>
      <c r="AZ83" s="718"/>
      <c r="BA83" s="718"/>
      <c r="BB83" s="718"/>
      <c r="BC83" s="718"/>
      <c r="BD83" s="718"/>
      <c r="BE83" s="718"/>
      <c r="BF83" s="718"/>
      <c r="BG83" s="718"/>
      <c r="BH83" s="718"/>
      <c r="BI83" s="718"/>
      <c r="BJ83" s="718"/>
      <c r="BK83" s="718"/>
      <c r="BL83" s="718"/>
      <c r="BM83" s="205"/>
      <c r="BP83" s="205"/>
      <c r="BQ83" s="205"/>
      <c r="BR83" s="205"/>
      <c r="BS83" s="205"/>
      <c r="BT83" s="205"/>
      <c r="BU83" s="205"/>
      <c r="BV83" s="205"/>
      <c r="BW83" s="205"/>
      <c r="BX83" s="205"/>
      <c r="BY83" s="205"/>
      <c r="BZ83" s="205"/>
      <c r="CA83" s="205"/>
    </row>
    <row r="84" spans="1:79" s="719" customFormat="1" ht="30" customHeight="1">
      <c r="A84" s="706" t="s">
        <v>1073</v>
      </c>
      <c r="B84" s="730" t="s">
        <v>1074</v>
      </c>
      <c r="C84" s="716">
        <f>C83+1</f>
        <v>71</v>
      </c>
      <c r="D84" s="209">
        <v>20116</v>
      </c>
      <c r="E84" s="222" t="s">
        <v>622</v>
      </c>
      <c r="F84" s="705">
        <v>5400000</v>
      </c>
      <c r="G84" s="705">
        <v>5400000</v>
      </c>
      <c r="H84" s="705">
        <f t="shared" si="62"/>
        <v>0</v>
      </c>
      <c r="I84" s="705"/>
      <c r="J84" s="705"/>
      <c r="K84" s="705"/>
      <c r="L84" s="705"/>
      <c r="M84" s="705">
        <f t="shared" si="63"/>
        <v>0</v>
      </c>
      <c r="N84" s="705">
        <f t="shared" si="64"/>
        <v>0</v>
      </c>
      <c r="O84" s="705">
        <f>1000000-900000</f>
        <v>100000</v>
      </c>
      <c r="P84" s="705">
        <f t="shared" si="65"/>
        <v>5300000</v>
      </c>
      <c r="Q84" s="705">
        <f t="shared" si="66"/>
        <v>0</v>
      </c>
      <c r="R84" s="705">
        <f t="shared" si="67"/>
        <v>100000</v>
      </c>
      <c r="S84" s="705">
        <v>1000000</v>
      </c>
      <c r="T84" s="705">
        <f t="shared" si="68"/>
        <v>-900000</v>
      </c>
      <c r="U84" s="705">
        <f t="shared" si="69"/>
        <v>-900000</v>
      </c>
      <c r="V84" s="705"/>
      <c r="W84" s="705"/>
      <c r="X84" s="705"/>
      <c r="Y84" s="705"/>
      <c r="Z84" s="210" t="s">
        <v>1075</v>
      </c>
      <c r="AA84" s="705"/>
      <c r="AB84" s="705"/>
      <c r="AC84" s="705"/>
      <c r="AD84" s="705"/>
      <c r="AE84" s="705"/>
      <c r="AF84" s="705">
        <f t="shared" si="70"/>
        <v>0</v>
      </c>
      <c r="AG84" s="705">
        <f t="shared" si="71"/>
        <v>-900000</v>
      </c>
      <c r="AH84" s="705">
        <f t="shared" si="72"/>
        <v>0</v>
      </c>
      <c r="AI84" s="705"/>
      <c r="AJ84" s="705"/>
      <c r="AK84" s="705"/>
      <c r="AL84" s="708"/>
      <c r="AM84" s="713"/>
      <c r="AN84" s="705"/>
      <c r="AO84" s="705"/>
      <c r="AP84" s="705"/>
      <c r="AQ84" s="705"/>
      <c r="AR84" s="705"/>
      <c r="AS84" s="705"/>
      <c r="AT84" s="705">
        <f t="shared" si="33"/>
        <v>0</v>
      </c>
      <c r="AU84" s="705"/>
      <c r="AV84" s="705"/>
      <c r="AW84" s="705"/>
      <c r="AX84" s="705"/>
      <c r="AY84" s="717"/>
      <c r="AZ84" s="718"/>
      <c r="BA84" s="718"/>
      <c r="BB84" s="718"/>
      <c r="BC84" s="718"/>
      <c r="BD84" s="718"/>
      <c r="BE84" s="718"/>
      <c r="BF84" s="718"/>
      <c r="BG84" s="718"/>
      <c r="BH84" s="718"/>
      <c r="BI84" s="718"/>
      <c r="BJ84" s="718"/>
      <c r="BK84" s="718"/>
      <c r="BL84" s="718"/>
      <c r="BM84" s="205"/>
      <c r="BP84" s="205"/>
      <c r="BQ84" s="205"/>
      <c r="BR84" s="205"/>
      <c r="BS84" s="205"/>
      <c r="BT84" s="205"/>
      <c r="BU84" s="205"/>
      <c r="BV84" s="205"/>
      <c r="BW84" s="205"/>
      <c r="BX84" s="205"/>
      <c r="BY84" s="205"/>
      <c r="BZ84" s="205"/>
      <c r="CA84" s="205"/>
    </row>
    <row r="85" spans="1:79" s="719" customFormat="1" ht="30" customHeight="1">
      <c r="A85" s="706" t="s">
        <v>1073</v>
      </c>
      <c r="B85" s="730" t="s">
        <v>1074</v>
      </c>
      <c r="C85" s="716">
        <f t="shared" ref="C85:C101" si="73">C84+1</f>
        <v>72</v>
      </c>
      <c r="D85" s="209">
        <v>20117</v>
      </c>
      <c r="E85" s="222" t="s">
        <v>653</v>
      </c>
      <c r="F85" s="705">
        <v>1600000</v>
      </c>
      <c r="G85" s="705">
        <v>1600000</v>
      </c>
      <c r="H85" s="705">
        <f t="shared" si="62"/>
        <v>0</v>
      </c>
      <c r="I85" s="705"/>
      <c r="J85" s="705"/>
      <c r="K85" s="705"/>
      <c r="L85" s="705"/>
      <c r="M85" s="705">
        <f t="shared" si="63"/>
        <v>0</v>
      </c>
      <c r="N85" s="705">
        <f t="shared" si="64"/>
        <v>0</v>
      </c>
      <c r="O85" s="705">
        <v>100000</v>
      </c>
      <c r="P85" s="705">
        <f t="shared" si="65"/>
        <v>1500000</v>
      </c>
      <c r="Q85" s="705">
        <f t="shared" si="66"/>
        <v>0</v>
      </c>
      <c r="R85" s="705">
        <f t="shared" si="67"/>
        <v>100000</v>
      </c>
      <c r="S85" s="705">
        <v>1200000</v>
      </c>
      <c r="T85" s="705">
        <f t="shared" si="68"/>
        <v>-1100000</v>
      </c>
      <c r="U85" s="705">
        <f t="shared" si="69"/>
        <v>-1100000</v>
      </c>
      <c r="V85" s="705"/>
      <c r="W85" s="705"/>
      <c r="X85" s="705"/>
      <c r="Y85" s="705"/>
      <c r="Z85" s="210" t="s">
        <v>1075</v>
      </c>
      <c r="AA85" s="705"/>
      <c r="AB85" s="705"/>
      <c r="AC85" s="705"/>
      <c r="AD85" s="705"/>
      <c r="AE85" s="705"/>
      <c r="AF85" s="705">
        <f t="shared" si="70"/>
        <v>0</v>
      </c>
      <c r="AG85" s="705">
        <f t="shared" si="71"/>
        <v>-1100000</v>
      </c>
      <c r="AH85" s="705">
        <f t="shared" si="72"/>
        <v>0</v>
      </c>
      <c r="AI85" s="705"/>
      <c r="AJ85" s="705"/>
      <c r="AK85" s="705"/>
      <c r="AL85" s="708"/>
      <c r="AM85" s="713"/>
      <c r="AN85" s="705"/>
      <c r="AO85" s="705"/>
      <c r="AP85" s="705"/>
      <c r="AQ85" s="705"/>
      <c r="AR85" s="705"/>
      <c r="AS85" s="705"/>
      <c r="AT85" s="705">
        <f t="shared" si="33"/>
        <v>0</v>
      </c>
      <c r="AU85" s="705"/>
      <c r="AV85" s="705"/>
      <c r="AW85" s="705"/>
      <c r="AX85" s="705"/>
      <c r="AY85" s="717"/>
      <c r="AZ85" s="718"/>
      <c r="BA85" s="718"/>
      <c r="BB85" s="718"/>
      <c r="BC85" s="718"/>
      <c r="BD85" s="718"/>
      <c r="BE85" s="718"/>
      <c r="BF85" s="718"/>
      <c r="BG85" s="718"/>
      <c r="BH85" s="718"/>
      <c r="BI85" s="718"/>
      <c r="BJ85" s="718"/>
      <c r="BK85" s="718"/>
      <c r="BL85" s="718"/>
      <c r="BM85" s="205"/>
      <c r="BP85" s="205"/>
      <c r="BQ85" s="205"/>
      <c r="BR85" s="205"/>
      <c r="BS85" s="205"/>
      <c r="BT85" s="205"/>
      <c r="BU85" s="205"/>
      <c r="BV85" s="205"/>
      <c r="BW85" s="205"/>
      <c r="BX85" s="205"/>
      <c r="BY85" s="205"/>
      <c r="BZ85" s="205"/>
      <c r="CA85" s="205"/>
    </row>
    <row r="86" spans="1:79" s="719" customFormat="1" ht="30" customHeight="1">
      <c r="A86" s="706" t="s">
        <v>1073</v>
      </c>
      <c r="B86" s="730" t="s">
        <v>1074</v>
      </c>
      <c r="C86" s="716">
        <f t="shared" si="73"/>
        <v>73</v>
      </c>
      <c r="D86" s="209">
        <v>20121</v>
      </c>
      <c r="E86" s="222" t="s">
        <v>1017</v>
      </c>
      <c r="F86" s="705">
        <v>1700000</v>
      </c>
      <c r="G86" s="705">
        <v>1700000</v>
      </c>
      <c r="H86" s="705">
        <f t="shared" si="62"/>
        <v>0</v>
      </c>
      <c r="I86" s="705"/>
      <c r="J86" s="705"/>
      <c r="K86" s="705"/>
      <c r="L86" s="705"/>
      <c r="M86" s="705">
        <f t="shared" si="63"/>
        <v>0</v>
      </c>
      <c r="N86" s="705">
        <f t="shared" si="64"/>
        <v>0</v>
      </c>
      <c r="O86" s="705">
        <f>500000-400000</f>
        <v>100000</v>
      </c>
      <c r="P86" s="705">
        <f t="shared" si="65"/>
        <v>1600000</v>
      </c>
      <c r="Q86" s="705">
        <f t="shared" si="66"/>
        <v>0</v>
      </c>
      <c r="R86" s="705">
        <f t="shared" si="67"/>
        <v>100000</v>
      </c>
      <c r="S86" s="705">
        <v>500000</v>
      </c>
      <c r="T86" s="705">
        <f t="shared" si="68"/>
        <v>-400000</v>
      </c>
      <c r="U86" s="705">
        <f t="shared" si="69"/>
        <v>-400000</v>
      </c>
      <c r="V86" s="705"/>
      <c r="W86" s="705"/>
      <c r="X86" s="705"/>
      <c r="Y86" s="705"/>
      <c r="Z86" s="210" t="s">
        <v>1075</v>
      </c>
      <c r="AA86" s="705"/>
      <c r="AB86" s="705"/>
      <c r="AC86" s="705"/>
      <c r="AD86" s="705"/>
      <c r="AE86" s="705"/>
      <c r="AF86" s="705">
        <f t="shared" si="70"/>
        <v>0</v>
      </c>
      <c r="AG86" s="705">
        <f t="shared" si="71"/>
        <v>-400000</v>
      </c>
      <c r="AH86" s="705">
        <f t="shared" si="72"/>
        <v>0</v>
      </c>
      <c r="AI86" s="705"/>
      <c r="AJ86" s="705"/>
      <c r="AK86" s="705"/>
      <c r="AL86" s="708"/>
      <c r="AM86" s="713"/>
      <c r="AN86" s="705"/>
      <c r="AO86" s="705"/>
      <c r="AP86" s="705"/>
      <c r="AQ86" s="705"/>
      <c r="AR86" s="705"/>
      <c r="AS86" s="705"/>
      <c r="AT86" s="705">
        <f t="shared" si="33"/>
        <v>0</v>
      </c>
      <c r="AU86" s="705"/>
      <c r="AV86" s="705"/>
      <c r="AW86" s="705"/>
      <c r="AX86" s="705"/>
      <c r="AY86" s="717"/>
      <c r="AZ86" s="718"/>
      <c r="BA86" s="718"/>
      <c r="BB86" s="718"/>
      <c r="BC86" s="718"/>
      <c r="BD86" s="718"/>
      <c r="BE86" s="718"/>
      <c r="BF86" s="718"/>
      <c r="BG86" s="718"/>
      <c r="BH86" s="718"/>
      <c r="BI86" s="718"/>
      <c r="BJ86" s="718"/>
      <c r="BK86" s="718"/>
      <c r="BL86" s="718"/>
      <c r="BM86" s="205"/>
      <c r="BP86" s="205"/>
      <c r="BQ86" s="205"/>
      <c r="BR86" s="205"/>
      <c r="BS86" s="205"/>
      <c r="BT86" s="205"/>
      <c r="BU86" s="205"/>
      <c r="BV86" s="205"/>
      <c r="BW86" s="205"/>
      <c r="BX86" s="205"/>
      <c r="BY86" s="205"/>
      <c r="BZ86" s="205"/>
      <c r="CA86" s="205"/>
    </row>
    <row r="87" spans="1:79" s="719" customFormat="1" ht="30" customHeight="1">
      <c r="A87" s="706" t="s">
        <v>1073</v>
      </c>
      <c r="B87" s="730" t="s">
        <v>1074</v>
      </c>
      <c r="C87" s="716">
        <f t="shared" si="73"/>
        <v>74</v>
      </c>
      <c r="D87" s="209">
        <v>20122</v>
      </c>
      <c r="E87" s="222" t="s">
        <v>676</v>
      </c>
      <c r="F87" s="705">
        <v>600000</v>
      </c>
      <c r="G87" s="705">
        <v>600000</v>
      </c>
      <c r="H87" s="705">
        <f t="shared" si="62"/>
        <v>0</v>
      </c>
      <c r="I87" s="705"/>
      <c r="J87" s="705"/>
      <c r="K87" s="705"/>
      <c r="L87" s="705"/>
      <c r="M87" s="705">
        <f t="shared" si="63"/>
        <v>0</v>
      </c>
      <c r="N87" s="705">
        <f t="shared" si="64"/>
        <v>0</v>
      </c>
      <c r="O87" s="705">
        <f>600000-500000</f>
        <v>100000</v>
      </c>
      <c r="P87" s="705">
        <f t="shared" si="65"/>
        <v>500000</v>
      </c>
      <c r="Q87" s="705">
        <f t="shared" si="66"/>
        <v>0</v>
      </c>
      <c r="R87" s="705">
        <f t="shared" si="67"/>
        <v>100000</v>
      </c>
      <c r="S87" s="705">
        <v>600000</v>
      </c>
      <c r="T87" s="705">
        <f t="shared" si="68"/>
        <v>-500000</v>
      </c>
      <c r="U87" s="705">
        <f t="shared" si="69"/>
        <v>0</v>
      </c>
      <c r="V87" s="705">
        <v>-500000</v>
      </c>
      <c r="W87" s="705"/>
      <c r="X87" s="705"/>
      <c r="Y87" s="705"/>
      <c r="Z87" s="210" t="s">
        <v>1075</v>
      </c>
      <c r="AA87" s="705"/>
      <c r="AB87" s="705"/>
      <c r="AC87" s="705"/>
      <c r="AD87" s="705"/>
      <c r="AE87" s="705"/>
      <c r="AF87" s="705">
        <f t="shared" si="70"/>
        <v>0</v>
      </c>
      <c r="AG87" s="705">
        <f t="shared" si="71"/>
        <v>-500000</v>
      </c>
      <c r="AH87" s="705">
        <f t="shared" si="72"/>
        <v>0</v>
      </c>
      <c r="AI87" s="705"/>
      <c r="AJ87" s="705"/>
      <c r="AK87" s="705"/>
      <c r="AL87" s="708"/>
      <c r="AM87" s="713"/>
      <c r="AN87" s="705"/>
      <c r="AO87" s="705"/>
      <c r="AP87" s="705"/>
      <c r="AQ87" s="705"/>
      <c r="AR87" s="705"/>
      <c r="AS87" s="705"/>
      <c r="AT87" s="705">
        <f t="shared" si="33"/>
        <v>0</v>
      </c>
      <c r="AU87" s="705"/>
      <c r="AV87" s="705"/>
      <c r="AW87" s="705"/>
      <c r="AX87" s="705"/>
      <c r="AY87" s="717"/>
      <c r="AZ87" s="718"/>
      <c r="BA87" s="718"/>
      <c r="BB87" s="718"/>
      <c r="BC87" s="718"/>
      <c r="BD87" s="718"/>
      <c r="BE87" s="718"/>
      <c r="BF87" s="718"/>
      <c r="BG87" s="718"/>
      <c r="BH87" s="718"/>
      <c r="BI87" s="718"/>
      <c r="BJ87" s="718"/>
      <c r="BK87" s="718"/>
      <c r="BL87" s="718"/>
      <c r="BM87" s="205"/>
      <c r="BP87" s="205"/>
      <c r="BQ87" s="205"/>
      <c r="BR87" s="205"/>
      <c r="BS87" s="205"/>
      <c r="BT87" s="205"/>
      <c r="BU87" s="205"/>
      <c r="BV87" s="205"/>
      <c r="BW87" s="205"/>
      <c r="BX87" s="205"/>
      <c r="BY87" s="205"/>
      <c r="BZ87" s="205"/>
      <c r="CA87" s="205"/>
    </row>
    <row r="88" spans="1:79" s="719" customFormat="1" ht="30" customHeight="1">
      <c r="A88" s="706" t="s">
        <v>1073</v>
      </c>
      <c r="B88" s="730" t="s">
        <v>1074</v>
      </c>
      <c r="C88" s="716">
        <f t="shared" si="73"/>
        <v>75</v>
      </c>
      <c r="D88" s="209">
        <v>20140</v>
      </c>
      <c r="E88" s="222" t="s">
        <v>802</v>
      </c>
      <c r="F88" s="705">
        <v>6500000</v>
      </c>
      <c r="G88" s="705"/>
      <c r="H88" s="705">
        <f t="shared" si="62"/>
        <v>6500000</v>
      </c>
      <c r="I88" s="705"/>
      <c r="J88" s="705"/>
      <c r="K88" s="705"/>
      <c r="L88" s="705"/>
      <c r="M88" s="705">
        <f t="shared" si="63"/>
        <v>0</v>
      </c>
      <c r="N88" s="705">
        <f t="shared" si="64"/>
        <v>0</v>
      </c>
      <c r="O88" s="705">
        <v>6500000</v>
      </c>
      <c r="P88" s="705">
        <f t="shared" si="65"/>
        <v>0</v>
      </c>
      <c r="Q88" s="705">
        <f t="shared" si="66"/>
        <v>0</v>
      </c>
      <c r="R88" s="705">
        <f t="shared" si="67"/>
        <v>6500000</v>
      </c>
      <c r="S88" s="705"/>
      <c r="T88" s="705">
        <f t="shared" si="68"/>
        <v>6500000</v>
      </c>
      <c r="U88" s="705">
        <f t="shared" si="69"/>
        <v>860500</v>
      </c>
      <c r="V88" s="705">
        <v>5639500</v>
      </c>
      <c r="W88" s="705"/>
      <c r="X88" s="705"/>
      <c r="Y88" s="705"/>
      <c r="Z88" s="210" t="s">
        <v>1117</v>
      </c>
      <c r="AA88" s="705">
        <v>1000000</v>
      </c>
      <c r="AB88" s="705">
        <f>3830000+30000</f>
        <v>3860000</v>
      </c>
      <c r="AC88" s="705"/>
      <c r="AD88" s="705">
        <f>620000+30000</f>
        <v>650000</v>
      </c>
      <c r="AE88" s="705">
        <v>990000</v>
      </c>
      <c r="AF88" s="705">
        <f t="shared" ref="AF88:AF95" si="74">SUM(AA88:AE88)</f>
        <v>6500000</v>
      </c>
      <c r="AG88" s="705">
        <f t="shared" si="71"/>
        <v>0</v>
      </c>
      <c r="AH88" s="705">
        <f t="shared" si="72"/>
        <v>860500</v>
      </c>
      <c r="AI88" s="705">
        <f>4860000+620000+30000+129500</f>
        <v>5639500</v>
      </c>
      <c r="AJ88" s="705"/>
      <c r="AK88" s="705"/>
      <c r="AL88" s="708"/>
      <c r="AM88" s="713">
        <v>129500</v>
      </c>
      <c r="AN88" s="705"/>
      <c r="AO88" s="705">
        <f>AM88</f>
        <v>129500</v>
      </c>
      <c r="AP88" s="705"/>
      <c r="AQ88" s="705"/>
      <c r="AR88" s="705"/>
      <c r="AS88" s="705"/>
      <c r="AT88" s="705">
        <f t="shared" si="33"/>
        <v>0</v>
      </c>
      <c r="AU88" s="705">
        <f>AS88</f>
        <v>0</v>
      </c>
      <c r="AV88" s="705"/>
      <c r="AW88" s="705"/>
      <c r="AX88" s="705"/>
      <c r="AY88" s="717"/>
      <c r="AZ88" s="718"/>
      <c r="BA88" s="718"/>
      <c r="BB88" s="718"/>
      <c r="BC88" s="718"/>
      <c r="BD88" s="718"/>
      <c r="BE88" s="718"/>
      <c r="BF88" s="718"/>
      <c r="BG88" s="718"/>
      <c r="BH88" s="718"/>
      <c r="BI88" s="718"/>
      <c r="BJ88" s="718"/>
      <c r="BK88" s="718"/>
      <c r="BL88" s="718"/>
      <c r="BM88" s="205"/>
      <c r="BP88" s="205"/>
      <c r="BQ88" s="205"/>
      <c r="BR88" s="205"/>
      <c r="BS88" s="205"/>
      <c r="BT88" s="205"/>
      <c r="BU88" s="205"/>
      <c r="BV88" s="205"/>
      <c r="BW88" s="205"/>
      <c r="BX88" s="205"/>
      <c r="BY88" s="205"/>
      <c r="BZ88" s="205"/>
      <c r="CA88" s="205"/>
    </row>
    <row r="89" spans="1:79" s="719" customFormat="1" ht="30" customHeight="1">
      <c r="A89" s="706" t="s">
        <v>1073</v>
      </c>
      <c r="B89" s="730" t="s">
        <v>1074</v>
      </c>
      <c r="C89" s="716">
        <f t="shared" si="73"/>
        <v>76</v>
      </c>
      <c r="D89" s="209">
        <v>20141</v>
      </c>
      <c r="E89" s="222" t="s">
        <v>803</v>
      </c>
      <c r="F89" s="705">
        <v>2150000</v>
      </c>
      <c r="G89" s="705"/>
      <c r="H89" s="705">
        <f t="shared" si="62"/>
        <v>2150000</v>
      </c>
      <c r="I89" s="705"/>
      <c r="J89" s="705"/>
      <c r="K89" s="705"/>
      <c r="L89" s="705"/>
      <c r="M89" s="705">
        <f t="shared" si="63"/>
        <v>0</v>
      </c>
      <c r="N89" s="705">
        <f t="shared" si="64"/>
        <v>0</v>
      </c>
      <c r="O89" s="705">
        <v>2150000</v>
      </c>
      <c r="P89" s="705">
        <f t="shared" si="65"/>
        <v>0</v>
      </c>
      <c r="Q89" s="705">
        <f t="shared" si="66"/>
        <v>0</v>
      </c>
      <c r="R89" s="705">
        <f t="shared" si="67"/>
        <v>2150000</v>
      </c>
      <c r="S89" s="705"/>
      <c r="T89" s="705">
        <f t="shared" si="68"/>
        <v>2150000</v>
      </c>
      <c r="U89" s="705">
        <f t="shared" si="69"/>
        <v>0</v>
      </c>
      <c r="V89" s="705"/>
      <c r="W89" s="705"/>
      <c r="X89" s="705">
        <v>2150000</v>
      </c>
      <c r="Y89" s="705"/>
      <c r="Z89" s="210" t="s">
        <v>1118</v>
      </c>
      <c r="AA89" s="705">
        <v>2150000</v>
      </c>
      <c r="AB89" s="705"/>
      <c r="AC89" s="705"/>
      <c r="AD89" s="705"/>
      <c r="AE89" s="705"/>
      <c r="AF89" s="705">
        <f t="shared" si="74"/>
        <v>2150000</v>
      </c>
      <c r="AG89" s="705">
        <f t="shared" si="71"/>
        <v>0</v>
      </c>
      <c r="AH89" s="705">
        <f t="shared" si="72"/>
        <v>0</v>
      </c>
      <c r="AI89" s="705"/>
      <c r="AJ89" s="705"/>
      <c r="AK89" s="705">
        <v>2150000</v>
      </c>
      <c r="AL89" s="708"/>
      <c r="AM89" s="713"/>
      <c r="AN89" s="705"/>
      <c r="AO89" s="705"/>
      <c r="AP89" s="705"/>
      <c r="AQ89" s="705"/>
      <c r="AR89" s="705"/>
      <c r="AS89" s="705"/>
      <c r="AT89" s="705">
        <f t="shared" si="33"/>
        <v>0</v>
      </c>
      <c r="AU89" s="705"/>
      <c r="AV89" s="705"/>
      <c r="AW89" s="705"/>
      <c r="AX89" s="705"/>
      <c r="AY89" s="717"/>
      <c r="AZ89" s="718"/>
      <c r="BA89" s="718"/>
      <c r="BB89" s="718"/>
      <c r="BC89" s="718"/>
      <c r="BD89" s="718"/>
      <c r="BE89" s="718"/>
      <c r="BF89" s="718"/>
      <c r="BG89" s="718"/>
      <c r="BH89" s="718"/>
      <c r="BI89" s="718"/>
      <c r="BJ89" s="718"/>
      <c r="BK89" s="718"/>
      <c r="BL89" s="718"/>
      <c r="BM89" s="205"/>
      <c r="BP89" s="205"/>
      <c r="BQ89" s="205"/>
      <c r="BR89" s="205"/>
      <c r="BS89" s="205"/>
      <c r="BT89" s="205"/>
      <c r="BU89" s="205"/>
      <c r="BV89" s="205"/>
      <c r="BW89" s="205"/>
      <c r="BX89" s="205"/>
      <c r="BY89" s="205"/>
      <c r="BZ89" s="205"/>
      <c r="CA89" s="205"/>
    </row>
    <row r="90" spans="1:79" s="719" customFormat="1" ht="30" customHeight="1">
      <c r="A90" s="706" t="s">
        <v>1100</v>
      </c>
      <c r="B90" s="730" t="s">
        <v>1101</v>
      </c>
      <c r="C90" s="716">
        <f t="shared" si="73"/>
        <v>77</v>
      </c>
      <c r="D90" s="209">
        <v>20030</v>
      </c>
      <c r="E90" s="222" t="s">
        <v>440</v>
      </c>
      <c r="F90" s="705">
        <v>55050000</v>
      </c>
      <c r="G90" s="705">
        <v>55050000</v>
      </c>
      <c r="H90" s="705">
        <f t="shared" si="62"/>
        <v>0</v>
      </c>
      <c r="I90" s="705">
        <f>45150000+2700000</f>
        <v>47850000</v>
      </c>
      <c r="J90" s="705">
        <f>45447112+2888</f>
        <v>45450000</v>
      </c>
      <c r="K90" s="705"/>
      <c r="L90" s="705"/>
      <c r="M90" s="705">
        <f t="shared" si="63"/>
        <v>0</v>
      </c>
      <c r="N90" s="705">
        <f t="shared" si="64"/>
        <v>45450000</v>
      </c>
      <c r="O90" s="705">
        <f>9600000-7200000-1000000+610500+4300000</f>
        <v>6310500</v>
      </c>
      <c r="P90" s="705">
        <f t="shared" si="65"/>
        <v>3289500</v>
      </c>
      <c r="Q90" s="705">
        <f t="shared" si="66"/>
        <v>2400000</v>
      </c>
      <c r="R90" s="705">
        <f t="shared" si="67"/>
        <v>3910500</v>
      </c>
      <c r="S90" s="705">
        <v>3910500</v>
      </c>
      <c r="T90" s="705">
        <f t="shared" si="68"/>
        <v>0</v>
      </c>
      <c r="U90" s="705">
        <f t="shared" si="69"/>
        <v>1210500</v>
      </c>
      <c r="V90" s="705">
        <v>-600000</v>
      </c>
      <c r="W90" s="705"/>
      <c r="X90" s="705"/>
      <c r="Y90" s="4">
        <f>-(40500+285000+114000+171000)</f>
        <v>-610500</v>
      </c>
      <c r="Z90" s="210" t="s">
        <v>1119</v>
      </c>
      <c r="AA90" s="705"/>
      <c r="AB90" s="705"/>
      <c r="AC90" s="707"/>
      <c r="AD90" s="705"/>
      <c r="AE90" s="705"/>
      <c r="AF90" s="705">
        <f t="shared" si="74"/>
        <v>0</v>
      </c>
      <c r="AG90" s="705">
        <f t="shared" si="71"/>
        <v>0</v>
      </c>
      <c r="AH90" s="705">
        <f t="shared" si="72"/>
        <v>600000</v>
      </c>
      <c r="AI90" s="705">
        <v>-600000</v>
      </c>
      <c r="AJ90" s="705"/>
      <c r="AK90" s="705"/>
      <c r="AL90" s="708"/>
      <c r="AM90" s="713"/>
      <c r="AN90" s="705"/>
      <c r="AO90" s="705"/>
      <c r="AP90" s="705"/>
      <c r="AQ90" s="705"/>
      <c r="AR90" s="705"/>
      <c r="AS90" s="705"/>
      <c r="AT90" s="705">
        <f t="shared" si="33"/>
        <v>0</v>
      </c>
      <c r="AU90" s="705"/>
      <c r="AV90" s="705"/>
      <c r="AW90" s="705"/>
      <c r="AX90" s="705"/>
      <c r="AY90" s="717"/>
      <c r="AZ90" s="718"/>
      <c r="BA90" s="718"/>
      <c r="BB90" s="718"/>
      <c r="BC90" s="718"/>
      <c r="BD90" s="718"/>
      <c r="BE90" s="718"/>
      <c r="BF90" s="718"/>
      <c r="BG90" s="718"/>
      <c r="BH90" s="718"/>
      <c r="BI90" s="718"/>
      <c r="BJ90" s="718"/>
      <c r="BK90" s="718"/>
      <c r="BL90" s="718"/>
      <c r="BM90" s="205"/>
      <c r="BP90" s="205"/>
      <c r="BQ90" s="205"/>
      <c r="BR90" s="205"/>
      <c r="BS90" s="205"/>
      <c r="BT90" s="205"/>
      <c r="BU90" s="205"/>
      <c r="BV90" s="205"/>
      <c r="BW90" s="205"/>
      <c r="BX90" s="205"/>
      <c r="BY90" s="205"/>
      <c r="BZ90" s="205"/>
      <c r="CA90" s="205"/>
    </row>
    <row r="91" spans="1:79" s="719" customFormat="1" ht="30" customHeight="1">
      <c r="A91" s="706" t="s">
        <v>1100</v>
      </c>
      <c r="B91" s="730" t="s">
        <v>1101</v>
      </c>
      <c r="C91" s="716">
        <f t="shared" si="73"/>
        <v>78</v>
      </c>
      <c r="D91" s="209">
        <v>2030</v>
      </c>
      <c r="E91" s="222" t="s">
        <v>198</v>
      </c>
      <c r="F91" s="705">
        <v>46821977</v>
      </c>
      <c r="G91" s="705">
        <v>46821977</v>
      </c>
      <c r="H91" s="705">
        <f t="shared" si="62"/>
        <v>0</v>
      </c>
      <c r="I91" s="705">
        <v>16421977</v>
      </c>
      <c r="J91" s="705">
        <v>10923798</v>
      </c>
      <c r="K91" s="705"/>
      <c r="L91" s="705"/>
      <c r="M91" s="705">
        <f t="shared" ref="M91" si="75">SUM(K91:L91)</f>
        <v>0</v>
      </c>
      <c r="N91" s="705">
        <f t="shared" si="64"/>
        <v>10923798</v>
      </c>
      <c r="O91" s="705">
        <f>-4600000+5498179</f>
        <v>898179</v>
      </c>
      <c r="P91" s="705">
        <f t="shared" si="65"/>
        <v>35000000</v>
      </c>
      <c r="Q91" s="705">
        <f t="shared" si="66"/>
        <v>5498179</v>
      </c>
      <c r="R91" s="705">
        <f t="shared" si="67"/>
        <v>-4600000</v>
      </c>
      <c r="S91" s="705">
        <v>-4600000</v>
      </c>
      <c r="T91" s="705">
        <f t="shared" si="68"/>
        <v>0</v>
      </c>
      <c r="U91" s="705">
        <f t="shared" si="69"/>
        <v>2000000</v>
      </c>
      <c r="V91" s="705"/>
      <c r="W91" s="705"/>
      <c r="X91" s="705"/>
      <c r="Y91" s="705">
        <v>-2000000</v>
      </c>
      <c r="Z91" s="210" t="s">
        <v>1120</v>
      </c>
      <c r="AA91" s="705"/>
      <c r="AB91" s="705"/>
      <c r="AC91" s="707">
        <f>2000000-2000000</f>
        <v>0</v>
      </c>
      <c r="AD91" s="705"/>
      <c r="AE91" s="705"/>
      <c r="AF91" s="705">
        <f t="shared" si="74"/>
        <v>0</v>
      </c>
      <c r="AG91" s="705">
        <f t="shared" si="71"/>
        <v>0</v>
      </c>
      <c r="AH91" s="705">
        <f t="shared" si="72"/>
        <v>2000000</v>
      </c>
      <c r="AI91" s="705"/>
      <c r="AJ91" s="705"/>
      <c r="AK91" s="705"/>
      <c r="AL91" s="708">
        <v>-2000000</v>
      </c>
      <c r="AM91" s="713"/>
      <c r="AN91" s="705"/>
      <c r="AO91" s="705"/>
      <c r="AP91" s="705"/>
      <c r="AQ91" s="705"/>
      <c r="AR91" s="705"/>
      <c r="AS91" s="705"/>
      <c r="AT91" s="705">
        <f t="shared" si="33"/>
        <v>0</v>
      </c>
      <c r="AU91" s="705"/>
      <c r="AV91" s="705"/>
      <c r="AW91" s="705"/>
      <c r="AX91" s="705"/>
      <c r="AY91" s="717"/>
      <c r="AZ91" s="718"/>
      <c r="BA91" s="718"/>
      <c r="BB91" s="718"/>
      <c r="BC91" s="718"/>
      <c r="BD91" s="718"/>
      <c r="BE91" s="718"/>
      <c r="BF91" s="718"/>
      <c r="BG91" s="718"/>
      <c r="BH91" s="718"/>
      <c r="BI91" s="718"/>
      <c r="BJ91" s="718"/>
      <c r="BK91" s="718"/>
      <c r="BL91" s="718"/>
      <c r="BM91" s="205"/>
      <c r="BP91" s="205"/>
      <c r="BQ91" s="205"/>
      <c r="BR91" s="205"/>
      <c r="BS91" s="205"/>
      <c r="BT91" s="205"/>
      <c r="BU91" s="205"/>
      <c r="BV91" s="205"/>
      <c r="BW91" s="205"/>
      <c r="BX91" s="205"/>
      <c r="BY91" s="205"/>
      <c r="BZ91" s="205"/>
      <c r="CA91" s="205"/>
    </row>
    <row r="92" spans="1:79" s="719" customFormat="1" ht="30" customHeight="1">
      <c r="A92" s="706" t="s">
        <v>1100</v>
      </c>
      <c r="B92" s="730" t="s">
        <v>1101</v>
      </c>
      <c r="C92" s="716">
        <f t="shared" si="73"/>
        <v>79</v>
      </c>
      <c r="D92" s="209">
        <v>1416</v>
      </c>
      <c r="E92" s="222" t="s">
        <v>80</v>
      </c>
      <c r="F92" s="705">
        <v>5470000</v>
      </c>
      <c r="G92" s="705">
        <v>5470000</v>
      </c>
      <c r="H92" s="705">
        <f t="shared" si="62"/>
        <v>0</v>
      </c>
      <c r="I92" s="705">
        <v>4470000</v>
      </c>
      <c r="J92" s="705">
        <v>4000429</v>
      </c>
      <c r="K92" s="705"/>
      <c r="L92" s="705"/>
      <c r="M92" s="705">
        <f t="shared" si="63"/>
        <v>0</v>
      </c>
      <c r="N92" s="705">
        <f t="shared" si="64"/>
        <v>4000429</v>
      </c>
      <c r="O92" s="705">
        <f>435000+469571+200000</f>
        <v>1104571</v>
      </c>
      <c r="P92" s="705">
        <f t="shared" si="65"/>
        <v>365000</v>
      </c>
      <c r="Q92" s="705">
        <f t="shared" si="66"/>
        <v>469571</v>
      </c>
      <c r="R92" s="705">
        <f t="shared" si="67"/>
        <v>635000</v>
      </c>
      <c r="S92" s="705">
        <v>435000</v>
      </c>
      <c r="T92" s="705">
        <f t="shared" si="68"/>
        <v>200000</v>
      </c>
      <c r="U92" s="705">
        <f t="shared" si="69"/>
        <v>200000</v>
      </c>
      <c r="V92" s="705"/>
      <c r="W92" s="705"/>
      <c r="X92" s="705"/>
      <c r="Y92" s="705"/>
      <c r="Z92" s="210" t="s">
        <v>1116</v>
      </c>
      <c r="AA92" s="705"/>
      <c r="AB92" s="705"/>
      <c r="AC92" s="705">
        <v>200000</v>
      </c>
      <c r="AD92" s="705"/>
      <c r="AE92" s="705"/>
      <c r="AF92" s="705">
        <f t="shared" si="74"/>
        <v>200000</v>
      </c>
      <c r="AG92" s="705">
        <f t="shared" si="71"/>
        <v>0</v>
      </c>
      <c r="AH92" s="705">
        <f t="shared" si="72"/>
        <v>200000</v>
      </c>
      <c r="AI92" s="705"/>
      <c r="AJ92" s="705"/>
      <c r="AK92" s="705"/>
      <c r="AL92" s="708"/>
      <c r="AM92" s="713"/>
      <c r="AN92" s="705"/>
      <c r="AO92" s="705"/>
      <c r="AP92" s="705"/>
      <c r="AQ92" s="705"/>
      <c r="AR92" s="705"/>
      <c r="AS92" s="705"/>
      <c r="AT92" s="705">
        <f t="shared" si="33"/>
        <v>0</v>
      </c>
      <c r="AU92" s="705"/>
      <c r="AV92" s="705"/>
      <c r="AW92" s="705"/>
      <c r="AX92" s="705"/>
      <c r="AY92" s="717"/>
      <c r="AZ92" s="718"/>
      <c r="BA92" s="718"/>
      <c r="BB92" s="718"/>
      <c r="BC92" s="718"/>
      <c r="BD92" s="718"/>
      <c r="BE92" s="718"/>
      <c r="BF92" s="718"/>
      <c r="BG92" s="718"/>
      <c r="BH92" s="718"/>
      <c r="BI92" s="718"/>
      <c r="BJ92" s="718"/>
      <c r="BK92" s="718"/>
      <c r="BL92" s="718"/>
      <c r="BM92" s="205"/>
      <c r="BP92" s="205"/>
      <c r="BQ92" s="205"/>
      <c r="BR92" s="205"/>
      <c r="BS92" s="205"/>
      <c r="BT92" s="205"/>
      <c r="BU92" s="205"/>
      <c r="BV92" s="205"/>
      <c r="BW92" s="205"/>
      <c r="BX92" s="205"/>
      <c r="BY92" s="205"/>
      <c r="BZ92" s="205"/>
      <c r="CA92" s="205"/>
    </row>
    <row r="93" spans="1:79" s="719" customFormat="1" ht="30" customHeight="1">
      <c r="A93" s="706" t="s">
        <v>1100</v>
      </c>
      <c r="B93" s="730" t="s">
        <v>1101</v>
      </c>
      <c r="C93" s="716">
        <f t="shared" si="73"/>
        <v>80</v>
      </c>
      <c r="D93" s="209">
        <v>1947</v>
      </c>
      <c r="E93" s="222" t="s">
        <v>1121</v>
      </c>
      <c r="F93" s="705">
        <v>2500000</v>
      </c>
      <c r="G93" s="705">
        <v>2500000</v>
      </c>
      <c r="H93" s="705">
        <f t="shared" si="62"/>
        <v>0</v>
      </c>
      <c r="I93" s="705">
        <v>2500000</v>
      </c>
      <c r="J93" s="705">
        <v>1369144</v>
      </c>
      <c r="K93" s="705"/>
      <c r="L93" s="705"/>
      <c r="M93" s="705">
        <f t="shared" ref="M93" si="76">SUM(K93:L93)</f>
        <v>0</v>
      </c>
      <c r="N93" s="705">
        <f t="shared" si="64"/>
        <v>1369144</v>
      </c>
      <c r="O93" s="705">
        <f>1130856-1100000</f>
        <v>30856</v>
      </c>
      <c r="P93" s="705">
        <f t="shared" si="65"/>
        <v>1100000</v>
      </c>
      <c r="Q93" s="705">
        <f t="shared" si="66"/>
        <v>1130856</v>
      </c>
      <c r="R93" s="705">
        <f t="shared" si="67"/>
        <v>-1100000</v>
      </c>
      <c r="S93" s="705"/>
      <c r="T93" s="705">
        <f t="shared" si="68"/>
        <v>-1100000</v>
      </c>
      <c r="U93" s="705">
        <f t="shared" si="69"/>
        <v>-1100000</v>
      </c>
      <c r="V93" s="705"/>
      <c r="W93" s="705"/>
      <c r="X93" s="705"/>
      <c r="Y93" s="705"/>
      <c r="Z93" s="210" t="s">
        <v>1075</v>
      </c>
      <c r="AA93" s="705"/>
      <c r="AB93" s="705"/>
      <c r="AC93" s="705">
        <v>-1100000</v>
      </c>
      <c r="AD93" s="705"/>
      <c r="AE93" s="705"/>
      <c r="AF93" s="705">
        <f t="shared" si="74"/>
        <v>-1100000</v>
      </c>
      <c r="AG93" s="705">
        <f t="shared" si="71"/>
        <v>0</v>
      </c>
      <c r="AH93" s="705">
        <f t="shared" si="72"/>
        <v>-1100000</v>
      </c>
      <c r="AI93" s="705"/>
      <c r="AJ93" s="705"/>
      <c r="AK93" s="705"/>
      <c r="AL93" s="708"/>
      <c r="AM93" s="713"/>
      <c r="AN93" s="705"/>
      <c r="AO93" s="705"/>
      <c r="AP93" s="705"/>
      <c r="AQ93" s="705"/>
      <c r="AR93" s="705"/>
      <c r="AS93" s="705"/>
      <c r="AT93" s="705">
        <f t="shared" si="33"/>
        <v>0</v>
      </c>
      <c r="AU93" s="705"/>
      <c r="AV93" s="705"/>
      <c r="AW93" s="705"/>
      <c r="AX93" s="705"/>
      <c r="AY93" s="717"/>
      <c r="AZ93" s="718"/>
      <c r="BA93" s="718"/>
      <c r="BB93" s="718"/>
      <c r="BC93" s="718"/>
      <c r="BD93" s="718"/>
      <c r="BE93" s="718"/>
      <c r="BF93" s="718"/>
      <c r="BG93" s="718"/>
      <c r="BH93" s="718"/>
      <c r="BI93" s="718"/>
      <c r="BJ93" s="718"/>
      <c r="BK93" s="718"/>
      <c r="BL93" s="718"/>
      <c r="BM93" s="205"/>
      <c r="BP93" s="205"/>
      <c r="BQ93" s="205"/>
      <c r="BR93" s="205"/>
      <c r="BS93" s="205"/>
      <c r="BT93" s="205"/>
      <c r="BU93" s="205"/>
      <c r="BV93" s="205"/>
      <c r="BW93" s="205"/>
      <c r="BX93" s="205"/>
      <c r="BY93" s="205"/>
      <c r="BZ93" s="205"/>
      <c r="CA93" s="205"/>
    </row>
    <row r="94" spans="1:79" s="719" customFormat="1" ht="30" customHeight="1">
      <c r="A94" s="706" t="s">
        <v>1100</v>
      </c>
      <c r="B94" s="730" t="s">
        <v>1101</v>
      </c>
      <c r="C94" s="716">
        <f t="shared" si="73"/>
        <v>81</v>
      </c>
      <c r="D94" s="209">
        <v>20074</v>
      </c>
      <c r="E94" s="222" t="s">
        <v>523</v>
      </c>
      <c r="F94" s="705">
        <v>1500000</v>
      </c>
      <c r="G94" s="705">
        <v>1500000</v>
      </c>
      <c r="H94" s="705">
        <f t="shared" si="62"/>
        <v>0</v>
      </c>
      <c r="I94" s="705"/>
      <c r="J94" s="705"/>
      <c r="K94" s="705"/>
      <c r="L94" s="705"/>
      <c r="M94" s="705">
        <f t="shared" ref="M94:M95" si="77">SUM(K94:L94)</f>
        <v>0</v>
      </c>
      <c r="N94" s="705">
        <f t="shared" si="64"/>
        <v>0</v>
      </c>
      <c r="O94" s="705">
        <f>700000+800000</f>
        <v>1500000</v>
      </c>
      <c r="P94" s="705">
        <f t="shared" si="65"/>
        <v>0</v>
      </c>
      <c r="Q94" s="705">
        <f t="shared" si="66"/>
        <v>0</v>
      </c>
      <c r="R94" s="705">
        <f t="shared" si="67"/>
        <v>1500000</v>
      </c>
      <c r="S94" s="705">
        <v>700000</v>
      </c>
      <c r="T94" s="705">
        <f t="shared" si="68"/>
        <v>800000</v>
      </c>
      <c r="U94" s="705">
        <f t="shared" si="69"/>
        <v>800000</v>
      </c>
      <c r="V94" s="705"/>
      <c r="W94" s="705"/>
      <c r="X94" s="705"/>
      <c r="Y94" s="705"/>
      <c r="Z94" s="210" t="s">
        <v>1116</v>
      </c>
      <c r="AA94" s="705"/>
      <c r="AB94" s="705"/>
      <c r="AC94" s="705">
        <v>800000</v>
      </c>
      <c r="AD94" s="705"/>
      <c r="AE94" s="705"/>
      <c r="AF94" s="705">
        <f t="shared" si="74"/>
        <v>800000</v>
      </c>
      <c r="AG94" s="705">
        <f t="shared" si="71"/>
        <v>0</v>
      </c>
      <c r="AH94" s="705">
        <f t="shared" si="72"/>
        <v>800000</v>
      </c>
      <c r="AI94" s="705"/>
      <c r="AJ94" s="705"/>
      <c r="AK94" s="705"/>
      <c r="AL94" s="708"/>
      <c r="AM94" s="713"/>
      <c r="AN94" s="705"/>
      <c r="AO94" s="705"/>
      <c r="AP94" s="705"/>
      <c r="AQ94" s="705"/>
      <c r="AR94" s="705"/>
      <c r="AS94" s="705"/>
      <c r="AT94" s="705">
        <f t="shared" si="33"/>
        <v>0</v>
      </c>
      <c r="AU94" s="705"/>
      <c r="AV94" s="705"/>
      <c r="AW94" s="705"/>
      <c r="AX94" s="705"/>
      <c r="AY94" s="717"/>
      <c r="AZ94" s="718"/>
      <c r="BA94" s="718"/>
      <c r="BB94" s="718"/>
      <c r="BC94" s="718"/>
      <c r="BD94" s="718"/>
      <c r="BE94" s="718"/>
      <c r="BF94" s="718"/>
      <c r="BG94" s="718"/>
      <c r="BH94" s="718"/>
      <c r="BI94" s="718"/>
      <c r="BJ94" s="718"/>
      <c r="BK94" s="718"/>
      <c r="BL94" s="718"/>
      <c r="BM94" s="205"/>
      <c r="BP94" s="205"/>
      <c r="BQ94" s="205"/>
      <c r="BR94" s="205"/>
      <c r="BS94" s="205"/>
      <c r="BT94" s="205"/>
      <c r="BU94" s="205"/>
      <c r="BV94" s="205"/>
      <c r="BW94" s="205"/>
      <c r="BX94" s="205"/>
      <c r="BY94" s="205"/>
      <c r="BZ94" s="205"/>
      <c r="CA94" s="205"/>
    </row>
    <row r="95" spans="1:79" s="719" customFormat="1" ht="30" customHeight="1">
      <c r="A95" s="706" t="s">
        <v>1100</v>
      </c>
      <c r="B95" s="730" t="s">
        <v>1101</v>
      </c>
      <c r="C95" s="716">
        <f t="shared" si="73"/>
        <v>82</v>
      </c>
      <c r="D95" s="209">
        <v>20117</v>
      </c>
      <c r="E95" s="222" t="s">
        <v>653</v>
      </c>
      <c r="F95" s="705">
        <v>1600000</v>
      </c>
      <c r="G95" s="705">
        <v>1600000</v>
      </c>
      <c r="H95" s="705">
        <f t="shared" si="62"/>
        <v>0</v>
      </c>
      <c r="I95" s="705"/>
      <c r="J95" s="705"/>
      <c r="K95" s="705"/>
      <c r="L95" s="705"/>
      <c r="M95" s="705">
        <f t="shared" si="77"/>
        <v>0</v>
      </c>
      <c r="N95" s="705">
        <f t="shared" si="64"/>
        <v>0</v>
      </c>
      <c r="O95" s="705"/>
      <c r="P95" s="705">
        <f t="shared" si="65"/>
        <v>1600000</v>
      </c>
      <c r="Q95" s="705">
        <f t="shared" si="66"/>
        <v>0</v>
      </c>
      <c r="R95" s="705">
        <f t="shared" si="67"/>
        <v>0</v>
      </c>
      <c r="S95" s="705">
        <v>100000</v>
      </c>
      <c r="T95" s="705">
        <f t="shared" si="68"/>
        <v>-100000</v>
      </c>
      <c r="U95" s="705">
        <f t="shared" si="69"/>
        <v>-100000</v>
      </c>
      <c r="V95" s="705"/>
      <c r="W95" s="705"/>
      <c r="X95" s="705"/>
      <c r="Y95" s="705"/>
      <c r="Z95" s="210" t="s">
        <v>1075</v>
      </c>
      <c r="AA95" s="705"/>
      <c r="AB95" s="705"/>
      <c r="AC95" s="705"/>
      <c r="AD95" s="705"/>
      <c r="AE95" s="705"/>
      <c r="AF95" s="705">
        <f t="shared" si="74"/>
        <v>0</v>
      </c>
      <c r="AG95" s="705">
        <f t="shared" si="71"/>
        <v>-100000</v>
      </c>
      <c r="AH95" s="705">
        <f t="shared" si="72"/>
        <v>0</v>
      </c>
      <c r="AI95" s="705"/>
      <c r="AJ95" s="705"/>
      <c r="AK95" s="705"/>
      <c r="AL95" s="708"/>
      <c r="AM95" s="713"/>
      <c r="AN95" s="705"/>
      <c r="AO95" s="705"/>
      <c r="AP95" s="705"/>
      <c r="AQ95" s="705"/>
      <c r="AR95" s="705"/>
      <c r="AS95" s="705"/>
      <c r="AT95" s="705">
        <f t="shared" si="33"/>
        <v>0</v>
      </c>
      <c r="AU95" s="705"/>
      <c r="AV95" s="705"/>
      <c r="AW95" s="705"/>
      <c r="AX95" s="705"/>
      <c r="AY95" s="717"/>
      <c r="AZ95" s="718"/>
      <c r="BA95" s="718"/>
      <c r="BB95" s="718"/>
      <c r="BC95" s="718"/>
      <c r="BD95" s="718"/>
      <c r="BE95" s="718"/>
      <c r="BF95" s="718"/>
      <c r="BG95" s="718"/>
      <c r="BH95" s="718"/>
      <c r="BI95" s="718"/>
      <c r="BJ95" s="718"/>
      <c r="BK95" s="718"/>
      <c r="BL95" s="718"/>
      <c r="BM95" s="205"/>
      <c r="BP95" s="205"/>
      <c r="BQ95" s="205"/>
      <c r="BR95" s="205"/>
      <c r="BS95" s="205"/>
      <c r="BT95" s="205"/>
      <c r="BU95" s="205"/>
      <c r="BV95" s="205"/>
      <c r="BW95" s="205"/>
      <c r="BX95" s="205"/>
      <c r="BY95" s="205"/>
      <c r="BZ95" s="205"/>
      <c r="CA95" s="205"/>
    </row>
    <row r="96" spans="1:79" s="719" customFormat="1" ht="30" customHeight="1">
      <c r="A96" s="706" t="s">
        <v>1100</v>
      </c>
      <c r="B96" s="730" t="s">
        <v>1101</v>
      </c>
      <c r="C96" s="716">
        <f t="shared" si="73"/>
        <v>83</v>
      </c>
      <c r="D96" s="209">
        <v>20067</v>
      </c>
      <c r="E96" s="222" t="s">
        <v>486</v>
      </c>
      <c r="F96" s="705">
        <v>28000000</v>
      </c>
      <c r="G96" s="705">
        <v>28000000</v>
      </c>
      <c r="H96" s="705">
        <f t="shared" si="62"/>
        <v>0</v>
      </c>
      <c r="I96" s="705">
        <v>1500000</v>
      </c>
      <c r="J96" s="705">
        <v>534744</v>
      </c>
      <c r="K96" s="705"/>
      <c r="L96" s="705"/>
      <c r="M96" s="705">
        <f t="shared" si="63"/>
        <v>0</v>
      </c>
      <c r="N96" s="705">
        <f t="shared" si="64"/>
        <v>534744</v>
      </c>
      <c r="O96" s="705">
        <f>500000+965256+800000</f>
        <v>2265256</v>
      </c>
      <c r="P96" s="705">
        <f t="shared" si="65"/>
        <v>25200000</v>
      </c>
      <c r="Q96" s="705">
        <f t="shared" si="66"/>
        <v>965256</v>
      </c>
      <c r="R96" s="705">
        <f t="shared" si="67"/>
        <v>1300000</v>
      </c>
      <c r="S96" s="705">
        <v>500000</v>
      </c>
      <c r="T96" s="705">
        <f t="shared" si="68"/>
        <v>800000</v>
      </c>
      <c r="U96" s="705">
        <f t="shared" si="69"/>
        <v>800000</v>
      </c>
      <c r="V96" s="705"/>
      <c r="W96" s="705"/>
      <c r="X96" s="705"/>
      <c r="Y96" s="705"/>
      <c r="Z96" s="210" t="s">
        <v>1116</v>
      </c>
      <c r="AA96" s="705"/>
      <c r="AB96" s="705"/>
      <c r="AC96" s="705">
        <v>800000</v>
      </c>
      <c r="AD96" s="705"/>
      <c r="AE96" s="705"/>
      <c r="AF96" s="705">
        <f t="shared" ref="AF96:AF114" si="78">SUM(AA96:AE96)</f>
        <v>800000</v>
      </c>
      <c r="AG96" s="705">
        <f t="shared" si="71"/>
        <v>0</v>
      </c>
      <c r="AH96" s="705">
        <f t="shared" si="72"/>
        <v>800000</v>
      </c>
      <c r="AI96" s="705"/>
      <c r="AJ96" s="705"/>
      <c r="AK96" s="705"/>
      <c r="AL96" s="708"/>
      <c r="AM96" s="713"/>
      <c r="AN96" s="705"/>
      <c r="AO96" s="705"/>
      <c r="AP96" s="705"/>
      <c r="AQ96" s="705"/>
      <c r="AR96" s="705"/>
      <c r="AS96" s="705"/>
      <c r="AT96" s="705">
        <f t="shared" si="33"/>
        <v>0</v>
      </c>
      <c r="AU96" s="705"/>
      <c r="AV96" s="705"/>
      <c r="AW96" s="705"/>
      <c r="AX96" s="705"/>
      <c r="AY96" s="717"/>
      <c r="AZ96" s="718"/>
      <c r="BA96" s="718"/>
      <c r="BB96" s="718"/>
      <c r="BC96" s="718"/>
      <c r="BD96" s="718"/>
      <c r="BE96" s="718"/>
      <c r="BF96" s="718"/>
      <c r="BG96" s="718"/>
      <c r="BH96" s="718"/>
      <c r="BI96" s="718"/>
      <c r="BJ96" s="718"/>
      <c r="BK96" s="718"/>
      <c r="BL96" s="718"/>
      <c r="BM96" s="205"/>
      <c r="BP96" s="205"/>
      <c r="BQ96" s="205"/>
      <c r="BR96" s="205"/>
      <c r="BS96" s="205"/>
      <c r="BT96" s="205"/>
      <c r="BU96" s="205"/>
      <c r="BV96" s="205"/>
      <c r="BW96" s="205"/>
      <c r="BX96" s="205"/>
      <c r="BY96" s="205"/>
      <c r="BZ96" s="205"/>
      <c r="CA96" s="205"/>
    </row>
    <row r="97" spans="1:79" s="719" customFormat="1" ht="30" customHeight="1">
      <c r="A97" s="706" t="s">
        <v>1100</v>
      </c>
      <c r="B97" s="730" t="s">
        <v>1101</v>
      </c>
      <c r="C97" s="716">
        <f t="shared" si="73"/>
        <v>84</v>
      </c>
      <c r="D97" s="209">
        <v>20141</v>
      </c>
      <c r="E97" s="222" t="s">
        <v>803</v>
      </c>
      <c r="F97" s="705">
        <v>3000000</v>
      </c>
      <c r="G97" s="705">
        <v>2150000</v>
      </c>
      <c r="H97" s="705">
        <f t="shared" si="62"/>
        <v>850000</v>
      </c>
      <c r="I97" s="705"/>
      <c r="J97" s="705"/>
      <c r="K97" s="705"/>
      <c r="L97" s="705"/>
      <c r="M97" s="705">
        <f t="shared" ref="M97:M98" si="79">SUM(K97:L97)</f>
        <v>0</v>
      </c>
      <c r="N97" s="705">
        <f t="shared" si="64"/>
        <v>0</v>
      </c>
      <c r="O97" s="705">
        <v>3000000</v>
      </c>
      <c r="P97" s="705">
        <f t="shared" si="65"/>
        <v>0</v>
      </c>
      <c r="Q97" s="705">
        <f t="shared" si="66"/>
        <v>0</v>
      </c>
      <c r="R97" s="705">
        <f t="shared" si="67"/>
        <v>3000000</v>
      </c>
      <c r="S97" s="705">
        <v>2150000</v>
      </c>
      <c r="T97" s="705">
        <f t="shared" si="68"/>
        <v>850000</v>
      </c>
      <c r="U97" s="705">
        <f t="shared" si="69"/>
        <v>0</v>
      </c>
      <c r="V97" s="705"/>
      <c r="W97" s="705"/>
      <c r="X97" s="705">
        <v>850000</v>
      </c>
      <c r="Y97" s="705"/>
      <c r="Z97" s="210" t="s">
        <v>1122</v>
      </c>
      <c r="AA97" s="705"/>
      <c r="AB97" s="705"/>
      <c r="AC97" s="705">
        <v>850000</v>
      </c>
      <c r="AD97" s="705"/>
      <c r="AE97" s="705"/>
      <c r="AF97" s="705">
        <f t="shared" si="78"/>
        <v>850000</v>
      </c>
      <c r="AG97" s="705">
        <f t="shared" si="71"/>
        <v>0</v>
      </c>
      <c r="AH97" s="705">
        <f t="shared" si="72"/>
        <v>0</v>
      </c>
      <c r="AI97" s="705"/>
      <c r="AJ97" s="705"/>
      <c r="AK97" s="705">
        <v>850000</v>
      </c>
      <c r="AL97" s="708"/>
      <c r="AM97" s="713"/>
      <c r="AN97" s="705"/>
      <c r="AO97" s="705"/>
      <c r="AP97" s="705"/>
      <c r="AQ97" s="705"/>
      <c r="AR97" s="705"/>
      <c r="AS97" s="705"/>
      <c r="AT97" s="705">
        <f t="shared" si="33"/>
        <v>0</v>
      </c>
      <c r="AU97" s="705"/>
      <c r="AV97" s="705"/>
      <c r="AW97" s="705"/>
      <c r="AX97" s="705"/>
      <c r="AY97" s="717"/>
      <c r="AZ97" s="718"/>
      <c r="BA97" s="718"/>
      <c r="BB97" s="718"/>
      <c r="BC97" s="718"/>
      <c r="BD97" s="718"/>
      <c r="BE97" s="718"/>
      <c r="BF97" s="718"/>
      <c r="BG97" s="718"/>
      <c r="BH97" s="718"/>
      <c r="BI97" s="718"/>
      <c r="BJ97" s="718"/>
      <c r="BK97" s="718"/>
      <c r="BL97" s="718"/>
      <c r="BM97" s="205"/>
      <c r="BP97" s="205"/>
      <c r="BQ97" s="205"/>
      <c r="BR97" s="205"/>
      <c r="BS97" s="205"/>
      <c r="BT97" s="205"/>
      <c r="BU97" s="205"/>
      <c r="BV97" s="205"/>
      <c r="BW97" s="205"/>
      <c r="BX97" s="205"/>
      <c r="BY97" s="205"/>
      <c r="BZ97" s="205"/>
      <c r="CA97" s="205"/>
    </row>
    <row r="98" spans="1:79" s="719" customFormat="1" ht="30" customHeight="1">
      <c r="A98" s="706" t="s">
        <v>1076</v>
      </c>
      <c r="B98" s="730" t="s">
        <v>1077</v>
      </c>
      <c r="C98" s="716">
        <f t="shared" si="73"/>
        <v>85</v>
      </c>
      <c r="D98" s="209">
        <v>1416</v>
      </c>
      <c r="E98" s="222" t="s">
        <v>80</v>
      </c>
      <c r="F98" s="705">
        <f>5470000+65000</f>
        <v>5535000</v>
      </c>
      <c r="G98" s="705">
        <v>5470000</v>
      </c>
      <c r="H98" s="705">
        <f t="shared" si="62"/>
        <v>65000</v>
      </c>
      <c r="I98" s="705">
        <v>4470000</v>
      </c>
      <c r="J98" s="705">
        <v>4000429</v>
      </c>
      <c r="K98" s="705"/>
      <c r="L98" s="705"/>
      <c r="M98" s="705">
        <f t="shared" si="79"/>
        <v>0</v>
      </c>
      <c r="N98" s="705">
        <f t="shared" si="64"/>
        <v>4000429</v>
      </c>
      <c r="O98" s="705">
        <f>435000+469571+200000+430000</f>
        <v>1534571</v>
      </c>
      <c r="P98" s="705">
        <f t="shared" si="65"/>
        <v>0</v>
      </c>
      <c r="Q98" s="705">
        <f t="shared" si="66"/>
        <v>469571</v>
      </c>
      <c r="R98" s="705">
        <f t="shared" si="67"/>
        <v>1065000</v>
      </c>
      <c r="S98" s="705">
        <f>435000+200000</f>
        <v>635000</v>
      </c>
      <c r="T98" s="705">
        <f t="shared" si="68"/>
        <v>430000</v>
      </c>
      <c r="U98" s="705">
        <f t="shared" si="69"/>
        <v>0</v>
      </c>
      <c r="V98" s="705">
        <v>430000</v>
      </c>
      <c r="W98" s="705"/>
      <c r="X98" s="705"/>
      <c r="Y98" s="705"/>
      <c r="Z98" s="210" t="s">
        <v>1123</v>
      </c>
      <c r="AA98" s="705"/>
      <c r="AB98" s="705"/>
      <c r="AC98" s="705"/>
      <c r="AD98" s="705">
        <v>430000</v>
      </c>
      <c r="AE98" s="705"/>
      <c r="AF98" s="705">
        <f t="shared" si="78"/>
        <v>430000</v>
      </c>
      <c r="AG98" s="705">
        <f t="shared" si="71"/>
        <v>0</v>
      </c>
      <c r="AH98" s="705">
        <f t="shared" si="72"/>
        <v>430000</v>
      </c>
      <c r="AI98" s="705"/>
      <c r="AJ98" s="705"/>
      <c r="AK98" s="705"/>
      <c r="AL98" s="747"/>
      <c r="AM98" s="713"/>
      <c r="AN98" s="705"/>
      <c r="AO98" s="705"/>
      <c r="AP98" s="705"/>
      <c r="AQ98" s="705"/>
      <c r="AR98" s="705"/>
      <c r="AS98" s="705"/>
      <c r="AT98" s="705">
        <f t="shared" si="33"/>
        <v>0</v>
      </c>
      <c r="AU98" s="705"/>
      <c r="AV98" s="705"/>
      <c r="AW98" s="705"/>
      <c r="AX98" s="705"/>
      <c r="AY98" s="718"/>
      <c r="AZ98" s="718"/>
      <c r="BA98" s="718"/>
      <c r="BB98" s="718"/>
      <c r="BC98" s="718"/>
      <c r="BD98" s="718"/>
      <c r="BE98" s="718"/>
      <c r="BF98" s="718"/>
      <c r="BG98" s="718"/>
      <c r="BH98" s="718"/>
      <c r="BI98" s="718"/>
      <c r="BJ98" s="718"/>
      <c r="BK98" s="718"/>
      <c r="BL98" s="205"/>
      <c r="BO98" s="205"/>
      <c r="BP98" s="205"/>
      <c r="BQ98" s="205"/>
      <c r="BR98" s="205"/>
      <c r="BS98" s="205"/>
      <c r="BT98" s="205"/>
      <c r="BU98" s="205"/>
      <c r="BV98" s="205"/>
      <c r="BW98" s="205"/>
      <c r="BX98" s="205"/>
      <c r="BY98" s="205"/>
      <c r="BZ98" s="205"/>
    </row>
    <row r="99" spans="1:79" s="719" customFormat="1" ht="30" customHeight="1">
      <c r="A99" s="706" t="s">
        <v>1076</v>
      </c>
      <c r="B99" s="730" t="s">
        <v>1077</v>
      </c>
      <c r="C99" s="716">
        <f t="shared" si="73"/>
        <v>86</v>
      </c>
      <c r="D99" s="209">
        <v>20141</v>
      </c>
      <c r="E99" s="222" t="s">
        <v>803</v>
      </c>
      <c r="F99" s="705">
        <f>3000000+200000</f>
        <v>3200000</v>
      </c>
      <c r="G99" s="705">
        <v>3000000</v>
      </c>
      <c r="H99" s="705">
        <f t="shared" si="62"/>
        <v>200000</v>
      </c>
      <c r="I99" s="705"/>
      <c r="J99" s="705"/>
      <c r="K99" s="705"/>
      <c r="L99" s="705"/>
      <c r="M99" s="705">
        <f t="shared" ref="M99" si="80">SUM(K99:L99)</f>
        <v>0</v>
      </c>
      <c r="N99" s="705">
        <f t="shared" si="64"/>
        <v>0</v>
      </c>
      <c r="O99" s="705">
        <f>3000000+200000</f>
        <v>3200000</v>
      </c>
      <c r="P99" s="705">
        <f t="shared" si="65"/>
        <v>0</v>
      </c>
      <c r="Q99" s="705">
        <f t="shared" si="66"/>
        <v>0</v>
      </c>
      <c r="R99" s="705">
        <f t="shared" si="67"/>
        <v>3200000</v>
      </c>
      <c r="S99" s="705">
        <f>2150000+850000</f>
        <v>3000000</v>
      </c>
      <c r="T99" s="705">
        <f t="shared" si="68"/>
        <v>200000</v>
      </c>
      <c r="U99" s="705">
        <f t="shared" si="69"/>
        <v>0</v>
      </c>
      <c r="V99" s="705"/>
      <c r="W99" s="705"/>
      <c r="X99" s="705">
        <v>200000</v>
      </c>
      <c r="Y99" s="705"/>
      <c r="Z99" s="210" t="s">
        <v>1090</v>
      </c>
      <c r="AA99" s="705"/>
      <c r="AB99" s="705"/>
      <c r="AC99" s="705"/>
      <c r="AD99" s="705">
        <v>200000</v>
      </c>
      <c r="AE99" s="705"/>
      <c r="AF99" s="705">
        <f t="shared" si="78"/>
        <v>200000</v>
      </c>
      <c r="AG99" s="705">
        <f t="shared" si="71"/>
        <v>0</v>
      </c>
      <c r="AH99" s="705">
        <f t="shared" si="72"/>
        <v>0</v>
      </c>
      <c r="AI99" s="705"/>
      <c r="AJ99" s="705"/>
      <c r="AK99" s="705">
        <v>200000</v>
      </c>
      <c r="AL99" s="747"/>
      <c r="AM99" s="713"/>
      <c r="AN99" s="705"/>
      <c r="AO99" s="705"/>
      <c r="AP99" s="705"/>
      <c r="AQ99" s="705"/>
      <c r="AR99" s="705"/>
      <c r="AS99" s="705"/>
      <c r="AT99" s="705">
        <f t="shared" si="33"/>
        <v>0</v>
      </c>
      <c r="AU99" s="705"/>
      <c r="AV99" s="705"/>
      <c r="AW99" s="705"/>
      <c r="AX99" s="705"/>
      <c r="AY99" s="718"/>
      <c r="AZ99" s="718"/>
      <c r="BA99" s="718"/>
      <c r="BB99" s="718"/>
      <c r="BC99" s="718"/>
      <c r="BD99" s="718"/>
      <c r="BE99" s="718"/>
      <c r="BF99" s="718"/>
      <c r="BG99" s="718"/>
      <c r="BH99" s="718"/>
      <c r="BI99" s="718"/>
      <c r="BJ99" s="718"/>
      <c r="BK99" s="718"/>
      <c r="BL99" s="205"/>
      <c r="BO99" s="205"/>
      <c r="BP99" s="205"/>
      <c r="BQ99" s="205"/>
      <c r="BR99" s="205"/>
      <c r="BS99" s="205"/>
      <c r="BT99" s="205"/>
      <c r="BU99" s="205"/>
      <c r="BV99" s="205"/>
      <c r="BW99" s="205"/>
      <c r="BX99" s="205"/>
      <c r="BY99" s="205"/>
      <c r="BZ99" s="205"/>
    </row>
    <row r="100" spans="1:79" s="719" customFormat="1" ht="30" customHeight="1">
      <c r="A100" s="706" t="s">
        <v>1076</v>
      </c>
      <c r="B100" s="730" t="s">
        <v>1077</v>
      </c>
      <c r="C100" s="716">
        <f t="shared" si="73"/>
        <v>87</v>
      </c>
      <c r="D100" s="209">
        <v>2043</v>
      </c>
      <c r="E100" s="222" t="s">
        <v>467</v>
      </c>
      <c r="F100" s="705">
        <v>20500000</v>
      </c>
      <c r="G100" s="705">
        <v>20500000</v>
      </c>
      <c r="H100" s="705">
        <f t="shared" si="62"/>
        <v>0</v>
      </c>
      <c r="I100" s="705">
        <v>17850000</v>
      </c>
      <c r="J100" s="705">
        <f>16670086+4914</f>
        <v>16675000</v>
      </c>
      <c r="K100" s="705"/>
      <c r="L100" s="705"/>
      <c r="M100" s="705">
        <f t="shared" ref="M100" si="81">SUM(K100:L100)</f>
        <v>0</v>
      </c>
      <c r="N100" s="705">
        <f t="shared" si="64"/>
        <v>16675000</v>
      </c>
      <c r="O100" s="705">
        <f>3675000+5864</f>
        <v>3680864</v>
      </c>
      <c r="P100" s="705">
        <f t="shared" si="65"/>
        <v>144136</v>
      </c>
      <c r="Q100" s="705">
        <f t="shared" si="66"/>
        <v>1175000</v>
      </c>
      <c r="R100" s="705">
        <f t="shared" si="67"/>
        <v>2505864</v>
      </c>
      <c r="S100" s="705">
        <v>2500000</v>
      </c>
      <c r="T100" s="705">
        <f t="shared" si="68"/>
        <v>5864</v>
      </c>
      <c r="U100" s="705">
        <f t="shared" si="69"/>
        <v>0</v>
      </c>
      <c r="V100" s="705"/>
      <c r="W100" s="705"/>
      <c r="X100" s="705"/>
      <c r="Y100" s="705">
        <v>5864</v>
      </c>
      <c r="Z100" s="210" t="s">
        <v>1124</v>
      </c>
      <c r="AA100" s="705"/>
      <c r="AB100" s="705"/>
      <c r="AC100" s="705"/>
      <c r="AD100" s="705">
        <v>5864</v>
      </c>
      <c r="AE100" s="705"/>
      <c r="AF100" s="705">
        <f t="shared" si="78"/>
        <v>5864</v>
      </c>
      <c r="AG100" s="705">
        <f t="shared" si="71"/>
        <v>0</v>
      </c>
      <c r="AH100" s="705">
        <f t="shared" si="72"/>
        <v>0</v>
      </c>
      <c r="AI100" s="705"/>
      <c r="AJ100" s="705"/>
      <c r="AK100" s="705"/>
      <c r="AL100" s="708">
        <v>5864</v>
      </c>
      <c r="AM100" s="713"/>
      <c r="AN100" s="705"/>
      <c r="AO100" s="705"/>
      <c r="AP100" s="705"/>
      <c r="AQ100" s="705"/>
      <c r="AR100" s="705"/>
      <c r="AS100" s="705"/>
      <c r="AT100" s="705">
        <f t="shared" si="33"/>
        <v>0</v>
      </c>
      <c r="AU100" s="705"/>
      <c r="AV100" s="705"/>
      <c r="AW100" s="705"/>
      <c r="AX100" s="705"/>
      <c r="AY100" s="718"/>
      <c r="AZ100" s="718"/>
      <c r="BA100" s="718"/>
      <c r="BB100" s="718"/>
      <c r="BC100" s="718"/>
      <c r="BD100" s="718"/>
      <c r="BE100" s="718"/>
      <c r="BF100" s="718"/>
      <c r="BG100" s="718"/>
      <c r="BH100" s="718"/>
      <c r="BI100" s="718"/>
      <c r="BJ100" s="718"/>
      <c r="BK100" s="718"/>
      <c r="BL100" s="205"/>
      <c r="BO100" s="205"/>
      <c r="BP100" s="205"/>
      <c r="BQ100" s="205"/>
      <c r="BR100" s="205"/>
      <c r="BS100" s="205"/>
      <c r="BT100" s="205"/>
      <c r="BU100" s="205"/>
      <c r="BV100" s="205"/>
      <c r="BW100" s="205"/>
      <c r="BX100" s="205"/>
      <c r="BY100" s="205"/>
      <c r="BZ100" s="205"/>
    </row>
    <row r="101" spans="1:79" s="719" customFormat="1" ht="30" customHeight="1">
      <c r="A101" s="706" t="s">
        <v>1076</v>
      </c>
      <c r="B101" s="730" t="s">
        <v>1077</v>
      </c>
      <c r="C101" s="716">
        <f t="shared" si="73"/>
        <v>88</v>
      </c>
      <c r="D101" s="209">
        <v>20030</v>
      </c>
      <c r="E101" s="222" t="s">
        <v>440</v>
      </c>
      <c r="F101" s="705">
        <v>55050000</v>
      </c>
      <c r="G101" s="705">
        <v>55050000</v>
      </c>
      <c r="H101" s="705">
        <f t="shared" si="62"/>
        <v>0</v>
      </c>
      <c r="I101" s="705">
        <f>45150000+2700000</f>
        <v>47850000</v>
      </c>
      <c r="J101" s="705">
        <f>45447112+2888</f>
        <v>45450000</v>
      </c>
      <c r="K101" s="705"/>
      <c r="L101" s="705"/>
      <c r="M101" s="705">
        <f t="shared" ref="M101" si="82">SUM(K101:L101)</f>
        <v>0</v>
      </c>
      <c r="N101" s="705">
        <f t="shared" si="64"/>
        <v>45450000</v>
      </c>
      <c r="O101" s="705">
        <f>9600000-7200000-1000000+610500+4300000+80043</f>
        <v>6390543</v>
      </c>
      <c r="P101" s="705">
        <f t="shared" si="65"/>
        <v>3209457</v>
      </c>
      <c r="Q101" s="705">
        <f t="shared" si="66"/>
        <v>2400000</v>
      </c>
      <c r="R101" s="705">
        <f t="shared" si="67"/>
        <v>3990543</v>
      </c>
      <c r="S101" s="705">
        <v>3910500</v>
      </c>
      <c r="T101" s="705">
        <f t="shared" si="68"/>
        <v>80043</v>
      </c>
      <c r="U101" s="705">
        <f t="shared" si="69"/>
        <v>0</v>
      </c>
      <c r="V101" s="705"/>
      <c r="W101" s="705"/>
      <c r="X101" s="705"/>
      <c r="Y101" s="4">
        <v>80043</v>
      </c>
      <c r="Z101" s="210" t="s">
        <v>1125</v>
      </c>
      <c r="AA101" s="705"/>
      <c r="AB101" s="705"/>
      <c r="AC101" s="705"/>
      <c r="AD101" s="705">
        <v>80043</v>
      </c>
      <c r="AE101" s="705"/>
      <c r="AF101" s="705">
        <f t="shared" si="78"/>
        <v>80043</v>
      </c>
      <c r="AG101" s="705">
        <f t="shared" si="71"/>
        <v>0</v>
      </c>
      <c r="AH101" s="705">
        <f t="shared" si="72"/>
        <v>0</v>
      </c>
      <c r="AI101" s="705"/>
      <c r="AJ101" s="705"/>
      <c r="AK101" s="705"/>
      <c r="AL101" s="748">
        <v>80043</v>
      </c>
      <c r="AM101" s="713"/>
      <c r="AN101" s="705"/>
      <c r="AO101" s="705"/>
      <c r="AP101" s="705"/>
      <c r="AQ101" s="705"/>
      <c r="AR101" s="705"/>
      <c r="AS101" s="705"/>
      <c r="AT101" s="705">
        <f t="shared" ref="AT101" si="83">AS101-AU101-AV101-AW101-AX101</f>
        <v>0</v>
      </c>
      <c r="AU101" s="705"/>
      <c r="AV101" s="705"/>
      <c r="AW101" s="705"/>
      <c r="AX101" s="705"/>
      <c r="AY101" s="718"/>
      <c r="AZ101" s="718"/>
      <c r="BA101" s="718"/>
      <c r="BB101" s="718"/>
      <c r="BC101" s="718"/>
      <c r="BD101" s="718"/>
      <c r="BE101" s="718"/>
      <c r="BF101" s="718"/>
      <c r="BG101" s="718"/>
      <c r="BH101" s="718"/>
      <c r="BI101" s="718"/>
      <c r="BJ101" s="718"/>
      <c r="BK101" s="718"/>
      <c r="BL101" s="205"/>
      <c r="BO101" s="205"/>
      <c r="BP101" s="205"/>
      <c r="BQ101" s="205"/>
      <c r="BR101" s="205"/>
      <c r="BS101" s="205"/>
      <c r="BT101" s="205"/>
      <c r="BU101" s="205"/>
      <c r="BV101" s="205"/>
      <c r="BW101" s="205"/>
      <c r="BX101" s="205"/>
      <c r="BY101" s="205"/>
      <c r="BZ101" s="205"/>
    </row>
    <row r="102" spans="1:79" s="719" customFormat="1" ht="30" customHeight="1">
      <c r="A102" s="706" t="s">
        <v>1086</v>
      </c>
      <c r="B102" s="730" t="s">
        <v>1087</v>
      </c>
      <c r="C102" s="716">
        <f>C100+1</f>
        <v>88</v>
      </c>
      <c r="D102" s="209">
        <v>2030</v>
      </c>
      <c r="E102" s="222" t="s">
        <v>198</v>
      </c>
      <c r="F102" s="705">
        <v>46821977</v>
      </c>
      <c r="G102" s="705">
        <v>46821977</v>
      </c>
      <c r="H102" s="705">
        <f t="shared" si="62"/>
        <v>0</v>
      </c>
      <c r="I102" s="705">
        <v>16421977</v>
      </c>
      <c r="J102" s="705">
        <v>10923798</v>
      </c>
      <c r="K102" s="705"/>
      <c r="L102" s="705"/>
      <c r="M102" s="705">
        <f t="shared" ref="M102" si="84">SUM(K102:L102)</f>
        <v>0</v>
      </c>
      <c r="N102" s="705">
        <f t="shared" si="64"/>
        <v>10923798</v>
      </c>
      <c r="O102" s="705">
        <f>-4600000+5498179+500000</f>
        <v>1398179</v>
      </c>
      <c r="P102" s="705">
        <f t="shared" si="65"/>
        <v>34500000</v>
      </c>
      <c r="Q102" s="705">
        <f t="shared" si="66"/>
        <v>5498179</v>
      </c>
      <c r="R102" s="705">
        <f t="shared" si="67"/>
        <v>-4100000</v>
      </c>
      <c r="S102" s="705">
        <v>-4600000</v>
      </c>
      <c r="T102" s="705">
        <f t="shared" si="68"/>
        <v>500000</v>
      </c>
      <c r="U102" s="705">
        <f t="shared" si="69"/>
        <v>500000</v>
      </c>
      <c r="V102" s="705"/>
      <c r="W102" s="705"/>
      <c r="X102" s="705"/>
      <c r="Y102" s="705"/>
      <c r="Z102" s="210" t="s">
        <v>1085</v>
      </c>
      <c r="AA102" s="705"/>
      <c r="AB102" s="705"/>
      <c r="AC102" s="705"/>
      <c r="AD102" s="705">
        <f t="shared" ref="AD102" si="85">SUM(Z102:AB102)</f>
        <v>0</v>
      </c>
      <c r="AE102" s="705">
        <v>500000</v>
      </c>
      <c r="AF102" s="705">
        <f t="shared" si="78"/>
        <v>500000</v>
      </c>
      <c r="AG102" s="705">
        <f t="shared" si="71"/>
        <v>0</v>
      </c>
      <c r="AH102" s="705">
        <f t="shared" si="72"/>
        <v>500000</v>
      </c>
      <c r="AI102" s="705"/>
      <c r="AJ102" s="705"/>
      <c r="AK102" s="705"/>
      <c r="AL102" s="747"/>
      <c r="AM102" s="713"/>
      <c r="AN102" s="705"/>
      <c r="AO102" s="705"/>
      <c r="AP102" s="705"/>
      <c r="AQ102" s="705"/>
      <c r="AR102" s="705"/>
      <c r="AS102" s="705">
        <v>500000</v>
      </c>
      <c r="AT102" s="705">
        <f>AS102-AU102-AV102-AW102-AX102</f>
        <v>500000</v>
      </c>
      <c r="AU102" s="705"/>
      <c r="AV102" s="705"/>
      <c r="AW102" s="705"/>
      <c r="AX102" s="705"/>
      <c r="AY102" s="717"/>
      <c r="AZ102" s="718"/>
      <c r="BA102" s="718"/>
      <c r="BB102" s="718"/>
      <c r="BC102" s="718"/>
      <c r="BD102" s="718"/>
      <c r="BE102" s="718"/>
      <c r="BF102" s="718"/>
      <c r="BG102" s="718"/>
      <c r="BH102" s="718"/>
      <c r="BI102" s="718"/>
      <c r="BJ102" s="718"/>
      <c r="BK102" s="718"/>
      <c r="BL102" s="718"/>
      <c r="BM102" s="205"/>
      <c r="BP102" s="205"/>
      <c r="BQ102" s="205"/>
      <c r="BR102" s="205"/>
      <c r="BS102" s="205"/>
      <c r="BT102" s="205"/>
      <c r="BU102" s="205"/>
      <c r="BV102" s="205"/>
      <c r="BW102" s="205"/>
      <c r="BX102" s="205"/>
      <c r="BY102" s="205"/>
      <c r="BZ102" s="205"/>
      <c r="CA102" s="205"/>
    </row>
    <row r="103" spans="1:79" s="719" customFormat="1" ht="30" customHeight="1">
      <c r="A103" s="706" t="s">
        <v>1091</v>
      </c>
      <c r="B103" s="730" t="s">
        <v>1092</v>
      </c>
      <c r="C103" s="716">
        <f>C99+1</f>
        <v>87</v>
      </c>
      <c r="D103" s="209">
        <v>2216</v>
      </c>
      <c r="E103" s="222" t="s">
        <v>354</v>
      </c>
      <c r="F103" s="705">
        <f>7500000+350000</f>
        <v>7850000</v>
      </c>
      <c r="G103" s="705">
        <v>7500000</v>
      </c>
      <c r="H103" s="705">
        <f t="shared" si="62"/>
        <v>350000</v>
      </c>
      <c r="I103" s="705">
        <v>7500000</v>
      </c>
      <c r="J103" s="705">
        <f>7337047+2953</f>
        <v>7340000</v>
      </c>
      <c r="K103" s="705"/>
      <c r="L103" s="705"/>
      <c r="M103" s="705">
        <f t="shared" ref="M103:M113" si="86">SUM(K103:L103)</f>
        <v>0</v>
      </c>
      <c r="N103" s="705">
        <f t="shared" si="64"/>
        <v>7340000</v>
      </c>
      <c r="O103" s="705">
        <f>160000+350000</f>
        <v>510000</v>
      </c>
      <c r="P103" s="705">
        <f t="shared" si="65"/>
        <v>0</v>
      </c>
      <c r="Q103" s="705">
        <f t="shared" si="66"/>
        <v>160000</v>
      </c>
      <c r="R103" s="705">
        <f t="shared" si="67"/>
        <v>350000</v>
      </c>
      <c r="S103" s="705"/>
      <c r="T103" s="705">
        <f t="shared" si="68"/>
        <v>350000</v>
      </c>
      <c r="U103" s="705">
        <f t="shared" si="69"/>
        <v>350000</v>
      </c>
      <c r="V103" s="705"/>
      <c r="W103" s="705"/>
      <c r="X103" s="705"/>
      <c r="Y103" s="705"/>
      <c r="Z103" s="210" t="s">
        <v>878</v>
      </c>
      <c r="AA103" s="705"/>
      <c r="AB103" s="705"/>
      <c r="AC103" s="705"/>
      <c r="AD103" s="705">
        <f t="shared" ref="AD103:AD114" si="87">SUM(AA103:AC103)</f>
        <v>0</v>
      </c>
      <c r="AE103" s="705">
        <f t="shared" ref="AE103:AE114" si="88">T103-AD103</f>
        <v>350000</v>
      </c>
      <c r="AF103" s="705">
        <f t="shared" si="78"/>
        <v>350000</v>
      </c>
      <c r="AG103" s="705">
        <f t="shared" si="71"/>
        <v>0</v>
      </c>
      <c r="AH103" s="705">
        <f t="shared" si="72"/>
        <v>350000</v>
      </c>
      <c r="AI103" s="705"/>
      <c r="AJ103" s="705"/>
      <c r="AK103" s="705"/>
      <c r="AL103" s="708"/>
      <c r="AM103" s="713"/>
      <c r="AN103" s="705"/>
      <c r="AO103" s="705"/>
      <c r="AP103" s="705"/>
      <c r="AQ103" s="705"/>
      <c r="AR103" s="705"/>
      <c r="AS103" s="705"/>
      <c r="AT103" s="705">
        <f t="shared" ref="AT103:AT114" si="89">AS103-AU103-AV103-AW103-AX103</f>
        <v>0</v>
      </c>
      <c r="AU103" s="705"/>
      <c r="AV103" s="705"/>
      <c r="AW103" s="705"/>
      <c r="AX103" s="705"/>
      <c r="AY103" s="718"/>
      <c r="AZ103" s="718"/>
      <c r="BA103" s="205"/>
      <c r="BC103" s="718"/>
      <c r="BD103" s="718"/>
      <c r="BE103" s="718"/>
      <c r="BF103" s="718"/>
      <c r="BG103" s="718"/>
      <c r="BI103" s="205"/>
      <c r="BJ103" s="205"/>
      <c r="BK103" s="205"/>
      <c r="BL103" s="205"/>
      <c r="BM103" s="205"/>
      <c r="BN103" s="205"/>
      <c r="BO103" s="205"/>
      <c r="BP103" s="205"/>
      <c r="BQ103" s="205"/>
      <c r="BR103" s="205"/>
      <c r="BS103" s="205"/>
      <c r="BT103" s="205"/>
    </row>
    <row r="104" spans="1:79" s="719" customFormat="1" ht="30" customHeight="1">
      <c r="A104" s="706" t="s">
        <v>1091</v>
      </c>
      <c r="B104" s="730" t="s">
        <v>1092</v>
      </c>
      <c r="C104" s="716">
        <f>C103+1</f>
        <v>88</v>
      </c>
      <c r="D104" s="209">
        <v>20143</v>
      </c>
      <c r="E104" s="222" t="s">
        <v>1126</v>
      </c>
      <c r="F104" s="705">
        <v>420000</v>
      </c>
      <c r="G104" s="705"/>
      <c r="H104" s="705">
        <f t="shared" si="62"/>
        <v>420000</v>
      </c>
      <c r="I104" s="705"/>
      <c r="J104" s="705"/>
      <c r="K104" s="705"/>
      <c r="L104" s="705"/>
      <c r="M104" s="705">
        <f t="shared" ref="M104:M110" si="90">SUM(K104:L104)</f>
        <v>0</v>
      </c>
      <c r="N104" s="705">
        <f t="shared" si="64"/>
        <v>0</v>
      </c>
      <c r="O104" s="705">
        <v>420000</v>
      </c>
      <c r="P104" s="705">
        <f t="shared" si="65"/>
        <v>0</v>
      </c>
      <c r="Q104" s="705">
        <f t="shared" si="66"/>
        <v>0</v>
      </c>
      <c r="R104" s="705">
        <f t="shared" si="67"/>
        <v>420000</v>
      </c>
      <c r="S104" s="705"/>
      <c r="T104" s="705">
        <f t="shared" si="68"/>
        <v>420000</v>
      </c>
      <c r="U104" s="705">
        <f t="shared" si="69"/>
        <v>420000</v>
      </c>
      <c r="V104" s="705"/>
      <c r="W104" s="705"/>
      <c r="X104" s="705"/>
      <c r="Y104" s="705"/>
      <c r="Z104" s="210" t="s">
        <v>878</v>
      </c>
      <c r="AA104" s="705"/>
      <c r="AB104" s="705"/>
      <c r="AC104" s="705"/>
      <c r="AD104" s="705">
        <f t="shared" si="87"/>
        <v>0</v>
      </c>
      <c r="AE104" s="705">
        <f t="shared" si="88"/>
        <v>420000</v>
      </c>
      <c r="AF104" s="705">
        <f t="shared" si="78"/>
        <v>420000</v>
      </c>
      <c r="AG104" s="705">
        <f t="shared" si="71"/>
        <v>0</v>
      </c>
      <c r="AH104" s="705">
        <f t="shared" si="72"/>
        <v>420000</v>
      </c>
      <c r="AI104" s="705"/>
      <c r="AJ104" s="705"/>
      <c r="AK104" s="705"/>
      <c r="AL104" s="708"/>
      <c r="AM104" s="713"/>
      <c r="AN104" s="705"/>
      <c r="AO104" s="705"/>
      <c r="AP104" s="705"/>
      <c r="AQ104" s="705"/>
      <c r="AR104" s="705"/>
      <c r="AS104" s="705"/>
      <c r="AT104" s="705">
        <f t="shared" si="89"/>
        <v>0</v>
      </c>
      <c r="AU104" s="705"/>
      <c r="AV104" s="705"/>
      <c r="AW104" s="705"/>
      <c r="AX104" s="705"/>
      <c r="AY104" s="718"/>
      <c r="AZ104" s="718"/>
      <c r="BA104" s="205"/>
      <c r="BC104" s="718"/>
      <c r="BD104" s="718"/>
      <c r="BE104" s="718"/>
      <c r="BF104" s="718"/>
      <c r="BG104" s="718"/>
      <c r="BI104" s="205"/>
      <c r="BJ104" s="205"/>
      <c r="BK104" s="205"/>
      <c r="BL104" s="205"/>
      <c r="BM104" s="205"/>
      <c r="BN104" s="205"/>
      <c r="BO104" s="205"/>
      <c r="BP104" s="205"/>
      <c r="BQ104" s="205"/>
      <c r="BR104" s="205"/>
      <c r="BS104" s="205"/>
      <c r="BT104" s="205"/>
    </row>
    <row r="105" spans="1:79" s="719" customFormat="1" ht="30" customHeight="1">
      <c r="A105" s="706" t="s">
        <v>1091</v>
      </c>
      <c r="B105" s="730" t="s">
        <v>1092</v>
      </c>
      <c r="C105" s="716">
        <f t="shared" ref="C105:C114" si="91">C104+1</f>
        <v>89</v>
      </c>
      <c r="D105" s="209">
        <v>20095</v>
      </c>
      <c r="E105" s="222" t="s">
        <v>590</v>
      </c>
      <c r="F105" s="705">
        <v>652730</v>
      </c>
      <c r="G105" s="705">
        <v>1000000</v>
      </c>
      <c r="H105" s="705">
        <f t="shared" si="62"/>
        <v>-347270</v>
      </c>
      <c r="I105" s="705">
        <v>1000000</v>
      </c>
      <c r="J105" s="705">
        <v>652730</v>
      </c>
      <c r="K105" s="705"/>
      <c r="L105" s="705"/>
      <c r="M105" s="705">
        <f t="shared" si="90"/>
        <v>0</v>
      </c>
      <c r="N105" s="705">
        <f t="shared" si="64"/>
        <v>652730</v>
      </c>
      <c r="O105" s="705"/>
      <c r="P105" s="705">
        <f t="shared" si="65"/>
        <v>0</v>
      </c>
      <c r="Q105" s="705">
        <f t="shared" si="66"/>
        <v>347270</v>
      </c>
      <c r="R105" s="705">
        <f t="shared" si="67"/>
        <v>-347270</v>
      </c>
      <c r="S105" s="705"/>
      <c r="T105" s="705">
        <f t="shared" si="68"/>
        <v>-347270</v>
      </c>
      <c r="U105" s="705">
        <f t="shared" si="69"/>
        <v>-347270</v>
      </c>
      <c r="V105" s="705"/>
      <c r="W105" s="705"/>
      <c r="X105" s="705"/>
      <c r="Y105" s="705"/>
      <c r="Z105" s="210" t="s">
        <v>1127</v>
      </c>
      <c r="AA105" s="705"/>
      <c r="AB105" s="705"/>
      <c r="AC105" s="705"/>
      <c r="AD105" s="705">
        <f t="shared" si="87"/>
        <v>0</v>
      </c>
      <c r="AE105" s="705">
        <f t="shared" si="88"/>
        <v>-347270</v>
      </c>
      <c r="AF105" s="705">
        <f t="shared" si="78"/>
        <v>-347270</v>
      </c>
      <c r="AG105" s="705">
        <f t="shared" si="71"/>
        <v>0</v>
      </c>
      <c r="AH105" s="705">
        <f t="shared" si="72"/>
        <v>-347270</v>
      </c>
      <c r="AI105" s="705"/>
      <c r="AJ105" s="705"/>
      <c r="AK105" s="705"/>
      <c r="AL105" s="708"/>
      <c r="AM105" s="713"/>
      <c r="AN105" s="705"/>
      <c r="AO105" s="705"/>
      <c r="AP105" s="705"/>
      <c r="AQ105" s="705"/>
      <c r="AR105" s="705"/>
      <c r="AS105" s="705">
        <v>-347270</v>
      </c>
      <c r="AT105" s="705">
        <f t="shared" si="89"/>
        <v>-347270</v>
      </c>
      <c r="AU105" s="705"/>
      <c r="AV105" s="705"/>
      <c r="AW105" s="705"/>
      <c r="AX105" s="705"/>
      <c r="AY105" s="718"/>
      <c r="AZ105" s="718"/>
      <c r="BA105" s="205"/>
      <c r="BC105" s="718"/>
      <c r="BD105" s="718"/>
      <c r="BE105" s="718"/>
      <c r="BF105" s="718"/>
      <c r="BG105" s="718"/>
      <c r="BI105" s="205"/>
      <c r="BJ105" s="205"/>
      <c r="BK105" s="205"/>
      <c r="BL105" s="205"/>
      <c r="BM105" s="205"/>
      <c r="BN105" s="205"/>
      <c r="BO105" s="205"/>
      <c r="BP105" s="205"/>
      <c r="BQ105" s="205"/>
      <c r="BR105" s="205"/>
      <c r="BS105" s="205"/>
      <c r="BT105" s="205"/>
    </row>
    <row r="106" spans="1:79" s="719" customFormat="1" ht="30" customHeight="1">
      <c r="A106" s="706" t="s">
        <v>1091</v>
      </c>
      <c r="B106" s="730" t="s">
        <v>1092</v>
      </c>
      <c r="C106" s="716">
        <f t="shared" si="91"/>
        <v>90</v>
      </c>
      <c r="D106" s="209">
        <v>1342</v>
      </c>
      <c r="E106" s="222" t="s">
        <v>58</v>
      </c>
      <c r="F106" s="705">
        <v>6200000</v>
      </c>
      <c r="G106" s="705">
        <v>6200000</v>
      </c>
      <c r="H106" s="705">
        <f t="shared" si="62"/>
        <v>0</v>
      </c>
      <c r="I106" s="705">
        <v>3940000</v>
      </c>
      <c r="J106" s="705">
        <f>3933097+6903</f>
        <v>3940000</v>
      </c>
      <c r="K106" s="705"/>
      <c r="L106" s="705"/>
      <c r="M106" s="705">
        <f t="shared" si="90"/>
        <v>0</v>
      </c>
      <c r="N106" s="705">
        <f t="shared" si="64"/>
        <v>3940000</v>
      </c>
      <c r="O106" s="705">
        <f>500000-250000</f>
        <v>250000</v>
      </c>
      <c r="P106" s="705">
        <f t="shared" si="65"/>
        <v>2010000</v>
      </c>
      <c r="Q106" s="705">
        <f t="shared" si="66"/>
        <v>0</v>
      </c>
      <c r="R106" s="705">
        <f t="shared" si="67"/>
        <v>250000</v>
      </c>
      <c r="S106" s="705">
        <v>500000</v>
      </c>
      <c r="T106" s="705">
        <f t="shared" si="68"/>
        <v>-250000</v>
      </c>
      <c r="U106" s="705">
        <f t="shared" si="69"/>
        <v>-250000</v>
      </c>
      <c r="V106" s="705"/>
      <c r="W106" s="705"/>
      <c r="X106" s="705"/>
      <c r="Y106" s="705"/>
      <c r="Z106" s="210" t="s">
        <v>1075</v>
      </c>
      <c r="AA106" s="705"/>
      <c r="AB106" s="705"/>
      <c r="AC106" s="705"/>
      <c r="AD106" s="705">
        <f t="shared" si="87"/>
        <v>0</v>
      </c>
      <c r="AE106" s="705"/>
      <c r="AF106" s="705">
        <f t="shared" si="78"/>
        <v>0</v>
      </c>
      <c r="AG106" s="705">
        <f t="shared" si="71"/>
        <v>-250000</v>
      </c>
      <c r="AH106" s="705">
        <f t="shared" si="72"/>
        <v>0</v>
      </c>
      <c r="AI106" s="705"/>
      <c r="AJ106" s="705"/>
      <c r="AK106" s="705"/>
      <c r="AL106" s="708"/>
      <c r="AM106" s="713"/>
      <c r="AN106" s="705"/>
      <c r="AO106" s="705"/>
      <c r="AP106" s="705"/>
      <c r="AQ106" s="705"/>
      <c r="AR106" s="705"/>
      <c r="AS106" s="705"/>
      <c r="AT106" s="705">
        <f t="shared" si="89"/>
        <v>0</v>
      </c>
      <c r="AU106" s="705"/>
      <c r="AV106" s="705"/>
      <c r="AW106" s="705"/>
      <c r="AX106" s="705"/>
      <c r="AY106" s="718"/>
      <c r="AZ106" s="718"/>
      <c r="BA106" s="205"/>
      <c r="BC106" s="718"/>
      <c r="BD106" s="718"/>
      <c r="BE106" s="718"/>
      <c r="BF106" s="718"/>
      <c r="BG106" s="718"/>
      <c r="BI106" s="205"/>
      <c r="BJ106" s="205"/>
      <c r="BK106" s="205"/>
      <c r="BL106" s="205"/>
      <c r="BM106" s="205"/>
      <c r="BN106" s="205"/>
      <c r="BO106" s="205"/>
      <c r="BP106" s="205"/>
      <c r="BQ106" s="205"/>
      <c r="BR106" s="205"/>
      <c r="BS106" s="205"/>
      <c r="BT106" s="205"/>
    </row>
    <row r="107" spans="1:79" s="719" customFormat="1" ht="30" customHeight="1">
      <c r="A107" s="706" t="s">
        <v>1091</v>
      </c>
      <c r="B107" s="730" t="s">
        <v>1092</v>
      </c>
      <c r="C107" s="716">
        <f t="shared" si="91"/>
        <v>91</v>
      </c>
      <c r="D107" s="209">
        <v>20116</v>
      </c>
      <c r="E107" s="222" t="s">
        <v>622</v>
      </c>
      <c r="F107" s="705">
        <v>5400000</v>
      </c>
      <c r="G107" s="705">
        <v>5400000</v>
      </c>
      <c r="H107" s="705">
        <f t="shared" si="62"/>
        <v>0</v>
      </c>
      <c r="I107" s="705"/>
      <c r="J107" s="705"/>
      <c r="K107" s="705"/>
      <c r="L107" s="705"/>
      <c r="M107" s="705">
        <f t="shared" si="90"/>
        <v>0</v>
      </c>
      <c r="N107" s="705">
        <f t="shared" si="64"/>
        <v>0</v>
      </c>
      <c r="O107" s="705"/>
      <c r="P107" s="705">
        <f t="shared" si="65"/>
        <v>5400000</v>
      </c>
      <c r="Q107" s="705">
        <f t="shared" si="66"/>
        <v>0</v>
      </c>
      <c r="R107" s="705">
        <f t="shared" si="67"/>
        <v>0</v>
      </c>
      <c r="S107" s="705">
        <v>100000</v>
      </c>
      <c r="T107" s="705">
        <f t="shared" si="68"/>
        <v>-100000</v>
      </c>
      <c r="U107" s="705">
        <f t="shared" si="69"/>
        <v>-100000</v>
      </c>
      <c r="V107" s="705"/>
      <c r="W107" s="705"/>
      <c r="X107" s="705"/>
      <c r="Y107" s="705"/>
      <c r="Z107" s="210" t="s">
        <v>1075</v>
      </c>
      <c r="AA107" s="705"/>
      <c r="AB107" s="705"/>
      <c r="AC107" s="705"/>
      <c r="AD107" s="705">
        <f t="shared" si="87"/>
        <v>0</v>
      </c>
      <c r="AE107" s="705"/>
      <c r="AF107" s="705">
        <f t="shared" si="78"/>
        <v>0</v>
      </c>
      <c r="AG107" s="705">
        <f t="shared" si="71"/>
        <v>-100000</v>
      </c>
      <c r="AH107" s="705">
        <f t="shared" si="72"/>
        <v>0</v>
      </c>
      <c r="AI107" s="705"/>
      <c r="AJ107" s="705"/>
      <c r="AK107" s="705"/>
      <c r="AL107" s="708"/>
      <c r="AM107" s="713"/>
      <c r="AN107" s="705"/>
      <c r="AO107" s="705"/>
      <c r="AP107" s="705"/>
      <c r="AQ107" s="705"/>
      <c r="AR107" s="705"/>
      <c r="AS107" s="705"/>
      <c r="AT107" s="705">
        <f>AS107-AU107-AV107-AW107-AX107</f>
        <v>0</v>
      </c>
      <c r="AU107" s="705"/>
      <c r="AV107" s="705"/>
      <c r="AW107" s="705"/>
      <c r="AX107" s="705"/>
      <c r="AY107" s="718"/>
      <c r="AZ107" s="718"/>
      <c r="BA107" s="205"/>
      <c r="BC107" s="718"/>
      <c r="BD107" s="718"/>
      <c r="BE107" s="718"/>
      <c r="BF107" s="718"/>
      <c r="BG107" s="718"/>
      <c r="BI107" s="205"/>
      <c r="BJ107" s="205"/>
      <c r="BK107" s="205"/>
      <c r="BL107" s="205"/>
      <c r="BM107" s="205"/>
      <c r="BN107" s="205"/>
      <c r="BO107" s="205"/>
      <c r="BP107" s="205"/>
      <c r="BQ107" s="205"/>
      <c r="BR107" s="205"/>
      <c r="BS107" s="205"/>
      <c r="BT107" s="205"/>
    </row>
    <row r="108" spans="1:79" s="719" customFormat="1" ht="30" customHeight="1">
      <c r="A108" s="706" t="s">
        <v>1091</v>
      </c>
      <c r="B108" s="730" t="s">
        <v>1092</v>
      </c>
      <c r="C108" s="716">
        <f t="shared" si="91"/>
        <v>92</v>
      </c>
      <c r="D108" s="209">
        <v>20121</v>
      </c>
      <c r="E108" s="222" t="s">
        <v>1017</v>
      </c>
      <c r="F108" s="705">
        <v>1700000</v>
      </c>
      <c r="G108" s="705">
        <v>1700000</v>
      </c>
      <c r="H108" s="705">
        <f t="shared" si="62"/>
        <v>0</v>
      </c>
      <c r="I108" s="705"/>
      <c r="J108" s="705"/>
      <c r="K108" s="705"/>
      <c r="L108" s="705"/>
      <c r="M108" s="705">
        <f t="shared" si="90"/>
        <v>0</v>
      </c>
      <c r="N108" s="705">
        <f t="shared" si="64"/>
        <v>0</v>
      </c>
      <c r="O108" s="705"/>
      <c r="P108" s="705">
        <f t="shared" si="65"/>
        <v>1700000</v>
      </c>
      <c r="Q108" s="705">
        <f t="shared" si="66"/>
        <v>0</v>
      </c>
      <c r="R108" s="705">
        <f t="shared" si="67"/>
        <v>0</v>
      </c>
      <c r="S108" s="705">
        <v>100000</v>
      </c>
      <c r="T108" s="705">
        <f t="shared" si="68"/>
        <v>-100000</v>
      </c>
      <c r="U108" s="705">
        <f t="shared" si="69"/>
        <v>-100000</v>
      </c>
      <c r="V108" s="705"/>
      <c r="W108" s="705"/>
      <c r="X108" s="705"/>
      <c r="Y108" s="705"/>
      <c r="Z108" s="210" t="s">
        <v>1075</v>
      </c>
      <c r="AA108" s="705"/>
      <c r="AB108" s="705"/>
      <c r="AC108" s="705"/>
      <c r="AD108" s="705">
        <f t="shared" si="87"/>
        <v>0</v>
      </c>
      <c r="AE108" s="705"/>
      <c r="AF108" s="705">
        <f t="shared" si="78"/>
        <v>0</v>
      </c>
      <c r="AG108" s="705">
        <f t="shared" si="71"/>
        <v>-100000</v>
      </c>
      <c r="AH108" s="705">
        <f t="shared" si="72"/>
        <v>0</v>
      </c>
      <c r="AI108" s="705"/>
      <c r="AJ108" s="705"/>
      <c r="AK108" s="705"/>
      <c r="AL108" s="708"/>
      <c r="AM108" s="713"/>
      <c r="AN108" s="705"/>
      <c r="AO108" s="705"/>
      <c r="AP108" s="705"/>
      <c r="AQ108" s="705"/>
      <c r="AR108" s="705"/>
      <c r="AS108" s="705"/>
      <c r="AT108" s="705">
        <f t="shared" si="89"/>
        <v>0</v>
      </c>
      <c r="AU108" s="705"/>
      <c r="AV108" s="705"/>
      <c r="AW108" s="705"/>
      <c r="AX108" s="705"/>
      <c r="AY108" s="718"/>
      <c r="AZ108" s="718"/>
      <c r="BA108" s="205"/>
      <c r="BC108" s="718"/>
      <c r="BD108" s="718"/>
      <c r="BE108" s="718"/>
      <c r="BF108" s="718"/>
      <c r="BG108" s="718"/>
      <c r="BI108" s="205"/>
      <c r="BJ108" s="205"/>
      <c r="BK108" s="205"/>
      <c r="BL108" s="205"/>
      <c r="BM108" s="205"/>
      <c r="BN108" s="205"/>
      <c r="BO108" s="205"/>
      <c r="BP108" s="205"/>
      <c r="BQ108" s="205"/>
      <c r="BR108" s="205"/>
      <c r="BS108" s="205"/>
      <c r="BT108" s="205"/>
    </row>
    <row r="109" spans="1:79" s="719" customFormat="1" ht="30" customHeight="1">
      <c r="A109" s="706" t="s">
        <v>1091</v>
      </c>
      <c r="B109" s="730" t="s">
        <v>1092</v>
      </c>
      <c r="C109" s="716">
        <f t="shared" si="91"/>
        <v>93</v>
      </c>
      <c r="D109" s="209">
        <v>20122</v>
      </c>
      <c r="E109" s="222" t="s">
        <v>676</v>
      </c>
      <c r="F109" s="705">
        <v>600000</v>
      </c>
      <c r="G109" s="705">
        <v>600000</v>
      </c>
      <c r="H109" s="705">
        <f t="shared" si="62"/>
        <v>0</v>
      </c>
      <c r="I109" s="705"/>
      <c r="J109" s="705"/>
      <c r="K109" s="705"/>
      <c r="L109" s="705"/>
      <c r="M109" s="705">
        <f t="shared" si="90"/>
        <v>0</v>
      </c>
      <c r="N109" s="705">
        <f t="shared" si="64"/>
        <v>0</v>
      </c>
      <c r="O109" s="705"/>
      <c r="P109" s="705">
        <f t="shared" si="65"/>
        <v>600000</v>
      </c>
      <c r="Q109" s="705">
        <f t="shared" si="66"/>
        <v>0</v>
      </c>
      <c r="R109" s="705">
        <f t="shared" si="67"/>
        <v>0</v>
      </c>
      <c r="S109" s="705">
        <v>100000</v>
      </c>
      <c r="T109" s="705">
        <f t="shared" si="68"/>
        <v>-100000</v>
      </c>
      <c r="U109" s="705">
        <f t="shared" si="69"/>
        <v>0</v>
      </c>
      <c r="V109" s="705">
        <v>-100000</v>
      </c>
      <c r="W109" s="705"/>
      <c r="X109" s="705"/>
      <c r="Y109" s="705"/>
      <c r="Z109" s="210" t="s">
        <v>1075</v>
      </c>
      <c r="AA109" s="705"/>
      <c r="AB109" s="705"/>
      <c r="AC109" s="705"/>
      <c r="AD109" s="705">
        <f t="shared" si="87"/>
        <v>0</v>
      </c>
      <c r="AE109" s="705"/>
      <c r="AF109" s="705">
        <f t="shared" si="78"/>
        <v>0</v>
      </c>
      <c r="AG109" s="705">
        <f t="shared" si="71"/>
        <v>-100000</v>
      </c>
      <c r="AH109" s="705">
        <f t="shared" si="72"/>
        <v>0</v>
      </c>
      <c r="AI109" s="705"/>
      <c r="AJ109" s="705"/>
      <c r="AK109" s="705"/>
      <c r="AL109" s="708"/>
      <c r="AM109" s="713"/>
      <c r="AN109" s="705"/>
      <c r="AO109" s="705"/>
      <c r="AP109" s="705"/>
      <c r="AQ109" s="705"/>
      <c r="AR109" s="705"/>
      <c r="AS109" s="705"/>
      <c r="AT109" s="705">
        <f t="shared" si="89"/>
        <v>0</v>
      </c>
      <c r="AU109" s="705"/>
      <c r="AV109" s="705"/>
      <c r="AW109" s="705"/>
      <c r="AX109" s="705"/>
      <c r="AY109" s="718"/>
      <c r="AZ109" s="718"/>
      <c r="BA109" s="205"/>
      <c r="BC109" s="718"/>
      <c r="BD109" s="718"/>
      <c r="BE109" s="718"/>
      <c r="BF109" s="718"/>
      <c r="BG109" s="718"/>
      <c r="BI109" s="205"/>
      <c r="BJ109" s="205"/>
      <c r="BK109" s="205"/>
      <c r="BL109" s="205"/>
      <c r="BM109" s="205"/>
      <c r="BN109" s="205"/>
      <c r="BO109" s="205"/>
      <c r="BP109" s="205"/>
      <c r="BQ109" s="205"/>
      <c r="BR109" s="205"/>
      <c r="BS109" s="205"/>
      <c r="BT109" s="205"/>
    </row>
    <row r="110" spans="1:79" s="719" customFormat="1" ht="30" customHeight="1">
      <c r="A110" s="706" t="s">
        <v>1091</v>
      </c>
      <c r="B110" s="730" t="s">
        <v>1092</v>
      </c>
      <c r="C110" s="716">
        <f t="shared" si="91"/>
        <v>94</v>
      </c>
      <c r="D110" s="209">
        <v>2037</v>
      </c>
      <c r="E110" s="222" t="s">
        <v>1128</v>
      </c>
      <c r="F110" s="705">
        <v>5000000</v>
      </c>
      <c r="G110" s="705">
        <v>5000000</v>
      </c>
      <c r="H110" s="705">
        <f t="shared" si="62"/>
        <v>0</v>
      </c>
      <c r="I110" s="705">
        <v>2100000</v>
      </c>
      <c r="J110" s="705">
        <f>1880325+4675</f>
        <v>1885000</v>
      </c>
      <c r="K110" s="705"/>
      <c r="L110" s="705"/>
      <c r="M110" s="705">
        <f t="shared" si="90"/>
        <v>0</v>
      </c>
      <c r="N110" s="705">
        <f t="shared" si="64"/>
        <v>1885000</v>
      </c>
      <c r="O110" s="705">
        <f>415000-200000</f>
        <v>215000</v>
      </c>
      <c r="P110" s="705">
        <f t="shared" si="65"/>
        <v>2900000</v>
      </c>
      <c r="Q110" s="705">
        <f t="shared" si="66"/>
        <v>215000</v>
      </c>
      <c r="R110" s="705">
        <f t="shared" si="67"/>
        <v>0</v>
      </c>
      <c r="S110" s="705">
        <v>200000</v>
      </c>
      <c r="T110" s="705">
        <f t="shared" si="68"/>
        <v>-200000</v>
      </c>
      <c r="U110" s="705">
        <f t="shared" si="69"/>
        <v>0</v>
      </c>
      <c r="V110" s="705">
        <v>-200000</v>
      </c>
      <c r="W110" s="705"/>
      <c r="X110" s="705"/>
      <c r="Y110" s="705"/>
      <c r="Z110" s="210" t="s">
        <v>1075</v>
      </c>
      <c r="AA110" s="705"/>
      <c r="AB110" s="705"/>
      <c r="AC110" s="705"/>
      <c r="AD110" s="705">
        <f t="shared" si="87"/>
        <v>0</v>
      </c>
      <c r="AE110" s="705"/>
      <c r="AF110" s="705">
        <f t="shared" si="78"/>
        <v>0</v>
      </c>
      <c r="AG110" s="705">
        <f t="shared" si="71"/>
        <v>-200000</v>
      </c>
      <c r="AH110" s="705">
        <f t="shared" si="72"/>
        <v>0</v>
      </c>
      <c r="AI110" s="705"/>
      <c r="AJ110" s="705"/>
      <c r="AK110" s="705"/>
      <c r="AL110" s="708"/>
      <c r="AM110" s="713"/>
      <c r="AN110" s="705"/>
      <c r="AO110" s="705"/>
      <c r="AP110" s="705"/>
      <c r="AQ110" s="705"/>
      <c r="AR110" s="705"/>
      <c r="AS110" s="705"/>
      <c r="AT110" s="705">
        <f t="shared" si="89"/>
        <v>0</v>
      </c>
      <c r="AU110" s="705"/>
      <c r="AV110" s="705"/>
      <c r="AW110" s="705"/>
      <c r="AX110" s="705"/>
      <c r="AY110" s="718"/>
      <c r="AZ110" s="718"/>
      <c r="BA110" s="205"/>
      <c r="BC110" s="718"/>
      <c r="BD110" s="718"/>
      <c r="BE110" s="718"/>
      <c r="BF110" s="718"/>
      <c r="BG110" s="718"/>
      <c r="BI110" s="205"/>
      <c r="BJ110" s="205"/>
      <c r="BK110" s="205"/>
      <c r="BL110" s="205"/>
      <c r="BM110" s="205"/>
      <c r="BN110" s="205"/>
      <c r="BO110" s="205"/>
      <c r="BP110" s="205"/>
      <c r="BQ110" s="205"/>
      <c r="BR110" s="205"/>
      <c r="BS110" s="205"/>
      <c r="BT110" s="205"/>
    </row>
    <row r="111" spans="1:79" s="719" customFormat="1" ht="30" customHeight="1">
      <c r="A111" s="706" t="s">
        <v>1091</v>
      </c>
      <c r="B111" s="730" t="s">
        <v>1092</v>
      </c>
      <c r="C111" s="716">
        <f t="shared" si="91"/>
        <v>95</v>
      </c>
      <c r="D111" s="209">
        <v>2044</v>
      </c>
      <c r="E111" s="222" t="s">
        <v>997</v>
      </c>
      <c r="F111" s="705">
        <v>56160</v>
      </c>
      <c r="G111" s="705">
        <v>105000</v>
      </c>
      <c r="H111" s="705">
        <f t="shared" si="62"/>
        <v>-48840</v>
      </c>
      <c r="I111" s="705">
        <v>105000</v>
      </c>
      <c r="J111" s="705">
        <v>56160</v>
      </c>
      <c r="K111" s="705"/>
      <c r="L111" s="705"/>
      <c r="M111" s="705">
        <f t="shared" si="86"/>
        <v>0</v>
      </c>
      <c r="N111" s="705">
        <f t="shared" si="64"/>
        <v>56160</v>
      </c>
      <c r="O111" s="705"/>
      <c r="P111" s="705">
        <f t="shared" si="65"/>
        <v>0</v>
      </c>
      <c r="Q111" s="705">
        <f t="shared" si="66"/>
        <v>48840</v>
      </c>
      <c r="R111" s="705">
        <f t="shared" si="67"/>
        <v>-48840</v>
      </c>
      <c r="S111" s="705"/>
      <c r="T111" s="705">
        <f t="shared" si="68"/>
        <v>-48840</v>
      </c>
      <c r="U111" s="705">
        <f t="shared" si="69"/>
        <v>0</v>
      </c>
      <c r="V111" s="705"/>
      <c r="W111" s="705"/>
      <c r="X111" s="705"/>
      <c r="Y111" s="705">
        <v>-48840</v>
      </c>
      <c r="Z111" s="210" t="s">
        <v>1129</v>
      </c>
      <c r="AA111" s="705"/>
      <c r="AB111" s="705"/>
      <c r="AC111" s="705"/>
      <c r="AD111" s="705">
        <f t="shared" si="87"/>
        <v>0</v>
      </c>
      <c r="AE111" s="705">
        <f t="shared" si="88"/>
        <v>-48840</v>
      </c>
      <c r="AF111" s="705">
        <f t="shared" si="78"/>
        <v>-48840</v>
      </c>
      <c r="AG111" s="705">
        <f t="shared" si="71"/>
        <v>0</v>
      </c>
      <c r="AH111" s="705">
        <f t="shared" si="72"/>
        <v>0</v>
      </c>
      <c r="AI111" s="705"/>
      <c r="AJ111" s="705"/>
      <c r="AK111" s="705"/>
      <c r="AL111" s="708">
        <v>-48840</v>
      </c>
      <c r="AM111" s="713"/>
      <c r="AN111" s="705"/>
      <c r="AO111" s="705"/>
      <c r="AP111" s="705"/>
      <c r="AQ111" s="705"/>
      <c r="AR111" s="705"/>
      <c r="AS111" s="705">
        <v>-48840</v>
      </c>
      <c r="AT111" s="705">
        <f>AS111-AU111-AV111-AW111-AX111</f>
        <v>0</v>
      </c>
      <c r="AU111" s="705"/>
      <c r="AV111" s="705"/>
      <c r="AW111" s="705"/>
      <c r="AX111" s="705">
        <v>-48840</v>
      </c>
      <c r="AY111" s="718"/>
      <c r="AZ111" s="718"/>
      <c r="BA111" s="205"/>
      <c r="BC111" s="718"/>
      <c r="BD111" s="718"/>
      <c r="BE111" s="718"/>
      <c r="BF111" s="718"/>
      <c r="BG111" s="718"/>
      <c r="BI111" s="205"/>
      <c r="BJ111" s="205"/>
      <c r="BK111" s="205"/>
      <c r="BL111" s="205"/>
      <c r="BM111" s="205"/>
      <c r="BN111" s="205"/>
      <c r="BO111" s="205"/>
      <c r="BP111" s="205"/>
      <c r="BQ111" s="205"/>
      <c r="BR111" s="205"/>
      <c r="BS111" s="205"/>
      <c r="BT111" s="205"/>
    </row>
    <row r="112" spans="1:79" s="719" customFormat="1" ht="30" customHeight="1">
      <c r="A112" s="706" t="s">
        <v>1091</v>
      </c>
      <c r="B112" s="730" t="s">
        <v>1092</v>
      </c>
      <c r="C112" s="716">
        <f t="shared" si="91"/>
        <v>96</v>
      </c>
      <c r="D112" s="209">
        <v>2137</v>
      </c>
      <c r="E112" s="222" t="s">
        <v>1000</v>
      </c>
      <c r="F112" s="705">
        <v>49966</v>
      </c>
      <c r="G112" s="705">
        <v>50000</v>
      </c>
      <c r="H112" s="705">
        <f t="shared" si="62"/>
        <v>-34</v>
      </c>
      <c r="I112" s="705">
        <v>50000</v>
      </c>
      <c r="J112" s="705">
        <v>49966</v>
      </c>
      <c r="K112" s="705"/>
      <c r="L112" s="705"/>
      <c r="M112" s="705">
        <f t="shared" si="86"/>
        <v>0</v>
      </c>
      <c r="N112" s="705">
        <f t="shared" si="64"/>
        <v>49966</v>
      </c>
      <c r="O112" s="705"/>
      <c r="P112" s="705">
        <f t="shared" si="65"/>
        <v>0</v>
      </c>
      <c r="Q112" s="705">
        <f t="shared" si="66"/>
        <v>34</v>
      </c>
      <c r="R112" s="705">
        <f t="shared" si="67"/>
        <v>-34</v>
      </c>
      <c r="S112" s="705"/>
      <c r="T112" s="705">
        <f t="shared" si="68"/>
        <v>-34</v>
      </c>
      <c r="U112" s="705">
        <f t="shared" si="69"/>
        <v>0</v>
      </c>
      <c r="V112" s="705"/>
      <c r="W112" s="705"/>
      <c r="X112" s="705"/>
      <c r="Y112" s="705">
        <v>-34</v>
      </c>
      <c r="Z112" s="210" t="s">
        <v>1129</v>
      </c>
      <c r="AA112" s="705"/>
      <c r="AB112" s="705"/>
      <c r="AC112" s="705"/>
      <c r="AD112" s="705">
        <f t="shared" si="87"/>
        <v>0</v>
      </c>
      <c r="AE112" s="705">
        <f t="shared" si="88"/>
        <v>-34</v>
      </c>
      <c r="AF112" s="705">
        <f t="shared" si="78"/>
        <v>-34</v>
      </c>
      <c r="AG112" s="705">
        <f t="shared" si="71"/>
        <v>0</v>
      </c>
      <c r="AH112" s="705">
        <f t="shared" si="72"/>
        <v>0</v>
      </c>
      <c r="AI112" s="705"/>
      <c r="AJ112" s="705"/>
      <c r="AK112" s="705"/>
      <c r="AL112" s="708">
        <v>-34</v>
      </c>
      <c r="AM112" s="713"/>
      <c r="AN112" s="705"/>
      <c r="AO112" s="705"/>
      <c r="AP112" s="705"/>
      <c r="AQ112" s="705"/>
      <c r="AR112" s="705"/>
      <c r="AS112" s="705">
        <v>-34</v>
      </c>
      <c r="AT112" s="705">
        <f t="shared" si="89"/>
        <v>0</v>
      </c>
      <c r="AU112" s="705"/>
      <c r="AV112" s="705"/>
      <c r="AW112" s="705"/>
      <c r="AX112" s="705">
        <v>-34</v>
      </c>
      <c r="AY112" s="718"/>
      <c r="AZ112" s="718"/>
      <c r="BA112" s="205"/>
      <c r="BC112" s="718"/>
      <c r="BD112" s="718"/>
      <c r="BE112" s="718"/>
      <c r="BF112" s="718"/>
      <c r="BG112" s="718"/>
      <c r="BI112" s="205"/>
      <c r="BJ112" s="205"/>
      <c r="BK112" s="205"/>
      <c r="BL112" s="205"/>
      <c r="BM112" s="205"/>
      <c r="BN112" s="205"/>
      <c r="BO112" s="205"/>
      <c r="BP112" s="205"/>
      <c r="BQ112" s="205"/>
      <c r="BR112" s="205"/>
      <c r="BS112" s="205"/>
      <c r="BT112" s="205"/>
    </row>
    <row r="113" spans="1:79" s="719" customFormat="1" ht="30" customHeight="1">
      <c r="A113" s="706" t="s">
        <v>1091</v>
      </c>
      <c r="B113" s="730" t="s">
        <v>1092</v>
      </c>
      <c r="C113" s="716">
        <f t="shared" si="91"/>
        <v>97</v>
      </c>
      <c r="D113" s="209">
        <v>2226</v>
      </c>
      <c r="E113" s="222" t="s">
        <v>1006</v>
      </c>
      <c r="F113" s="705">
        <v>76577</v>
      </c>
      <c r="G113" s="705">
        <v>91304</v>
      </c>
      <c r="H113" s="705">
        <f t="shared" si="62"/>
        <v>-14727</v>
      </c>
      <c r="I113" s="705">
        <v>91304</v>
      </c>
      <c r="J113" s="705">
        <v>76577</v>
      </c>
      <c r="K113" s="705"/>
      <c r="L113" s="705"/>
      <c r="M113" s="705">
        <f t="shared" si="86"/>
        <v>0</v>
      </c>
      <c r="N113" s="705">
        <f t="shared" si="64"/>
        <v>76577</v>
      </c>
      <c r="O113" s="705"/>
      <c r="P113" s="705">
        <f t="shared" si="65"/>
        <v>0</v>
      </c>
      <c r="Q113" s="705">
        <f t="shared" si="66"/>
        <v>14727</v>
      </c>
      <c r="R113" s="705">
        <f t="shared" si="67"/>
        <v>-14727</v>
      </c>
      <c r="S113" s="705"/>
      <c r="T113" s="705">
        <f t="shared" si="68"/>
        <v>-14727</v>
      </c>
      <c r="U113" s="705">
        <f t="shared" si="69"/>
        <v>469</v>
      </c>
      <c r="V113" s="705"/>
      <c r="W113" s="705"/>
      <c r="X113" s="705"/>
      <c r="Y113" s="705">
        <v>-15196</v>
      </c>
      <c r="Z113" s="210" t="s">
        <v>1130</v>
      </c>
      <c r="AA113" s="705"/>
      <c r="AB113" s="705"/>
      <c r="AC113" s="705"/>
      <c r="AD113" s="705">
        <f t="shared" si="87"/>
        <v>0</v>
      </c>
      <c r="AE113" s="705">
        <f t="shared" si="88"/>
        <v>-14727</v>
      </c>
      <c r="AF113" s="705">
        <f t="shared" si="78"/>
        <v>-14727</v>
      </c>
      <c r="AG113" s="705">
        <f t="shared" si="71"/>
        <v>0</v>
      </c>
      <c r="AH113" s="705">
        <f t="shared" si="72"/>
        <v>469</v>
      </c>
      <c r="AI113" s="705"/>
      <c r="AJ113" s="705"/>
      <c r="AK113" s="705"/>
      <c r="AL113" s="708">
        <v>-15196</v>
      </c>
      <c r="AM113" s="713"/>
      <c r="AN113" s="705"/>
      <c r="AO113" s="705"/>
      <c r="AP113" s="705"/>
      <c r="AQ113" s="705"/>
      <c r="AR113" s="705"/>
      <c r="AS113" s="705">
        <v>-14727</v>
      </c>
      <c r="AT113" s="705">
        <f t="shared" si="89"/>
        <v>469</v>
      </c>
      <c r="AU113" s="705"/>
      <c r="AV113" s="705"/>
      <c r="AW113" s="705"/>
      <c r="AX113" s="705">
        <v>-15196</v>
      </c>
      <c r="AY113" s="718"/>
      <c r="AZ113" s="718"/>
      <c r="BA113" s="205"/>
      <c r="BC113" s="718"/>
      <c r="BD113" s="718"/>
      <c r="BE113" s="718"/>
      <c r="BF113" s="718"/>
      <c r="BG113" s="718"/>
      <c r="BI113" s="205"/>
      <c r="BJ113" s="205"/>
      <c r="BK113" s="205"/>
      <c r="BL113" s="205"/>
      <c r="BM113" s="205"/>
      <c r="BN113" s="205"/>
      <c r="BO113" s="205"/>
      <c r="BP113" s="205"/>
      <c r="BQ113" s="205"/>
      <c r="BR113" s="205"/>
      <c r="BS113" s="205"/>
      <c r="BT113" s="205"/>
    </row>
    <row r="114" spans="1:79" s="719" customFormat="1" ht="30" customHeight="1">
      <c r="A114" s="706" t="s">
        <v>1091</v>
      </c>
      <c r="B114" s="730" t="s">
        <v>1092</v>
      </c>
      <c r="C114" s="716">
        <f t="shared" si="91"/>
        <v>98</v>
      </c>
      <c r="D114" s="209">
        <v>20027</v>
      </c>
      <c r="E114" s="222" t="s">
        <v>1011</v>
      </c>
      <c r="F114" s="705">
        <v>62950</v>
      </c>
      <c r="G114" s="705">
        <v>82800</v>
      </c>
      <c r="H114" s="705">
        <f t="shared" si="62"/>
        <v>-19850</v>
      </c>
      <c r="I114" s="705">
        <v>82800</v>
      </c>
      <c r="J114" s="705">
        <v>62950</v>
      </c>
      <c r="K114" s="705"/>
      <c r="L114" s="705"/>
      <c r="M114" s="705">
        <f t="shared" ref="M114" si="92">SUM(K114:L114)</f>
        <v>0</v>
      </c>
      <c r="N114" s="705">
        <f t="shared" si="64"/>
        <v>62950</v>
      </c>
      <c r="O114" s="705"/>
      <c r="P114" s="705">
        <f t="shared" si="65"/>
        <v>0</v>
      </c>
      <c r="Q114" s="705">
        <f t="shared" si="66"/>
        <v>19850</v>
      </c>
      <c r="R114" s="705">
        <f t="shared" si="67"/>
        <v>-19850</v>
      </c>
      <c r="S114" s="705"/>
      <c r="T114" s="705">
        <f t="shared" si="68"/>
        <v>-19850</v>
      </c>
      <c r="U114" s="705">
        <f t="shared" si="69"/>
        <v>0</v>
      </c>
      <c r="V114" s="705"/>
      <c r="W114" s="705"/>
      <c r="X114" s="705"/>
      <c r="Y114" s="705">
        <v>-19850</v>
      </c>
      <c r="Z114" s="210" t="s">
        <v>1129</v>
      </c>
      <c r="AA114" s="705"/>
      <c r="AB114" s="705"/>
      <c r="AC114" s="705"/>
      <c r="AD114" s="705">
        <f t="shared" si="87"/>
        <v>0</v>
      </c>
      <c r="AE114" s="705">
        <f t="shared" si="88"/>
        <v>-19850</v>
      </c>
      <c r="AF114" s="705">
        <f t="shared" si="78"/>
        <v>-19850</v>
      </c>
      <c r="AG114" s="705">
        <f t="shared" si="71"/>
        <v>0</v>
      </c>
      <c r="AH114" s="705">
        <f t="shared" si="72"/>
        <v>0</v>
      </c>
      <c r="AI114" s="705"/>
      <c r="AJ114" s="705"/>
      <c r="AK114" s="705"/>
      <c r="AL114" s="708">
        <v>-19850</v>
      </c>
      <c r="AM114" s="713"/>
      <c r="AN114" s="705"/>
      <c r="AO114" s="705"/>
      <c r="AP114" s="705"/>
      <c r="AQ114" s="705"/>
      <c r="AR114" s="705"/>
      <c r="AS114" s="705">
        <v>-19850</v>
      </c>
      <c r="AT114" s="705">
        <f t="shared" si="89"/>
        <v>0</v>
      </c>
      <c r="AU114" s="705"/>
      <c r="AV114" s="705"/>
      <c r="AW114" s="705"/>
      <c r="AX114" s="705">
        <v>-19850</v>
      </c>
      <c r="AY114" s="718"/>
      <c r="AZ114" s="718"/>
      <c r="BA114" s="205"/>
      <c r="BC114" s="718"/>
      <c r="BD114" s="718"/>
      <c r="BE114" s="718"/>
      <c r="BF114" s="718"/>
      <c r="BG114" s="718"/>
      <c r="BI114" s="205"/>
      <c r="BJ114" s="205"/>
      <c r="BK114" s="205"/>
      <c r="BL114" s="205"/>
      <c r="BM114" s="205"/>
      <c r="BN114" s="205"/>
      <c r="BO114" s="205"/>
      <c r="BP114" s="205"/>
      <c r="BQ114" s="205"/>
      <c r="BR114" s="205"/>
      <c r="BS114" s="205"/>
      <c r="BT114" s="205"/>
    </row>
    <row r="115" spans="1:79" s="719" customFormat="1" ht="30" customHeight="1">
      <c r="A115" s="720"/>
      <c r="B115" s="732"/>
      <c r="C115" s="720">
        <f>COUNT(C83:C114)</f>
        <v>32</v>
      </c>
      <c r="D115" s="211"/>
      <c r="E115" s="129" t="s">
        <v>639</v>
      </c>
      <c r="F115" s="709">
        <f t="shared" ref="F115:Y115" si="93">SUM(F83:F114)</f>
        <v>376117337</v>
      </c>
      <c r="G115" s="709">
        <f t="shared" si="93"/>
        <v>366013058</v>
      </c>
      <c r="H115" s="709">
        <f t="shared" si="93"/>
        <v>10104279</v>
      </c>
      <c r="I115" s="709">
        <f t="shared" si="93"/>
        <v>222053058</v>
      </c>
      <c r="J115" s="709">
        <f t="shared" si="93"/>
        <v>198840725</v>
      </c>
      <c r="K115" s="709">
        <f t="shared" si="93"/>
        <v>0</v>
      </c>
      <c r="L115" s="709">
        <f t="shared" si="93"/>
        <v>0</v>
      </c>
      <c r="M115" s="709">
        <f t="shared" si="93"/>
        <v>0</v>
      </c>
      <c r="N115" s="709">
        <f t="shared" si="93"/>
        <v>198840725</v>
      </c>
      <c r="O115" s="709">
        <f t="shared" si="93"/>
        <v>48069019</v>
      </c>
      <c r="P115" s="709">
        <f t="shared" si="93"/>
        <v>129207593</v>
      </c>
      <c r="Q115" s="709">
        <f t="shared" si="93"/>
        <v>23212333</v>
      </c>
      <c r="R115" s="709">
        <f t="shared" si="93"/>
        <v>24856686</v>
      </c>
      <c r="S115" s="709">
        <f t="shared" si="93"/>
        <v>20141000</v>
      </c>
      <c r="T115" s="709">
        <f t="shared" si="93"/>
        <v>4715686</v>
      </c>
      <c r="U115" s="709">
        <f t="shared" si="93"/>
        <v>3983699</v>
      </c>
      <c r="V115" s="709">
        <f t="shared" si="93"/>
        <v>-470000</v>
      </c>
      <c r="W115" s="709">
        <f t="shared" si="93"/>
        <v>0</v>
      </c>
      <c r="X115" s="709">
        <f t="shared" si="93"/>
        <v>3200000</v>
      </c>
      <c r="Y115" s="709">
        <f t="shared" si="93"/>
        <v>-1998013</v>
      </c>
      <c r="Z115" s="709"/>
      <c r="AA115" s="709">
        <f t="shared" ref="AA115:AX115" si="94">SUM(AA83:AA114)</f>
        <v>3150000</v>
      </c>
      <c r="AB115" s="709">
        <f t="shared" si="94"/>
        <v>3860000</v>
      </c>
      <c r="AC115" s="709">
        <f t="shared" si="94"/>
        <v>1550000</v>
      </c>
      <c r="AD115" s="709">
        <f t="shared" si="94"/>
        <v>1365907</v>
      </c>
      <c r="AE115" s="709">
        <f t="shared" si="94"/>
        <v>1829279</v>
      </c>
      <c r="AF115" s="709">
        <f t="shared" si="94"/>
        <v>11755186</v>
      </c>
      <c r="AG115" s="709">
        <f t="shared" si="94"/>
        <v>-7039500</v>
      </c>
      <c r="AH115" s="709">
        <f t="shared" si="94"/>
        <v>7573699</v>
      </c>
      <c r="AI115" s="709">
        <f t="shared" si="94"/>
        <v>2979500</v>
      </c>
      <c r="AJ115" s="709">
        <f t="shared" si="94"/>
        <v>0</v>
      </c>
      <c r="AK115" s="709">
        <f t="shared" si="94"/>
        <v>3200000</v>
      </c>
      <c r="AL115" s="714">
        <f t="shared" si="94"/>
        <v>-1998013</v>
      </c>
      <c r="AM115" s="739">
        <f t="shared" si="94"/>
        <v>129500</v>
      </c>
      <c r="AN115" s="709">
        <f t="shared" si="94"/>
        <v>0</v>
      </c>
      <c r="AO115" s="709">
        <f t="shared" si="94"/>
        <v>129500</v>
      </c>
      <c r="AP115" s="709">
        <f t="shared" si="94"/>
        <v>0</v>
      </c>
      <c r="AQ115" s="709">
        <f t="shared" si="94"/>
        <v>0</v>
      </c>
      <c r="AR115" s="709">
        <f t="shared" si="94"/>
        <v>0</v>
      </c>
      <c r="AS115" s="709">
        <f t="shared" si="94"/>
        <v>69279</v>
      </c>
      <c r="AT115" s="709">
        <f t="shared" si="94"/>
        <v>153199</v>
      </c>
      <c r="AU115" s="709">
        <f t="shared" si="94"/>
        <v>0</v>
      </c>
      <c r="AV115" s="709">
        <f t="shared" si="94"/>
        <v>0</v>
      </c>
      <c r="AW115" s="709">
        <f t="shared" si="94"/>
        <v>0</v>
      </c>
      <c r="AX115" s="709">
        <f t="shared" si="94"/>
        <v>-83920</v>
      </c>
      <c r="AY115" s="717"/>
      <c r="AZ115" s="718"/>
      <c r="BA115" s="718"/>
      <c r="BB115" s="718"/>
      <c r="BC115" s="718"/>
      <c r="BD115" s="718"/>
      <c r="BE115" s="718"/>
      <c r="BF115" s="718"/>
      <c r="BG115" s="718"/>
      <c r="BH115" s="718"/>
      <c r="BI115" s="718"/>
      <c r="BJ115" s="718"/>
      <c r="BK115" s="718"/>
      <c r="BL115" s="718"/>
      <c r="BM115" s="205"/>
      <c r="BP115" s="205"/>
      <c r="BQ115" s="205"/>
      <c r="BR115" s="205"/>
      <c r="BS115" s="205"/>
      <c r="BT115" s="205"/>
      <c r="BU115" s="205"/>
      <c r="BV115" s="205"/>
      <c r="BW115" s="205"/>
      <c r="BX115" s="205"/>
      <c r="BY115" s="205"/>
      <c r="BZ115" s="205"/>
      <c r="CA115" s="205"/>
    </row>
    <row r="116" spans="1:79" s="719" customFormat="1" ht="30" hidden="1" customHeight="1">
      <c r="A116" s="720"/>
      <c r="B116" s="732"/>
      <c r="C116" s="720"/>
      <c r="D116" s="211"/>
      <c r="E116" s="129"/>
      <c r="F116" s="709"/>
      <c r="G116" s="709"/>
      <c r="H116" s="709"/>
      <c r="I116" s="709"/>
      <c r="J116" s="709"/>
      <c r="K116" s="709"/>
      <c r="L116" s="709"/>
      <c r="M116" s="709"/>
      <c r="N116" s="709"/>
      <c r="O116" s="709"/>
      <c r="P116" s="709"/>
      <c r="Q116" s="709"/>
      <c r="R116" s="709"/>
      <c r="S116" s="709"/>
      <c r="T116" s="709"/>
      <c r="U116" s="709"/>
      <c r="V116" s="709"/>
      <c r="W116" s="709"/>
      <c r="X116" s="709"/>
      <c r="Y116" s="709"/>
      <c r="Z116" s="130"/>
      <c r="AA116" s="709"/>
      <c r="AB116" s="709"/>
      <c r="AC116" s="709"/>
      <c r="AD116" s="709"/>
      <c r="AE116" s="715">
        <f>AE115-AE111-AE112-AE113-AE114-AE105</f>
        <v>2260000</v>
      </c>
      <c r="AF116" s="709">
        <f>AG97+AG96+AG94+AG92+AG88</f>
        <v>0</v>
      </c>
      <c r="AG116" s="709"/>
      <c r="AH116" s="709"/>
      <c r="AI116" s="709"/>
      <c r="AJ116" s="709"/>
      <c r="AK116" s="709"/>
      <c r="AL116" s="714"/>
      <c r="AM116" s="743"/>
      <c r="AN116" s="715"/>
      <c r="AO116" s="715"/>
      <c r="AP116" s="715"/>
      <c r="AQ116" s="715"/>
      <c r="AR116" s="715"/>
      <c r="AS116" s="715"/>
      <c r="AT116" s="715"/>
      <c r="AU116" s="715"/>
      <c r="AV116" s="715"/>
      <c r="AW116" s="715"/>
      <c r="AX116" s="715"/>
      <c r="AY116" s="717"/>
      <c r="AZ116" s="718"/>
      <c r="BA116" s="718"/>
      <c r="BB116" s="718"/>
      <c r="BC116" s="718"/>
      <c r="BD116" s="718"/>
      <c r="BE116" s="718"/>
      <c r="BF116" s="718"/>
      <c r="BG116" s="718"/>
      <c r="BH116" s="718"/>
      <c r="BI116" s="718"/>
      <c r="BJ116" s="718"/>
      <c r="BK116" s="718"/>
      <c r="BL116" s="718"/>
      <c r="BM116" s="205"/>
      <c r="BP116" s="205"/>
      <c r="BQ116" s="205"/>
      <c r="BR116" s="205"/>
      <c r="BS116" s="205"/>
      <c r="BT116" s="205"/>
      <c r="BU116" s="205"/>
      <c r="BV116" s="205"/>
      <c r="BW116" s="205"/>
      <c r="BX116" s="205"/>
      <c r="BY116" s="205"/>
      <c r="BZ116" s="205"/>
      <c r="CA116" s="205"/>
    </row>
    <row r="117" spans="1:79" s="719" customFormat="1" ht="20.100000000000001" customHeight="1">
      <c r="A117" s="720"/>
      <c r="B117" s="732"/>
      <c r="C117" s="720"/>
      <c r="D117" s="211"/>
      <c r="E117" s="129"/>
      <c r="F117" s="709"/>
      <c r="G117" s="709"/>
      <c r="H117" s="709"/>
      <c r="I117" s="709"/>
      <c r="J117" s="709"/>
      <c r="K117" s="709"/>
      <c r="L117" s="709"/>
      <c r="M117" s="709"/>
      <c r="N117" s="709"/>
      <c r="O117" s="709"/>
      <c r="P117" s="709"/>
      <c r="Q117" s="709"/>
      <c r="R117" s="709"/>
      <c r="S117" s="709"/>
      <c r="T117" s="709"/>
      <c r="U117" s="709"/>
      <c r="V117" s="709"/>
      <c r="W117" s="709"/>
      <c r="X117" s="709"/>
      <c r="Y117" s="709"/>
      <c r="Z117" s="130"/>
      <c r="AA117" s="709"/>
      <c r="AB117" s="709"/>
      <c r="AC117" s="709"/>
      <c r="AD117" s="709"/>
      <c r="AE117" s="715"/>
      <c r="AF117" s="709"/>
      <c r="AG117" s="709"/>
      <c r="AH117" s="709"/>
      <c r="AI117" s="709"/>
      <c r="AJ117" s="709"/>
      <c r="AK117" s="709"/>
      <c r="AL117" s="714"/>
      <c r="AM117" s="743"/>
      <c r="AN117" s="715"/>
      <c r="AO117" s="715"/>
      <c r="AP117" s="715"/>
      <c r="AQ117" s="715"/>
      <c r="AR117" s="715"/>
      <c r="AS117" s="715"/>
      <c r="AT117" s="715"/>
      <c r="AU117" s="715"/>
      <c r="AV117" s="715"/>
      <c r="AW117" s="715"/>
      <c r="AX117" s="715"/>
      <c r="AY117" s="717"/>
      <c r="AZ117" s="718"/>
      <c r="BA117" s="718"/>
      <c r="BB117" s="718"/>
      <c r="BC117" s="718"/>
      <c r="BD117" s="718"/>
      <c r="BE117" s="718"/>
      <c r="BF117" s="718"/>
      <c r="BG117" s="718"/>
      <c r="BH117" s="718"/>
      <c r="BI117" s="718"/>
      <c r="BJ117" s="718"/>
      <c r="BK117" s="718"/>
      <c r="BL117" s="718"/>
      <c r="BM117" s="205"/>
      <c r="BP117" s="205"/>
      <c r="BQ117" s="205"/>
      <c r="BR117" s="205"/>
      <c r="BS117" s="205"/>
      <c r="BT117" s="205"/>
      <c r="BU117" s="205"/>
      <c r="BV117" s="205"/>
      <c r="BW117" s="205"/>
      <c r="BX117" s="205"/>
      <c r="BY117" s="205"/>
      <c r="BZ117" s="205"/>
      <c r="CA117" s="205"/>
    </row>
    <row r="118" spans="1:79" s="719" customFormat="1" ht="30" customHeight="1">
      <c r="A118" s="716"/>
      <c r="B118" s="731"/>
      <c r="C118" s="716"/>
      <c r="D118" s="209"/>
      <c r="E118" s="129" t="s">
        <v>489</v>
      </c>
      <c r="F118" s="705"/>
      <c r="G118" s="705"/>
      <c r="H118" s="705"/>
      <c r="I118" s="705"/>
      <c r="J118" s="705"/>
      <c r="K118" s="705"/>
      <c r="L118" s="705"/>
      <c r="M118" s="705"/>
      <c r="N118" s="705"/>
      <c r="O118" s="705"/>
      <c r="P118" s="705"/>
      <c r="Q118" s="705"/>
      <c r="R118" s="705"/>
      <c r="S118" s="705"/>
      <c r="T118" s="705"/>
      <c r="U118" s="705"/>
      <c r="V118" s="705"/>
      <c r="W118" s="705"/>
      <c r="X118" s="705"/>
      <c r="Y118" s="209"/>
      <c r="Z118" s="127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746"/>
      <c r="AM118" s="738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717"/>
      <c r="AZ118" s="718"/>
      <c r="BA118" s="718"/>
      <c r="BB118" s="718"/>
      <c r="BC118" s="718"/>
      <c r="BD118" s="718"/>
      <c r="BE118" s="718"/>
      <c r="BF118" s="718"/>
      <c r="BG118" s="718"/>
      <c r="BH118" s="718"/>
      <c r="BI118" s="718"/>
      <c r="BJ118" s="718"/>
      <c r="BK118" s="718"/>
      <c r="BL118" s="718"/>
      <c r="BM118" s="205"/>
      <c r="BP118" s="205"/>
      <c r="BQ118" s="205"/>
      <c r="BR118" s="205"/>
      <c r="BS118" s="205"/>
      <c r="BT118" s="205"/>
      <c r="BU118" s="205"/>
      <c r="BV118" s="205"/>
      <c r="BW118" s="205"/>
      <c r="BX118" s="205"/>
      <c r="BY118" s="205"/>
      <c r="BZ118" s="205"/>
      <c r="CA118" s="205"/>
    </row>
    <row r="119" spans="1:79" s="719" customFormat="1" ht="30" customHeight="1">
      <c r="A119" s="706" t="s">
        <v>1100</v>
      </c>
      <c r="B119" s="730" t="s">
        <v>1101</v>
      </c>
      <c r="C119" s="716">
        <f>C114+1</f>
        <v>99</v>
      </c>
      <c r="D119" s="209">
        <v>1776</v>
      </c>
      <c r="E119" s="222" t="s">
        <v>44</v>
      </c>
      <c r="F119" s="705">
        <v>4997000</v>
      </c>
      <c r="G119" s="705">
        <v>4997000</v>
      </c>
      <c r="H119" s="705">
        <f>F119-G119</f>
        <v>0</v>
      </c>
      <c r="I119" s="705">
        <v>3297000</v>
      </c>
      <c r="J119" s="705">
        <v>3088072</v>
      </c>
      <c r="K119" s="705"/>
      <c r="L119" s="705"/>
      <c r="M119" s="705">
        <f>SUM(K119:L119)</f>
        <v>0</v>
      </c>
      <c r="N119" s="705">
        <f>M119+J119</f>
        <v>3088072</v>
      </c>
      <c r="O119" s="705">
        <f>700000+600000+208928</f>
        <v>1508928</v>
      </c>
      <c r="P119" s="705">
        <f>F119-N119-O119</f>
        <v>400000</v>
      </c>
      <c r="Q119" s="705">
        <f>I119-N119</f>
        <v>208928</v>
      </c>
      <c r="R119" s="705">
        <f>O119-Q119</f>
        <v>1300000</v>
      </c>
      <c r="S119" s="705">
        <v>700000</v>
      </c>
      <c r="T119" s="705">
        <f>R119-S119</f>
        <v>600000</v>
      </c>
      <c r="U119" s="711"/>
      <c r="V119" s="705">
        <v>600000</v>
      </c>
      <c r="W119" s="705"/>
      <c r="X119" s="705"/>
      <c r="Y119" s="705"/>
      <c r="Z119" s="210" t="s">
        <v>1116</v>
      </c>
      <c r="AA119" s="705"/>
      <c r="AB119" s="705"/>
      <c r="AC119" s="705">
        <v>600000</v>
      </c>
      <c r="AD119" s="705"/>
      <c r="AE119" s="705"/>
      <c r="AF119" s="705">
        <f>SUM(AA119:AE119)</f>
        <v>600000</v>
      </c>
      <c r="AG119" s="705">
        <f>T119-AF119</f>
        <v>0</v>
      </c>
      <c r="AH119" s="705">
        <f t="shared" ref="AH119" si="95">AF119-AI119-AJ119-AK119-AL119</f>
        <v>0</v>
      </c>
      <c r="AI119" s="705">
        <v>600000</v>
      </c>
      <c r="AJ119" s="705"/>
      <c r="AK119" s="705"/>
      <c r="AL119" s="708"/>
      <c r="AM119" s="713"/>
      <c r="AN119" s="705"/>
      <c r="AO119" s="705"/>
      <c r="AP119" s="705"/>
      <c r="AQ119" s="705"/>
      <c r="AR119" s="705"/>
      <c r="AS119" s="705"/>
      <c r="AT119" s="705"/>
      <c r="AU119" s="705"/>
      <c r="AV119" s="705"/>
      <c r="AW119" s="705"/>
      <c r="AX119" s="705"/>
      <c r="AY119" s="717"/>
      <c r="AZ119" s="718"/>
      <c r="BA119" s="718"/>
      <c r="BB119" s="718"/>
      <c r="BC119" s="718"/>
      <c r="BD119" s="718"/>
      <c r="BE119" s="718"/>
      <c r="BF119" s="718"/>
      <c r="BG119" s="718"/>
      <c r="BH119" s="718"/>
      <c r="BI119" s="718"/>
      <c r="BJ119" s="718"/>
      <c r="BK119" s="718"/>
      <c r="BL119" s="718"/>
      <c r="BM119" s="205"/>
      <c r="BP119" s="205"/>
      <c r="BQ119" s="205"/>
      <c r="BR119" s="205"/>
      <c r="BS119" s="205"/>
      <c r="BT119" s="205"/>
      <c r="BU119" s="205"/>
      <c r="BV119" s="205"/>
      <c r="BW119" s="205"/>
      <c r="BX119" s="205"/>
      <c r="BY119" s="205"/>
      <c r="BZ119" s="205"/>
      <c r="CA119" s="205"/>
    </row>
    <row r="120" spans="1:79" s="719" customFormat="1" ht="30" customHeight="1">
      <c r="A120" s="720"/>
      <c r="B120" s="732"/>
      <c r="C120" s="720">
        <f>COUNT(C119)</f>
        <v>1</v>
      </c>
      <c r="D120" s="211"/>
      <c r="E120" s="129" t="s">
        <v>491</v>
      </c>
      <c r="F120" s="709">
        <f>SUM(F119)</f>
        <v>4997000</v>
      </c>
      <c r="G120" s="709">
        <f t="shared" ref="G120:AX120" si="96">SUM(G119)</f>
        <v>4997000</v>
      </c>
      <c r="H120" s="709">
        <f t="shared" si="96"/>
        <v>0</v>
      </c>
      <c r="I120" s="709">
        <f t="shared" si="96"/>
        <v>3297000</v>
      </c>
      <c r="J120" s="709">
        <f t="shared" si="96"/>
        <v>3088072</v>
      </c>
      <c r="K120" s="709">
        <f t="shared" si="96"/>
        <v>0</v>
      </c>
      <c r="L120" s="709">
        <f t="shared" si="96"/>
        <v>0</v>
      </c>
      <c r="M120" s="709">
        <f t="shared" si="96"/>
        <v>0</v>
      </c>
      <c r="N120" s="709">
        <f t="shared" si="96"/>
        <v>3088072</v>
      </c>
      <c r="O120" s="709">
        <f t="shared" si="96"/>
        <v>1508928</v>
      </c>
      <c r="P120" s="709">
        <f t="shared" si="96"/>
        <v>400000</v>
      </c>
      <c r="Q120" s="709">
        <f t="shared" si="96"/>
        <v>208928</v>
      </c>
      <c r="R120" s="709">
        <f t="shared" si="96"/>
        <v>1300000</v>
      </c>
      <c r="S120" s="709">
        <f t="shared" si="96"/>
        <v>700000</v>
      </c>
      <c r="T120" s="709">
        <f t="shared" si="96"/>
        <v>600000</v>
      </c>
      <c r="U120" s="709">
        <f t="shared" si="96"/>
        <v>0</v>
      </c>
      <c r="V120" s="709">
        <f t="shared" si="96"/>
        <v>600000</v>
      </c>
      <c r="W120" s="709">
        <f t="shared" si="96"/>
        <v>0</v>
      </c>
      <c r="X120" s="709">
        <f t="shared" si="96"/>
        <v>0</v>
      </c>
      <c r="Y120" s="709">
        <f t="shared" si="96"/>
        <v>0</v>
      </c>
      <c r="Z120" s="709"/>
      <c r="AA120" s="709">
        <f t="shared" si="96"/>
        <v>0</v>
      </c>
      <c r="AB120" s="709">
        <f t="shared" si="96"/>
        <v>0</v>
      </c>
      <c r="AC120" s="709">
        <f t="shared" si="96"/>
        <v>600000</v>
      </c>
      <c r="AD120" s="709">
        <f t="shared" si="96"/>
        <v>0</v>
      </c>
      <c r="AE120" s="709">
        <f t="shared" si="96"/>
        <v>0</v>
      </c>
      <c r="AF120" s="709">
        <f t="shared" si="96"/>
        <v>600000</v>
      </c>
      <c r="AG120" s="709">
        <f t="shared" si="96"/>
        <v>0</v>
      </c>
      <c r="AH120" s="709">
        <f t="shared" si="96"/>
        <v>0</v>
      </c>
      <c r="AI120" s="709">
        <f t="shared" si="96"/>
        <v>600000</v>
      </c>
      <c r="AJ120" s="709">
        <f t="shared" si="96"/>
        <v>0</v>
      </c>
      <c r="AK120" s="709">
        <f t="shared" si="96"/>
        <v>0</v>
      </c>
      <c r="AL120" s="714">
        <f t="shared" si="96"/>
        <v>0</v>
      </c>
      <c r="AM120" s="742">
        <f t="shared" si="96"/>
        <v>0</v>
      </c>
      <c r="AN120" s="714">
        <f t="shared" si="96"/>
        <v>0</v>
      </c>
      <c r="AO120" s="714">
        <f t="shared" si="96"/>
        <v>0</v>
      </c>
      <c r="AP120" s="714">
        <f t="shared" si="96"/>
        <v>0</v>
      </c>
      <c r="AQ120" s="714">
        <f t="shared" si="96"/>
        <v>0</v>
      </c>
      <c r="AR120" s="714">
        <f t="shared" si="96"/>
        <v>0</v>
      </c>
      <c r="AS120" s="714">
        <f t="shared" si="96"/>
        <v>0</v>
      </c>
      <c r="AT120" s="714">
        <f t="shared" si="96"/>
        <v>0</v>
      </c>
      <c r="AU120" s="714">
        <f t="shared" si="96"/>
        <v>0</v>
      </c>
      <c r="AV120" s="714">
        <f t="shared" si="96"/>
        <v>0</v>
      </c>
      <c r="AW120" s="714">
        <f t="shared" si="96"/>
        <v>0</v>
      </c>
      <c r="AX120" s="714">
        <f t="shared" si="96"/>
        <v>0</v>
      </c>
      <c r="AY120" s="717"/>
      <c r="AZ120" s="718"/>
      <c r="BA120" s="718"/>
      <c r="BB120" s="718"/>
      <c r="BC120" s="718"/>
      <c r="BD120" s="718"/>
      <c r="BE120" s="718"/>
      <c r="BF120" s="718"/>
      <c r="BG120" s="718"/>
      <c r="BH120" s="718"/>
      <c r="BI120" s="718"/>
      <c r="BJ120" s="718"/>
      <c r="BK120" s="718"/>
      <c r="BL120" s="718"/>
      <c r="BM120" s="205"/>
      <c r="BP120" s="205"/>
      <c r="BQ120" s="205"/>
      <c r="BR120" s="205"/>
      <c r="BS120" s="205"/>
      <c r="BT120" s="205"/>
      <c r="BU120" s="205"/>
      <c r="BV120" s="205"/>
      <c r="BW120" s="205"/>
      <c r="BX120" s="205"/>
      <c r="BY120" s="205"/>
      <c r="BZ120" s="205"/>
      <c r="CA120" s="205"/>
    </row>
    <row r="121" spans="1:79" s="719" customFormat="1" ht="20.100000000000001" customHeight="1">
      <c r="A121" s="720"/>
      <c r="B121" s="732"/>
      <c r="C121" s="720"/>
      <c r="D121" s="211"/>
      <c r="E121" s="129"/>
      <c r="F121" s="709"/>
      <c r="G121" s="709"/>
      <c r="H121" s="709"/>
      <c r="I121" s="709"/>
      <c r="J121" s="709"/>
      <c r="K121" s="709"/>
      <c r="L121" s="709"/>
      <c r="M121" s="709"/>
      <c r="N121" s="709"/>
      <c r="O121" s="709"/>
      <c r="P121" s="709"/>
      <c r="Q121" s="709"/>
      <c r="R121" s="709"/>
      <c r="S121" s="709"/>
      <c r="T121" s="709"/>
      <c r="U121" s="709"/>
      <c r="V121" s="709"/>
      <c r="W121" s="709"/>
      <c r="X121" s="709"/>
      <c r="Y121" s="709"/>
      <c r="Z121" s="130"/>
      <c r="AA121" s="709"/>
      <c r="AB121" s="709"/>
      <c r="AC121" s="709"/>
      <c r="AD121" s="709"/>
      <c r="AE121" s="709"/>
      <c r="AF121" s="709"/>
      <c r="AG121" s="709"/>
      <c r="AH121" s="709"/>
      <c r="AI121" s="709"/>
      <c r="AJ121" s="709"/>
      <c r="AK121" s="709"/>
      <c r="AL121" s="714"/>
      <c r="AM121" s="739"/>
      <c r="AN121" s="709"/>
      <c r="AO121" s="709"/>
      <c r="AP121" s="709"/>
      <c r="AQ121" s="709"/>
      <c r="AR121" s="709"/>
      <c r="AS121" s="709"/>
      <c r="AT121" s="709"/>
      <c r="AU121" s="709"/>
      <c r="AV121" s="709"/>
      <c r="AW121" s="709"/>
      <c r="AX121" s="709"/>
      <c r="AY121" s="717"/>
      <c r="AZ121" s="718"/>
      <c r="BA121" s="718"/>
      <c r="BB121" s="718"/>
      <c r="BC121" s="718"/>
      <c r="BD121" s="718"/>
      <c r="BE121" s="718"/>
      <c r="BF121" s="718"/>
      <c r="BG121" s="718"/>
      <c r="BH121" s="718"/>
      <c r="BI121" s="718"/>
      <c r="BJ121" s="718"/>
      <c r="BK121" s="718"/>
      <c r="BL121" s="718"/>
      <c r="BM121" s="205"/>
      <c r="BP121" s="205"/>
      <c r="BQ121" s="205"/>
      <c r="BR121" s="205"/>
      <c r="BS121" s="205"/>
      <c r="BT121" s="205"/>
      <c r="BU121" s="205"/>
      <c r="BV121" s="205"/>
      <c r="BW121" s="205"/>
      <c r="BX121" s="205"/>
      <c r="BY121" s="205"/>
      <c r="BZ121" s="205"/>
      <c r="CA121" s="205"/>
    </row>
    <row r="122" spans="1:79" s="719" customFormat="1" ht="30" customHeight="1">
      <c r="A122" s="716"/>
      <c r="B122" s="731"/>
      <c r="C122" s="716"/>
      <c r="D122" s="209"/>
      <c r="E122" s="129" t="s">
        <v>625</v>
      </c>
      <c r="F122" s="705"/>
      <c r="G122" s="705"/>
      <c r="H122" s="705"/>
      <c r="I122" s="705"/>
      <c r="J122" s="705"/>
      <c r="K122" s="705"/>
      <c r="L122" s="705"/>
      <c r="M122" s="705"/>
      <c r="N122" s="705"/>
      <c r="O122" s="705"/>
      <c r="P122" s="705"/>
      <c r="Q122" s="705"/>
      <c r="R122" s="705"/>
      <c r="S122" s="705"/>
      <c r="T122" s="705"/>
      <c r="U122" s="705"/>
      <c r="V122" s="705"/>
      <c r="W122" s="705"/>
      <c r="X122" s="705"/>
      <c r="Y122" s="209"/>
      <c r="Z122" s="127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746"/>
      <c r="AM122" s="738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717"/>
      <c r="AZ122" s="718"/>
      <c r="BA122" s="718"/>
      <c r="BB122" s="718"/>
      <c r="BC122" s="718"/>
      <c r="BD122" s="718"/>
      <c r="BE122" s="718"/>
      <c r="BF122" s="718"/>
      <c r="BG122" s="718"/>
      <c r="BH122" s="718"/>
      <c r="BI122" s="718"/>
      <c r="BJ122" s="718"/>
      <c r="BK122" s="718"/>
      <c r="BL122" s="718"/>
      <c r="BM122" s="205"/>
      <c r="BP122" s="205"/>
      <c r="BQ122" s="205"/>
      <c r="BR122" s="205"/>
      <c r="BS122" s="205"/>
      <c r="BT122" s="205"/>
      <c r="BU122" s="205"/>
      <c r="BV122" s="205"/>
      <c r="BW122" s="205"/>
      <c r="BX122" s="205"/>
      <c r="BY122" s="205"/>
      <c r="BZ122" s="205"/>
      <c r="CA122" s="205"/>
    </row>
    <row r="123" spans="1:79" s="719" customFormat="1" ht="20.100000000000001" customHeight="1">
      <c r="A123" s="706"/>
      <c r="B123" s="730"/>
      <c r="C123" s="716"/>
      <c r="D123" s="209"/>
      <c r="E123" s="222"/>
      <c r="F123" s="705"/>
      <c r="G123" s="705"/>
      <c r="H123" s="705">
        <f>F123-G123</f>
        <v>0</v>
      </c>
      <c r="I123" s="705"/>
      <c r="J123" s="705"/>
      <c r="K123" s="705"/>
      <c r="L123" s="705"/>
      <c r="M123" s="705">
        <f>SUM(K123:L123)</f>
        <v>0</v>
      </c>
      <c r="N123" s="705">
        <f>M123+J123</f>
        <v>0</v>
      </c>
      <c r="O123" s="705"/>
      <c r="P123" s="705">
        <f>F123-N123-O123</f>
        <v>0</v>
      </c>
      <c r="Q123" s="705">
        <f>I123-N123</f>
        <v>0</v>
      </c>
      <c r="R123" s="705">
        <f>O123-Q123</f>
        <v>0</v>
      </c>
      <c r="S123" s="705"/>
      <c r="T123" s="705">
        <f>R123-S123</f>
        <v>0</v>
      </c>
      <c r="U123" s="705">
        <f>T123-X123-Y123-V123-W123</f>
        <v>0</v>
      </c>
      <c r="V123" s="705"/>
      <c r="W123" s="705"/>
      <c r="X123" s="705"/>
      <c r="Y123" s="705"/>
      <c r="Z123" s="210"/>
      <c r="AA123" s="705"/>
      <c r="AB123" s="705"/>
      <c r="AC123" s="705"/>
      <c r="AD123" s="705"/>
      <c r="AE123" s="705"/>
      <c r="AF123" s="705">
        <f>SUM(AA123:AE123)</f>
        <v>0</v>
      </c>
      <c r="AG123" s="705">
        <f>T123-AF123</f>
        <v>0</v>
      </c>
      <c r="AH123" s="705">
        <f>AA123-AI123-AJ123-AK123-AL123</f>
        <v>0</v>
      </c>
      <c r="AI123" s="705"/>
      <c r="AJ123" s="705"/>
      <c r="AK123" s="705"/>
      <c r="AL123" s="708"/>
      <c r="AM123" s="713"/>
      <c r="AN123" s="705"/>
      <c r="AO123" s="705"/>
      <c r="AP123" s="705"/>
      <c r="AQ123" s="705"/>
      <c r="AR123" s="705"/>
      <c r="AS123" s="705"/>
      <c r="AT123" s="705"/>
      <c r="AU123" s="705"/>
      <c r="AV123" s="705"/>
      <c r="AW123" s="705"/>
      <c r="AX123" s="705"/>
      <c r="AY123" s="717"/>
      <c r="AZ123" s="718"/>
      <c r="BA123" s="718"/>
      <c r="BB123" s="718"/>
      <c r="BC123" s="718"/>
      <c r="BD123" s="718"/>
      <c r="BE123" s="718"/>
      <c r="BF123" s="718"/>
      <c r="BG123" s="718"/>
      <c r="BH123" s="718"/>
      <c r="BI123" s="718"/>
      <c r="BJ123" s="718"/>
      <c r="BK123" s="718"/>
      <c r="BL123" s="718"/>
      <c r="BM123" s="205"/>
      <c r="BP123" s="205"/>
      <c r="BQ123" s="205"/>
      <c r="BR123" s="205"/>
      <c r="BS123" s="205"/>
      <c r="BT123" s="205"/>
      <c r="BU123" s="205"/>
      <c r="BV123" s="205"/>
      <c r="BW123" s="205"/>
      <c r="BX123" s="205"/>
      <c r="BY123" s="205"/>
      <c r="BZ123" s="205"/>
      <c r="CA123" s="205"/>
    </row>
    <row r="124" spans="1:79" s="719" customFormat="1" ht="30" customHeight="1">
      <c r="A124" s="706" t="s">
        <v>1076</v>
      </c>
      <c r="B124" s="730" t="s">
        <v>1077</v>
      </c>
      <c r="C124" s="716">
        <f>C119+1</f>
        <v>100</v>
      </c>
      <c r="D124" s="209">
        <v>20124</v>
      </c>
      <c r="E124" s="222" t="s">
        <v>627</v>
      </c>
      <c r="F124" s="705">
        <v>5560000</v>
      </c>
      <c r="G124" s="705">
        <v>5560000</v>
      </c>
      <c r="H124" s="705">
        <f>F124-G124</f>
        <v>0</v>
      </c>
      <c r="I124" s="705"/>
      <c r="J124" s="705"/>
      <c r="K124" s="705"/>
      <c r="L124" s="705"/>
      <c r="M124" s="705">
        <f>SUM(K124:L124)</f>
        <v>0</v>
      </c>
      <c r="N124" s="705">
        <f>M124+J124</f>
        <v>0</v>
      </c>
      <c r="O124" s="705"/>
      <c r="P124" s="705">
        <f>F124-N124-O124</f>
        <v>5560000</v>
      </c>
      <c r="Q124" s="705">
        <f>I124-N124</f>
        <v>0</v>
      </c>
      <c r="R124" s="705">
        <f>O124-Q124</f>
        <v>0</v>
      </c>
      <c r="S124" s="705">
        <v>3000000</v>
      </c>
      <c r="T124" s="705">
        <f>R124-S124</f>
        <v>-3000000</v>
      </c>
      <c r="U124" s="705">
        <f>T124-X124-Y124-V124-W124</f>
        <v>-3000000</v>
      </c>
      <c r="V124" s="705"/>
      <c r="W124" s="705"/>
      <c r="X124" s="705"/>
      <c r="Y124" s="705"/>
      <c r="Z124" s="210" t="s">
        <v>1084</v>
      </c>
      <c r="AA124" s="705"/>
      <c r="AB124" s="705"/>
      <c r="AC124" s="705"/>
      <c r="AD124" s="705">
        <f>SUM(Z124:AB124)</f>
        <v>0</v>
      </c>
      <c r="AE124" s="705">
        <f>SUM(AA124:AC124)</f>
        <v>0</v>
      </c>
      <c r="AF124" s="705">
        <f>SUM(AA124:AE124)</f>
        <v>0</v>
      </c>
      <c r="AG124" s="705">
        <f>T124-AF124</f>
        <v>-3000000</v>
      </c>
      <c r="AH124" s="705"/>
      <c r="AI124" s="705"/>
      <c r="AJ124" s="705"/>
      <c r="AK124" s="705"/>
      <c r="AL124" s="747"/>
      <c r="AM124" s="713"/>
      <c r="AN124" s="705"/>
      <c r="AO124" s="705"/>
      <c r="AP124" s="705"/>
      <c r="AQ124" s="705"/>
      <c r="AR124" s="705"/>
      <c r="AS124" s="705"/>
      <c r="AT124" s="705"/>
      <c r="AU124" s="705"/>
      <c r="AV124" s="705"/>
      <c r="AW124" s="705"/>
      <c r="AX124" s="705"/>
      <c r="AY124" s="718"/>
      <c r="AZ124" s="718"/>
      <c r="BA124" s="718"/>
      <c r="BB124" s="718"/>
      <c r="BC124" s="718"/>
      <c r="BD124" s="718"/>
      <c r="BE124" s="718"/>
      <c r="BF124" s="718"/>
      <c r="BG124" s="718"/>
      <c r="BH124" s="718"/>
      <c r="BI124" s="718"/>
      <c r="BJ124" s="718"/>
      <c r="BK124" s="718"/>
      <c r="BL124" s="205"/>
      <c r="BO124" s="205"/>
      <c r="BP124" s="205"/>
      <c r="BQ124" s="205"/>
      <c r="BR124" s="205"/>
      <c r="BS124" s="205"/>
      <c r="BT124" s="205"/>
      <c r="BU124" s="205"/>
      <c r="BV124" s="205"/>
      <c r="BW124" s="205"/>
      <c r="BX124" s="205"/>
      <c r="BY124" s="205"/>
      <c r="BZ124" s="205"/>
    </row>
    <row r="125" spans="1:79" s="719" customFormat="1" ht="20.100000000000001" hidden="1" customHeight="1">
      <c r="A125" s="706"/>
      <c r="B125" s="730"/>
      <c r="C125" s="716"/>
      <c r="D125" s="209"/>
      <c r="E125" s="222"/>
      <c r="F125" s="705"/>
      <c r="G125" s="705"/>
      <c r="H125" s="705">
        <f>F125-G125</f>
        <v>0</v>
      </c>
      <c r="I125" s="705"/>
      <c r="J125" s="705"/>
      <c r="K125" s="705"/>
      <c r="L125" s="705"/>
      <c r="M125" s="705">
        <f>SUM(K125:L125)</f>
        <v>0</v>
      </c>
      <c r="N125" s="705">
        <f>M125+J125</f>
        <v>0</v>
      </c>
      <c r="O125" s="705"/>
      <c r="P125" s="705">
        <f>F125-N125-O125</f>
        <v>0</v>
      </c>
      <c r="Q125" s="705">
        <f>I125-N125</f>
        <v>0</v>
      </c>
      <c r="R125" s="705">
        <f>O125-Q125</f>
        <v>0</v>
      </c>
      <c r="S125" s="705"/>
      <c r="T125" s="705">
        <f>R125-S125</f>
        <v>0</v>
      </c>
      <c r="U125" s="705">
        <f>T125-X125-Y125-V125-W125</f>
        <v>0</v>
      </c>
      <c r="V125" s="705"/>
      <c r="W125" s="705"/>
      <c r="X125" s="705"/>
      <c r="Y125" s="705"/>
      <c r="Z125" s="210"/>
      <c r="AA125" s="705"/>
      <c r="AB125" s="705"/>
      <c r="AC125" s="705"/>
      <c r="AD125" s="705"/>
      <c r="AE125" s="705"/>
      <c r="AF125" s="705">
        <f>SUM(AA125:AE125)</f>
        <v>0</v>
      </c>
      <c r="AG125" s="705">
        <f>T125-AF125</f>
        <v>0</v>
      </c>
      <c r="AH125" s="705">
        <f>AA125-AI125-AJ125-AK125-AL125</f>
        <v>0</v>
      </c>
      <c r="AI125" s="705"/>
      <c r="AJ125" s="705"/>
      <c r="AK125" s="705"/>
      <c r="AL125" s="708"/>
      <c r="AM125" s="713"/>
      <c r="AN125" s="705"/>
      <c r="AO125" s="705"/>
      <c r="AP125" s="705"/>
      <c r="AQ125" s="705"/>
      <c r="AR125" s="705"/>
      <c r="AS125" s="705"/>
      <c r="AT125" s="705"/>
      <c r="AU125" s="705"/>
      <c r="AV125" s="705"/>
      <c r="AW125" s="705"/>
      <c r="AX125" s="705"/>
      <c r="AY125" s="717"/>
      <c r="AZ125" s="718"/>
      <c r="BA125" s="718"/>
      <c r="BB125" s="718"/>
      <c r="BC125" s="718"/>
      <c r="BD125" s="718"/>
      <c r="BE125" s="718"/>
      <c r="BF125" s="718"/>
      <c r="BG125" s="718"/>
      <c r="BH125" s="718"/>
      <c r="BI125" s="718"/>
      <c r="BJ125" s="718"/>
      <c r="BK125" s="718"/>
      <c r="BL125" s="718"/>
      <c r="BM125" s="205"/>
      <c r="BP125" s="205"/>
      <c r="BQ125" s="205"/>
      <c r="BR125" s="205"/>
      <c r="BS125" s="205"/>
      <c r="BT125" s="205"/>
      <c r="BU125" s="205"/>
      <c r="BV125" s="205"/>
      <c r="BW125" s="205"/>
      <c r="BX125" s="205"/>
      <c r="BY125" s="205"/>
      <c r="BZ125" s="205"/>
      <c r="CA125" s="205"/>
    </row>
    <row r="126" spans="1:79" s="719" customFormat="1" ht="30" customHeight="1">
      <c r="A126" s="720"/>
      <c r="B126" s="732"/>
      <c r="C126" s="720">
        <f>COUNT(C123:C125)</f>
        <v>1</v>
      </c>
      <c r="D126" s="211"/>
      <c r="E126" s="129" t="s">
        <v>628</v>
      </c>
      <c r="F126" s="709">
        <f>SUM(F123:F125)</f>
        <v>5560000</v>
      </c>
      <c r="G126" s="709">
        <f t="shared" ref="G126:AQ126" si="97">SUM(G123:G125)</f>
        <v>5560000</v>
      </c>
      <c r="H126" s="709">
        <f t="shared" si="97"/>
        <v>0</v>
      </c>
      <c r="I126" s="709">
        <f t="shared" si="97"/>
        <v>0</v>
      </c>
      <c r="J126" s="709">
        <f t="shared" si="97"/>
        <v>0</v>
      </c>
      <c r="K126" s="709">
        <f t="shared" si="97"/>
        <v>0</v>
      </c>
      <c r="L126" s="709">
        <f t="shared" si="97"/>
        <v>0</v>
      </c>
      <c r="M126" s="709">
        <f t="shared" si="97"/>
        <v>0</v>
      </c>
      <c r="N126" s="709">
        <f t="shared" si="97"/>
        <v>0</v>
      </c>
      <c r="O126" s="709">
        <f t="shared" si="97"/>
        <v>0</v>
      </c>
      <c r="P126" s="709">
        <f t="shared" si="97"/>
        <v>5560000</v>
      </c>
      <c r="Q126" s="709">
        <f t="shared" si="97"/>
        <v>0</v>
      </c>
      <c r="R126" s="709">
        <f t="shared" si="97"/>
        <v>0</v>
      </c>
      <c r="S126" s="709">
        <f t="shared" si="97"/>
        <v>3000000</v>
      </c>
      <c r="T126" s="709">
        <f t="shared" si="97"/>
        <v>-3000000</v>
      </c>
      <c r="U126" s="709">
        <f t="shared" si="97"/>
        <v>-3000000</v>
      </c>
      <c r="V126" s="709">
        <f t="shared" si="97"/>
        <v>0</v>
      </c>
      <c r="W126" s="709">
        <f t="shared" si="97"/>
        <v>0</v>
      </c>
      <c r="X126" s="709">
        <f t="shared" si="97"/>
        <v>0</v>
      </c>
      <c r="Y126" s="709">
        <f t="shared" si="97"/>
        <v>0</v>
      </c>
      <c r="Z126" s="709"/>
      <c r="AA126" s="709">
        <f t="shared" si="97"/>
        <v>0</v>
      </c>
      <c r="AB126" s="709">
        <f t="shared" si="97"/>
        <v>0</v>
      </c>
      <c r="AC126" s="709">
        <f t="shared" si="97"/>
        <v>0</v>
      </c>
      <c r="AD126" s="709">
        <f t="shared" si="97"/>
        <v>0</v>
      </c>
      <c r="AE126" s="709">
        <f t="shared" si="97"/>
        <v>0</v>
      </c>
      <c r="AF126" s="709">
        <f t="shared" si="97"/>
        <v>0</v>
      </c>
      <c r="AG126" s="709">
        <f t="shared" si="97"/>
        <v>-3000000</v>
      </c>
      <c r="AH126" s="709">
        <f t="shared" si="97"/>
        <v>0</v>
      </c>
      <c r="AI126" s="709">
        <f t="shared" si="97"/>
        <v>0</v>
      </c>
      <c r="AJ126" s="709">
        <f t="shared" si="97"/>
        <v>0</v>
      </c>
      <c r="AK126" s="709">
        <f t="shared" si="97"/>
        <v>0</v>
      </c>
      <c r="AL126" s="714">
        <f t="shared" si="97"/>
        <v>0</v>
      </c>
      <c r="AM126" s="742">
        <f t="shared" si="97"/>
        <v>0</v>
      </c>
      <c r="AN126" s="714">
        <f t="shared" si="97"/>
        <v>0</v>
      </c>
      <c r="AO126" s="714">
        <f t="shared" si="97"/>
        <v>0</v>
      </c>
      <c r="AP126" s="714">
        <f t="shared" si="97"/>
        <v>0</v>
      </c>
      <c r="AQ126" s="714">
        <f t="shared" si="97"/>
        <v>0</v>
      </c>
      <c r="AR126" s="709"/>
      <c r="AS126" s="714">
        <f t="shared" ref="AS126:AW126" si="98">SUM(AS123:AS125)</f>
        <v>0</v>
      </c>
      <c r="AT126" s="714">
        <f t="shared" si="98"/>
        <v>0</v>
      </c>
      <c r="AU126" s="714">
        <f t="shared" si="98"/>
        <v>0</v>
      </c>
      <c r="AV126" s="714">
        <f t="shared" si="98"/>
        <v>0</v>
      </c>
      <c r="AW126" s="714">
        <f t="shared" si="98"/>
        <v>0</v>
      </c>
      <c r="AX126" s="709"/>
      <c r="AY126" s="717"/>
      <c r="AZ126" s="718"/>
      <c r="BA126" s="718"/>
      <c r="BB126" s="718"/>
      <c r="BC126" s="718"/>
      <c r="BD126" s="718"/>
      <c r="BE126" s="718"/>
      <c r="BF126" s="718"/>
      <c r="BG126" s="718"/>
      <c r="BH126" s="718"/>
      <c r="BI126" s="718"/>
      <c r="BJ126" s="718"/>
      <c r="BK126" s="718"/>
      <c r="BL126" s="718"/>
      <c r="BM126" s="205"/>
      <c r="BP126" s="205"/>
      <c r="BQ126" s="205"/>
      <c r="BR126" s="205"/>
      <c r="BS126" s="205"/>
      <c r="BT126" s="205"/>
      <c r="BU126" s="205"/>
      <c r="BV126" s="205"/>
      <c r="BW126" s="205"/>
      <c r="BX126" s="205"/>
      <c r="BY126" s="205"/>
      <c r="BZ126" s="205"/>
      <c r="CA126" s="205"/>
    </row>
    <row r="127" spans="1:79" s="719" customFormat="1" ht="30" hidden="1" customHeight="1">
      <c r="A127" s="720"/>
      <c r="B127" s="732"/>
      <c r="C127" s="720"/>
      <c r="D127" s="211"/>
      <c r="E127" s="129"/>
      <c r="F127" s="709"/>
      <c r="G127" s="709"/>
      <c r="H127" s="709"/>
      <c r="I127" s="709"/>
      <c r="J127" s="709"/>
      <c r="K127" s="709"/>
      <c r="L127" s="709"/>
      <c r="M127" s="709"/>
      <c r="N127" s="709"/>
      <c r="O127" s="709"/>
      <c r="P127" s="709"/>
      <c r="Q127" s="709"/>
      <c r="R127" s="709"/>
      <c r="S127" s="709"/>
      <c r="T127" s="709"/>
      <c r="U127" s="709"/>
      <c r="V127" s="709"/>
      <c r="W127" s="709"/>
      <c r="X127" s="709"/>
      <c r="Y127" s="709"/>
      <c r="Z127" s="130"/>
      <c r="AA127" s="709"/>
      <c r="AB127" s="709"/>
      <c r="AC127" s="709"/>
      <c r="AD127" s="709"/>
      <c r="AE127" s="709"/>
      <c r="AF127" s="709"/>
      <c r="AG127" s="715"/>
      <c r="AH127" s="709"/>
      <c r="AI127" s="709"/>
      <c r="AJ127" s="709"/>
      <c r="AK127" s="709"/>
      <c r="AL127" s="714"/>
      <c r="AM127" s="739"/>
      <c r="AN127" s="709"/>
      <c r="AO127" s="709"/>
      <c r="AP127" s="709"/>
      <c r="AQ127" s="709"/>
      <c r="AR127" s="709"/>
      <c r="AS127" s="709"/>
      <c r="AT127" s="709"/>
      <c r="AU127" s="709"/>
      <c r="AV127" s="709"/>
      <c r="AW127" s="709"/>
      <c r="AX127" s="709"/>
      <c r="AY127" s="717"/>
      <c r="AZ127" s="718"/>
      <c r="BA127" s="718"/>
      <c r="BB127" s="718"/>
      <c r="BC127" s="718"/>
      <c r="BD127" s="718"/>
      <c r="BE127" s="718"/>
      <c r="BF127" s="718"/>
      <c r="BG127" s="718"/>
      <c r="BH127" s="718"/>
      <c r="BI127" s="718"/>
      <c r="BJ127" s="718"/>
      <c r="BK127" s="718"/>
      <c r="BL127" s="718"/>
      <c r="BM127" s="205"/>
      <c r="BP127" s="205"/>
      <c r="BQ127" s="205"/>
      <c r="BR127" s="205"/>
      <c r="BS127" s="205"/>
      <c r="BT127" s="205"/>
      <c r="BU127" s="205"/>
      <c r="BV127" s="205"/>
      <c r="BW127" s="205"/>
      <c r="BX127" s="205"/>
      <c r="BY127" s="205"/>
      <c r="BZ127" s="205"/>
      <c r="CA127" s="205"/>
    </row>
    <row r="128" spans="1:79" s="719" customFormat="1" ht="30" hidden="1" customHeight="1">
      <c r="A128" s="716"/>
      <c r="B128" s="731"/>
      <c r="C128" s="716"/>
      <c r="D128" s="209"/>
      <c r="E128" s="129" t="s">
        <v>637</v>
      </c>
      <c r="F128" s="705"/>
      <c r="G128" s="705"/>
      <c r="H128" s="705"/>
      <c r="I128" s="705"/>
      <c r="J128" s="705"/>
      <c r="K128" s="705"/>
      <c r="L128" s="705"/>
      <c r="M128" s="705"/>
      <c r="N128" s="705"/>
      <c r="O128" s="705"/>
      <c r="P128" s="705"/>
      <c r="Q128" s="705"/>
      <c r="R128" s="705"/>
      <c r="S128" s="705"/>
      <c r="T128" s="705"/>
      <c r="U128" s="705"/>
      <c r="V128" s="705"/>
      <c r="W128" s="705"/>
      <c r="X128" s="705"/>
      <c r="Y128" s="209"/>
      <c r="Z128" s="127"/>
      <c r="AA128" s="209"/>
      <c r="AB128" s="209"/>
      <c r="AC128" s="209"/>
      <c r="AD128" s="209"/>
      <c r="AE128" s="209"/>
      <c r="AF128" s="209"/>
      <c r="AG128" s="209"/>
      <c r="AH128" s="209"/>
      <c r="AI128" s="209"/>
      <c r="AJ128" s="209"/>
      <c r="AK128" s="209"/>
      <c r="AL128" s="746"/>
      <c r="AM128" s="738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717"/>
      <c r="AZ128" s="718"/>
      <c r="BA128" s="718"/>
      <c r="BB128" s="718"/>
      <c r="BC128" s="718"/>
      <c r="BD128" s="718"/>
      <c r="BE128" s="718"/>
      <c r="BF128" s="718"/>
      <c r="BG128" s="718"/>
      <c r="BH128" s="718"/>
      <c r="BI128" s="718"/>
      <c r="BJ128" s="718"/>
      <c r="BK128" s="718"/>
      <c r="BL128" s="718"/>
      <c r="BM128" s="205"/>
      <c r="BP128" s="205"/>
      <c r="BQ128" s="205"/>
      <c r="BR128" s="205"/>
      <c r="BS128" s="205"/>
      <c r="BT128" s="205"/>
      <c r="BU128" s="205"/>
      <c r="BV128" s="205"/>
      <c r="BW128" s="205"/>
      <c r="BX128" s="205"/>
      <c r="BY128" s="205"/>
      <c r="BZ128" s="205"/>
      <c r="CA128" s="205"/>
    </row>
    <row r="129" spans="1:79" s="719" customFormat="1" ht="30" hidden="1" customHeight="1">
      <c r="A129" s="706"/>
      <c r="B129" s="730"/>
      <c r="C129" s="716"/>
      <c r="D129" s="209"/>
      <c r="E129" s="222"/>
      <c r="F129" s="705"/>
      <c r="G129" s="705"/>
      <c r="H129" s="705">
        <f>F129-G129</f>
        <v>0</v>
      </c>
      <c r="I129" s="705"/>
      <c r="J129" s="705"/>
      <c r="K129" s="705"/>
      <c r="L129" s="705"/>
      <c r="M129" s="705">
        <f>SUM(K129:L129)</f>
        <v>0</v>
      </c>
      <c r="N129" s="705">
        <f>M129+J129</f>
        <v>0</v>
      </c>
      <c r="O129" s="705"/>
      <c r="P129" s="705">
        <f>F129-N129-O129</f>
        <v>0</v>
      </c>
      <c r="Q129" s="705">
        <f>I129-N129</f>
        <v>0</v>
      </c>
      <c r="R129" s="705">
        <f>O129-Q129</f>
        <v>0</v>
      </c>
      <c r="S129" s="705"/>
      <c r="T129" s="705">
        <f>R129-S129</f>
        <v>0</v>
      </c>
      <c r="U129" s="705">
        <f>T129-X129-Y129-V129-W129</f>
        <v>0</v>
      </c>
      <c r="V129" s="705"/>
      <c r="W129" s="705"/>
      <c r="X129" s="705"/>
      <c r="Y129" s="705"/>
      <c r="Z129" s="210"/>
      <c r="AA129" s="705"/>
      <c r="AB129" s="705"/>
      <c r="AC129" s="705"/>
      <c r="AD129" s="705"/>
      <c r="AE129" s="705"/>
      <c r="AF129" s="705">
        <f>SUM(AA129:AE129)</f>
        <v>0</v>
      </c>
      <c r="AG129" s="705">
        <f>T129-AF129</f>
        <v>0</v>
      </c>
      <c r="AH129" s="705">
        <f>AA129-AI129-AJ129-AK129-AL129</f>
        <v>0</v>
      </c>
      <c r="AI129" s="705"/>
      <c r="AJ129" s="705"/>
      <c r="AK129" s="705"/>
      <c r="AL129" s="708"/>
      <c r="AM129" s="713"/>
      <c r="AN129" s="705"/>
      <c r="AO129" s="705"/>
      <c r="AP129" s="705"/>
      <c r="AQ129" s="705"/>
      <c r="AR129" s="705"/>
      <c r="AS129" s="705"/>
      <c r="AT129" s="705"/>
      <c r="AU129" s="705"/>
      <c r="AV129" s="705"/>
      <c r="AW129" s="705"/>
      <c r="AX129" s="705"/>
      <c r="AY129" s="717"/>
      <c r="AZ129" s="718"/>
      <c r="BA129" s="718"/>
      <c r="BB129" s="718"/>
      <c r="BC129" s="718"/>
      <c r="BD129" s="718"/>
      <c r="BE129" s="718"/>
      <c r="BF129" s="718"/>
      <c r="BG129" s="718"/>
      <c r="BH129" s="718"/>
      <c r="BI129" s="718"/>
      <c r="BJ129" s="718"/>
      <c r="BK129" s="718"/>
      <c r="BL129" s="718"/>
      <c r="BM129" s="205"/>
      <c r="BP129" s="205"/>
      <c r="BQ129" s="205"/>
      <c r="BR129" s="205"/>
      <c r="BS129" s="205"/>
      <c r="BT129" s="205"/>
      <c r="BU129" s="205"/>
      <c r="BV129" s="205"/>
      <c r="BW129" s="205"/>
      <c r="BX129" s="205"/>
      <c r="BY129" s="205"/>
      <c r="BZ129" s="205"/>
      <c r="CA129" s="205"/>
    </row>
    <row r="130" spans="1:79" s="719" customFormat="1" ht="30" hidden="1" customHeight="1">
      <c r="A130" s="706"/>
      <c r="B130" s="730"/>
      <c r="C130" s="716"/>
      <c r="D130" s="209"/>
      <c r="E130" s="222"/>
      <c r="F130" s="705"/>
      <c r="G130" s="705"/>
      <c r="H130" s="705">
        <f>F130-G130</f>
        <v>0</v>
      </c>
      <c r="I130" s="705"/>
      <c r="J130" s="705"/>
      <c r="K130" s="705"/>
      <c r="L130" s="705"/>
      <c r="M130" s="705">
        <f>SUM(K130:L130)</f>
        <v>0</v>
      </c>
      <c r="N130" s="705">
        <f>M130+J130</f>
        <v>0</v>
      </c>
      <c r="O130" s="705"/>
      <c r="P130" s="705">
        <f>F130-N130-O130</f>
        <v>0</v>
      </c>
      <c r="Q130" s="705">
        <f>I130-N130</f>
        <v>0</v>
      </c>
      <c r="R130" s="705">
        <f>O130-Q130</f>
        <v>0</v>
      </c>
      <c r="S130" s="705"/>
      <c r="T130" s="705">
        <f>R130-S130</f>
        <v>0</v>
      </c>
      <c r="U130" s="705">
        <f>T130-X130-Y130-V130-W130</f>
        <v>0</v>
      </c>
      <c r="V130" s="705"/>
      <c r="W130" s="705"/>
      <c r="X130" s="705"/>
      <c r="Y130" s="705"/>
      <c r="Z130" s="210"/>
      <c r="AA130" s="705"/>
      <c r="AB130" s="705"/>
      <c r="AC130" s="705"/>
      <c r="AD130" s="705"/>
      <c r="AE130" s="705"/>
      <c r="AF130" s="705">
        <f>SUM(AA130:AE130)</f>
        <v>0</v>
      </c>
      <c r="AG130" s="705">
        <f>T130-AF130</f>
        <v>0</v>
      </c>
      <c r="AH130" s="705">
        <f>AA130-AI130-AJ130-AK130-AL130</f>
        <v>0</v>
      </c>
      <c r="AI130" s="705"/>
      <c r="AJ130" s="705"/>
      <c r="AK130" s="705"/>
      <c r="AL130" s="708"/>
      <c r="AM130" s="713"/>
      <c r="AN130" s="705"/>
      <c r="AO130" s="705"/>
      <c r="AP130" s="705"/>
      <c r="AQ130" s="705"/>
      <c r="AR130" s="705"/>
      <c r="AS130" s="705"/>
      <c r="AT130" s="705"/>
      <c r="AU130" s="705"/>
      <c r="AV130" s="705"/>
      <c r="AW130" s="705"/>
      <c r="AX130" s="705"/>
      <c r="AY130" s="717"/>
      <c r="AZ130" s="718"/>
      <c r="BA130" s="718"/>
      <c r="BB130" s="718"/>
      <c r="BC130" s="718"/>
      <c r="BD130" s="718"/>
      <c r="BE130" s="718"/>
      <c r="BF130" s="718"/>
      <c r="BG130" s="718"/>
      <c r="BH130" s="718"/>
      <c r="BI130" s="718"/>
      <c r="BJ130" s="718"/>
      <c r="BK130" s="718"/>
      <c r="BL130" s="718"/>
      <c r="BM130" s="205"/>
      <c r="BP130" s="205"/>
      <c r="BQ130" s="205"/>
      <c r="BR130" s="205"/>
      <c r="BS130" s="205"/>
      <c r="BT130" s="205"/>
      <c r="BU130" s="205"/>
      <c r="BV130" s="205"/>
      <c r="BW130" s="205"/>
      <c r="BX130" s="205"/>
      <c r="BY130" s="205"/>
      <c r="BZ130" s="205"/>
      <c r="CA130" s="205"/>
    </row>
    <row r="131" spans="1:79" s="719" customFormat="1" ht="30" hidden="1" customHeight="1">
      <c r="A131" s="720"/>
      <c r="B131" s="732"/>
      <c r="C131" s="720">
        <f>COUNT(C129:C130)</f>
        <v>0</v>
      </c>
      <c r="D131" s="211"/>
      <c r="E131" s="129" t="s">
        <v>1131</v>
      </c>
      <c r="F131" s="709">
        <f>SUM(F129:F130)</f>
        <v>0</v>
      </c>
      <c r="G131" s="709">
        <f t="shared" ref="G131:Y131" si="99">SUM(G129:G130)</f>
        <v>0</v>
      </c>
      <c r="H131" s="709">
        <f t="shared" si="99"/>
        <v>0</v>
      </c>
      <c r="I131" s="709">
        <f t="shared" si="99"/>
        <v>0</v>
      </c>
      <c r="J131" s="709">
        <f t="shared" si="99"/>
        <v>0</v>
      </c>
      <c r="K131" s="709">
        <f t="shared" si="99"/>
        <v>0</v>
      </c>
      <c r="L131" s="709">
        <f t="shared" si="99"/>
        <v>0</v>
      </c>
      <c r="M131" s="709">
        <f t="shared" si="99"/>
        <v>0</v>
      </c>
      <c r="N131" s="709">
        <f t="shared" si="99"/>
        <v>0</v>
      </c>
      <c r="O131" s="709">
        <f t="shared" si="99"/>
        <v>0</v>
      </c>
      <c r="P131" s="709">
        <f t="shared" si="99"/>
        <v>0</v>
      </c>
      <c r="Q131" s="709">
        <f t="shared" si="99"/>
        <v>0</v>
      </c>
      <c r="R131" s="709">
        <f t="shared" si="99"/>
        <v>0</v>
      </c>
      <c r="S131" s="709">
        <f t="shared" si="99"/>
        <v>0</v>
      </c>
      <c r="T131" s="709">
        <f t="shared" si="99"/>
        <v>0</v>
      </c>
      <c r="U131" s="709">
        <f t="shared" si="99"/>
        <v>0</v>
      </c>
      <c r="V131" s="709">
        <f t="shared" si="99"/>
        <v>0</v>
      </c>
      <c r="W131" s="709">
        <f t="shared" si="99"/>
        <v>0</v>
      </c>
      <c r="X131" s="709">
        <f t="shared" si="99"/>
        <v>0</v>
      </c>
      <c r="Y131" s="709">
        <f t="shared" si="99"/>
        <v>0</v>
      </c>
      <c r="Z131" s="709"/>
      <c r="AA131" s="709">
        <f t="shared" ref="AA131:AL131" si="100">SUM(AA129:AA130)</f>
        <v>0</v>
      </c>
      <c r="AB131" s="709">
        <f t="shared" si="100"/>
        <v>0</v>
      </c>
      <c r="AC131" s="709">
        <f t="shared" si="100"/>
        <v>0</v>
      </c>
      <c r="AD131" s="709">
        <f t="shared" si="100"/>
        <v>0</v>
      </c>
      <c r="AE131" s="709">
        <f t="shared" si="100"/>
        <v>0</v>
      </c>
      <c r="AF131" s="709">
        <f t="shared" si="100"/>
        <v>0</v>
      </c>
      <c r="AG131" s="709">
        <f t="shared" si="100"/>
        <v>0</v>
      </c>
      <c r="AH131" s="709">
        <f t="shared" si="100"/>
        <v>0</v>
      </c>
      <c r="AI131" s="709">
        <f t="shared" si="100"/>
        <v>0</v>
      </c>
      <c r="AJ131" s="709">
        <f t="shared" si="100"/>
        <v>0</v>
      </c>
      <c r="AK131" s="709">
        <f t="shared" si="100"/>
        <v>0</v>
      </c>
      <c r="AL131" s="714">
        <f t="shared" si="100"/>
        <v>0</v>
      </c>
      <c r="AM131" s="739"/>
      <c r="AN131" s="709"/>
      <c r="AO131" s="709"/>
      <c r="AP131" s="709"/>
      <c r="AQ131" s="709"/>
      <c r="AR131" s="709"/>
      <c r="AS131" s="709"/>
      <c r="AT131" s="709"/>
      <c r="AU131" s="709"/>
      <c r="AV131" s="709"/>
      <c r="AW131" s="709"/>
      <c r="AX131" s="709"/>
      <c r="AY131" s="717"/>
      <c r="AZ131" s="718"/>
      <c r="BA131" s="718"/>
      <c r="BB131" s="718"/>
      <c r="BC131" s="718"/>
      <c r="BD131" s="718"/>
      <c r="BE131" s="718"/>
      <c r="BF131" s="718"/>
      <c r="BG131" s="718"/>
      <c r="BH131" s="718"/>
      <c r="BI131" s="718"/>
      <c r="BJ131" s="718"/>
      <c r="BK131" s="718"/>
      <c r="BL131" s="718"/>
      <c r="BM131" s="205"/>
      <c r="BP131" s="205"/>
      <c r="BQ131" s="205"/>
      <c r="BR131" s="205"/>
      <c r="BS131" s="205"/>
      <c r="BT131" s="205"/>
      <c r="BU131" s="205"/>
      <c r="BV131" s="205"/>
      <c r="BW131" s="205"/>
      <c r="BX131" s="205"/>
      <c r="BY131" s="205"/>
      <c r="BZ131" s="205"/>
      <c r="CA131" s="205"/>
    </row>
    <row r="132" spans="1:79" s="719" customFormat="1" ht="20.100000000000001" customHeight="1">
      <c r="A132" s="720"/>
      <c r="B132" s="732"/>
      <c r="C132" s="720"/>
      <c r="D132" s="211"/>
      <c r="E132" s="129"/>
      <c r="F132" s="709"/>
      <c r="G132" s="709"/>
      <c r="H132" s="709"/>
      <c r="I132" s="709"/>
      <c r="J132" s="709"/>
      <c r="K132" s="709"/>
      <c r="L132" s="709"/>
      <c r="M132" s="709"/>
      <c r="N132" s="709"/>
      <c r="O132" s="709"/>
      <c r="P132" s="709"/>
      <c r="Q132" s="709"/>
      <c r="R132" s="709"/>
      <c r="S132" s="709"/>
      <c r="T132" s="709"/>
      <c r="U132" s="709"/>
      <c r="V132" s="709"/>
      <c r="W132" s="709"/>
      <c r="X132" s="709"/>
      <c r="Y132" s="709"/>
      <c r="Z132" s="130"/>
      <c r="AA132" s="709"/>
      <c r="AB132" s="709"/>
      <c r="AC132" s="709"/>
      <c r="AD132" s="709"/>
      <c r="AE132" s="709"/>
      <c r="AF132" s="709"/>
      <c r="AG132" s="709"/>
      <c r="AH132" s="709"/>
      <c r="AI132" s="709"/>
      <c r="AJ132" s="709"/>
      <c r="AK132" s="709"/>
      <c r="AL132" s="714"/>
      <c r="AM132" s="739"/>
      <c r="AN132" s="709"/>
      <c r="AO132" s="709"/>
      <c r="AP132" s="709"/>
      <c r="AQ132" s="709"/>
      <c r="AR132" s="709"/>
      <c r="AS132" s="709"/>
      <c r="AT132" s="709"/>
      <c r="AU132" s="709"/>
      <c r="AV132" s="709"/>
      <c r="AW132" s="709"/>
      <c r="AX132" s="709"/>
      <c r="AY132" s="717"/>
      <c r="AZ132" s="718"/>
      <c r="BA132" s="718"/>
      <c r="BB132" s="718"/>
      <c r="BC132" s="718"/>
      <c r="BD132" s="718"/>
      <c r="BE132" s="718"/>
      <c r="BF132" s="718"/>
      <c r="BG132" s="718"/>
      <c r="BH132" s="718"/>
      <c r="BI132" s="718"/>
      <c r="BJ132" s="718"/>
      <c r="BK132" s="718"/>
      <c r="BL132" s="718"/>
      <c r="BM132" s="205"/>
      <c r="BP132" s="205"/>
      <c r="BQ132" s="205"/>
      <c r="BR132" s="205"/>
      <c r="BS132" s="205"/>
      <c r="BT132" s="205"/>
      <c r="BU132" s="205"/>
      <c r="BV132" s="205"/>
      <c r="BW132" s="205"/>
      <c r="BX132" s="205"/>
      <c r="BY132" s="205"/>
      <c r="BZ132" s="205"/>
      <c r="CA132" s="205"/>
    </row>
    <row r="133" spans="1:79" s="719" customFormat="1" ht="30" customHeight="1">
      <c r="A133" s="716"/>
      <c r="B133" s="731"/>
      <c r="C133" s="716"/>
      <c r="D133" s="209"/>
      <c r="E133" s="129" t="s">
        <v>1132</v>
      </c>
      <c r="F133" s="705"/>
      <c r="G133" s="705"/>
      <c r="H133" s="705"/>
      <c r="I133" s="705"/>
      <c r="J133" s="705"/>
      <c r="K133" s="705"/>
      <c r="L133" s="705"/>
      <c r="M133" s="705"/>
      <c r="N133" s="705"/>
      <c r="O133" s="705"/>
      <c r="P133" s="705"/>
      <c r="Q133" s="705"/>
      <c r="R133" s="705"/>
      <c r="S133" s="705"/>
      <c r="T133" s="705"/>
      <c r="U133" s="705"/>
      <c r="V133" s="705"/>
      <c r="W133" s="705"/>
      <c r="X133" s="705"/>
      <c r="Y133" s="209"/>
      <c r="Z133" s="127"/>
      <c r="AA133" s="209"/>
      <c r="AB133" s="209"/>
      <c r="AC133" s="209"/>
      <c r="AD133" s="209"/>
      <c r="AE133" s="209"/>
      <c r="AF133" s="209"/>
      <c r="AG133" s="209"/>
      <c r="AH133" s="209"/>
      <c r="AI133" s="209"/>
      <c r="AJ133" s="209"/>
      <c r="AK133" s="209"/>
      <c r="AL133" s="746"/>
      <c r="AM133" s="738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717"/>
      <c r="AZ133" s="718"/>
      <c r="BA133" s="718"/>
      <c r="BB133" s="718"/>
      <c r="BC133" s="718"/>
      <c r="BD133" s="718"/>
      <c r="BE133" s="718"/>
      <c r="BF133" s="718"/>
      <c r="BG133" s="718"/>
      <c r="BH133" s="718"/>
      <c r="BI133" s="718"/>
      <c r="BJ133" s="718"/>
      <c r="BK133" s="718"/>
      <c r="BL133" s="718"/>
      <c r="BM133" s="205"/>
      <c r="BP133" s="205"/>
      <c r="BQ133" s="205"/>
      <c r="BR133" s="205"/>
      <c r="BS133" s="205"/>
      <c r="BT133" s="205"/>
      <c r="BU133" s="205"/>
      <c r="BV133" s="205"/>
      <c r="BW133" s="205"/>
      <c r="BX133" s="205"/>
      <c r="BY133" s="205"/>
      <c r="BZ133" s="205"/>
      <c r="CA133" s="205"/>
    </row>
    <row r="134" spans="1:79" s="719" customFormat="1" ht="30" customHeight="1">
      <c r="A134" s="706" t="s">
        <v>1073</v>
      </c>
      <c r="B134" s="730" t="s">
        <v>1074</v>
      </c>
      <c r="C134" s="716">
        <f>C124+1</f>
        <v>101</v>
      </c>
      <c r="D134" s="209">
        <v>20127</v>
      </c>
      <c r="E134" s="222" t="s">
        <v>755</v>
      </c>
      <c r="F134" s="705">
        <v>11200000</v>
      </c>
      <c r="G134" s="705">
        <v>11200000</v>
      </c>
      <c r="H134" s="705">
        <f>F134-G134</f>
        <v>0</v>
      </c>
      <c r="I134" s="705"/>
      <c r="J134" s="705"/>
      <c r="K134" s="705"/>
      <c r="L134" s="705"/>
      <c r="M134" s="705">
        <f>SUM(K134:L134)</f>
        <v>0</v>
      </c>
      <c r="N134" s="705">
        <f>M134+J134</f>
        <v>0</v>
      </c>
      <c r="O134" s="705">
        <f>2000000-2000000</f>
        <v>0</v>
      </c>
      <c r="P134" s="705">
        <f>F134-N134-O134</f>
        <v>11200000</v>
      </c>
      <c r="Q134" s="705">
        <f>I134-N134</f>
        <v>0</v>
      </c>
      <c r="R134" s="705">
        <f>O134-Q134</f>
        <v>0</v>
      </c>
      <c r="S134" s="705">
        <v>2000000</v>
      </c>
      <c r="T134" s="705">
        <f>R134-S134</f>
        <v>-2000000</v>
      </c>
      <c r="U134" s="705">
        <f>T134-X134-Y134-V134-W134</f>
        <v>-2000000</v>
      </c>
      <c r="V134" s="705"/>
      <c r="W134" s="705"/>
      <c r="X134" s="705"/>
      <c r="Y134" s="705"/>
      <c r="Z134" s="210" t="s">
        <v>1075</v>
      </c>
      <c r="AA134" s="705"/>
      <c r="AB134" s="705"/>
      <c r="AC134" s="705"/>
      <c r="AD134" s="705"/>
      <c r="AE134" s="705"/>
      <c r="AF134" s="705">
        <f>SUM(AA134:AE134)</f>
        <v>0</v>
      </c>
      <c r="AG134" s="705">
        <f>T134-AF134</f>
        <v>-2000000</v>
      </c>
      <c r="AH134" s="705">
        <f t="shared" ref="AH134:AH137" si="101">AF134-AI134-AJ134-AK134-AL134</f>
        <v>0</v>
      </c>
      <c r="AI134" s="705"/>
      <c r="AJ134" s="705"/>
      <c r="AK134" s="705"/>
      <c r="AL134" s="708"/>
      <c r="AM134" s="713"/>
      <c r="AN134" s="705"/>
      <c r="AO134" s="705"/>
      <c r="AP134" s="705"/>
      <c r="AQ134" s="705"/>
      <c r="AR134" s="705"/>
      <c r="AS134" s="705"/>
      <c r="AT134" s="705"/>
      <c r="AU134" s="705"/>
      <c r="AV134" s="705"/>
      <c r="AW134" s="705"/>
      <c r="AX134" s="705"/>
      <c r="AY134" s="717"/>
      <c r="AZ134" s="718"/>
      <c r="BA134" s="718"/>
      <c r="BB134" s="718"/>
      <c r="BC134" s="718"/>
      <c r="BD134" s="718"/>
      <c r="BE134" s="718"/>
      <c r="BF134" s="718"/>
      <c r="BG134" s="718"/>
      <c r="BH134" s="718"/>
      <c r="BI134" s="718"/>
      <c r="BJ134" s="718"/>
      <c r="BK134" s="718"/>
      <c r="BL134" s="718"/>
      <c r="BM134" s="205"/>
      <c r="BP134" s="205"/>
      <c r="BQ134" s="205"/>
      <c r="BR134" s="205"/>
      <c r="BS134" s="205"/>
      <c r="BT134" s="205"/>
      <c r="BU134" s="205"/>
      <c r="BV134" s="205"/>
      <c r="BW134" s="205"/>
      <c r="BX134" s="205"/>
      <c r="BY134" s="205"/>
      <c r="BZ134" s="205"/>
      <c r="CA134" s="205"/>
    </row>
    <row r="135" spans="1:79" s="719" customFormat="1" ht="30" customHeight="1">
      <c r="A135" s="706" t="s">
        <v>1073</v>
      </c>
      <c r="B135" s="730" t="s">
        <v>1074</v>
      </c>
      <c r="C135" s="716">
        <f>1+C134</f>
        <v>102</v>
      </c>
      <c r="D135" s="209">
        <v>20128</v>
      </c>
      <c r="E135" s="222" t="s">
        <v>757</v>
      </c>
      <c r="F135" s="705">
        <v>65000000</v>
      </c>
      <c r="G135" s="705">
        <v>65000000</v>
      </c>
      <c r="H135" s="705">
        <f>F135-G135</f>
        <v>0</v>
      </c>
      <c r="I135" s="705"/>
      <c r="J135" s="705"/>
      <c r="K135" s="705"/>
      <c r="L135" s="705"/>
      <c r="M135" s="705">
        <f>SUM(K135:L135)</f>
        <v>0</v>
      </c>
      <c r="N135" s="705">
        <f>M135+J135</f>
        <v>0</v>
      </c>
      <c r="O135" s="705"/>
      <c r="P135" s="705">
        <f>F135-N135-O135</f>
        <v>65000000</v>
      </c>
      <c r="Q135" s="705">
        <f>I135-N135</f>
        <v>0</v>
      </c>
      <c r="R135" s="705">
        <f>O135-Q135</f>
        <v>0</v>
      </c>
      <c r="S135" s="705">
        <v>2000000</v>
      </c>
      <c r="T135" s="705">
        <f>R135-S135</f>
        <v>-2000000</v>
      </c>
      <c r="U135" s="705">
        <f>T135-X135-Y135-V135-W135</f>
        <v>-2000000</v>
      </c>
      <c r="V135" s="705"/>
      <c r="W135" s="705"/>
      <c r="X135" s="705"/>
      <c r="Y135" s="705"/>
      <c r="Z135" s="210" t="s">
        <v>1075</v>
      </c>
      <c r="AA135" s="705"/>
      <c r="AB135" s="705"/>
      <c r="AC135" s="705"/>
      <c r="AD135" s="705"/>
      <c r="AE135" s="705"/>
      <c r="AF135" s="705">
        <f t="shared" ref="AF135:AF137" si="102">SUM(AA135:AE135)</f>
        <v>0</v>
      </c>
      <c r="AG135" s="705">
        <f>T135-AF135</f>
        <v>-2000000</v>
      </c>
      <c r="AH135" s="705">
        <f t="shared" si="101"/>
        <v>0</v>
      </c>
      <c r="AI135" s="705"/>
      <c r="AJ135" s="705"/>
      <c r="AK135" s="705"/>
      <c r="AL135" s="708"/>
      <c r="AM135" s="713"/>
      <c r="AN135" s="705"/>
      <c r="AO135" s="705"/>
      <c r="AP135" s="705"/>
      <c r="AQ135" s="705"/>
      <c r="AR135" s="705"/>
      <c r="AS135" s="705"/>
      <c r="AT135" s="705"/>
      <c r="AU135" s="705"/>
      <c r="AV135" s="705"/>
      <c r="AW135" s="705"/>
      <c r="AX135" s="705"/>
      <c r="AY135" s="717"/>
      <c r="AZ135" s="718"/>
      <c r="BA135" s="718"/>
      <c r="BB135" s="718"/>
      <c r="BC135" s="718"/>
      <c r="BD135" s="718"/>
      <c r="BE135" s="718"/>
      <c r="BF135" s="718"/>
      <c r="BG135" s="718"/>
      <c r="BH135" s="718"/>
      <c r="BI135" s="718"/>
      <c r="BJ135" s="718"/>
      <c r="BK135" s="718"/>
      <c r="BL135" s="718"/>
      <c r="BM135" s="205"/>
      <c r="BP135" s="205"/>
      <c r="BQ135" s="205"/>
      <c r="BR135" s="205"/>
      <c r="BS135" s="205"/>
      <c r="BT135" s="205"/>
      <c r="BU135" s="205"/>
      <c r="BV135" s="205"/>
      <c r="BW135" s="205"/>
      <c r="BX135" s="205"/>
      <c r="BY135" s="205"/>
      <c r="BZ135" s="205"/>
      <c r="CA135" s="205"/>
    </row>
    <row r="136" spans="1:79" s="719" customFormat="1" ht="30" customHeight="1">
      <c r="A136" s="706" t="s">
        <v>1076</v>
      </c>
      <c r="B136" s="730" t="s">
        <v>1077</v>
      </c>
      <c r="C136" s="716">
        <f t="shared" ref="C136:C137" si="103">1+C135</f>
        <v>103</v>
      </c>
      <c r="D136" s="209">
        <v>20080</v>
      </c>
      <c r="E136" s="222" t="s">
        <v>565</v>
      </c>
      <c r="F136" s="705">
        <v>8000000</v>
      </c>
      <c r="G136" s="705">
        <v>8000000</v>
      </c>
      <c r="H136" s="705">
        <f>F136-G136</f>
        <v>0</v>
      </c>
      <c r="I136" s="705">
        <v>50000</v>
      </c>
      <c r="J136" s="705">
        <f>4981+19</f>
        <v>5000</v>
      </c>
      <c r="K136" s="705"/>
      <c r="L136" s="705"/>
      <c r="M136" s="705">
        <f>SUM(K136:L136)</f>
        <v>0</v>
      </c>
      <c r="N136" s="705">
        <f>M136+J136</f>
        <v>5000</v>
      </c>
      <c r="O136" s="705">
        <f>195000+550000</f>
        <v>745000</v>
      </c>
      <c r="P136" s="705">
        <f>F136-N136-O136</f>
        <v>7250000</v>
      </c>
      <c r="Q136" s="705">
        <f>I136-N136</f>
        <v>45000</v>
      </c>
      <c r="R136" s="705">
        <f>O136-Q136</f>
        <v>700000</v>
      </c>
      <c r="S136" s="705">
        <v>150000</v>
      </c>
      <c r="T136" s="705">
        <f>R136-S136</f>
        <v>550000</v>
      </c>
      <c r="U136" s="705">
        <f>T136-X136-Y136-V136-W136</f>
        <v>550000</v>
      </c>
      <c r="V136" s="705"/>
      <c r="W136" s="705"/>
      <c r="X136" s="705"/>
      <c r="Y136" s="705"/>
      <c r="Z136" s="210" t="s">
        <v>1116</v>
      </c>
      <c r="AA136" s="705"/>
      <c r="AB136" s="705"/>
      <c r="AC136" s="705"/>
      <c r="AD136" s="705">
        <v>550000</v>
      </c>
      <c r="AE136" s="705">
        <f>SUM(AA136:AC136)</f>
        <v>0</v>
      </c>
      <c r="AF136" s="705">
        <f t="shared" si="102"/>
        <v>550000</v>
      </c>
      <c r="AG136" s="705">
        <f t="shared" ref="AG136:AG137" si="104">T136-AF136</f>
        <v>0</v>
      </c>
      <c r="AH136" s="705">
        <f t="shared" si="101"/>
        <v>550000</v>
      </c>
      <c r="AI136" s="705"/>
      <c r="AJ136" s="705"/>
      <c r="AK136" s="705"/>
      <c r="AL136" s="747"/>
      <c r="AM136" s="713"/>
      <c r="AN136" s="705"/>
      <c r="AO136" s="705"/>
      <c r="AP136" s="705"/>
      <c r="AQ136" s="705"/>
      <c r="AR136" s="705"/>
      <c r="AS136" s="705"/>
      <c r="AT136" s="705"/>
      <c r="AU136" s="705"/>
      <c r="AV136" s="705"/>
      <c r="AW136" s="705"/>
      <c r="AX136" s="705"/>
      <c r="AY136" s="718"/>
      <c r="AZ136" s="718"/>
      <c r="BA136" s="718"/>
      <c r="BB136" s="718"/>
      <c r="BC136" s="718"/>
      <c r="BD136" s="718"/>
      <c r="BE136" s="718"/>
      <c r="BF136" s="718"/>
      <c r="BG136" s="718"/>
      <c r="BH136" s="718"/>
      <c r="BI136" s="718"/>
      <c r="BJ136" s="718"/>
      <c r="BK136" s="718"/>
      <c r="BL136" s="205"/>
      <c r="BO136" s="205"/>
      <c r="BP136" s="205"/>
      <c r="BQ136" s="205"/>
      <c r="BR136" s="205"/>
      <c r="BS136" s="205"/>
      <c r="BT136" s="205"/>
      <c r="BU136" s="205"/>
      <c r="BV136" s="205"/>
      <c r="BW136" s="205"/>
      <c r="BX136" s="205"/>
      <c r="BY136" s="205"/>
      <c r="BZ136" s="205"/>
    </row>
    <row r="137" spans="1:79" s="719" customFormat="1" ht="30" customHeight="1">
      <c r="A137" s="706" t="s">
        <v>1086</v>
      </c>
      <c r="B137" s="730" t="s">
        <v>1087</v>
      </c>
      <c r="C137" s="716">
        <f t="shared" si="103"/>
        <v>104</v>
      </c>
      <c r="D137" s="209">
        <v>20132</v>
      </c>
      <c r="E137" s="222" t="s">
        <v>31</v>
      </c>
      <c r="F137" s="705">
        <f>300000+150000</f>
        <v>450000</v>
      </c>
      <c r="G137" s="705">
        <v>300000</v>
      </c>
      <c r="H137" s="705">
        <f>F137-G137</f>
        <v>150000</v>
      </c>
      <c r="I137" s="705"/>
      <c r="J137" s="705"/>
      <c r="K137" s="705"/>
      <c r="L137" s="705"/>
      <c r="M137" s="705">
        <f>SUM(K137:L137)</f>
        <v>0</v>
      </c>
      <c r="N137" s="705">
        <f>M137+J137</f>
        <v>0</v>
      </c>
      <c r="O137" s="705">
        <f>200000+250000</f>
        <v>450000</v>
      </c>
      <c r="P137" s="705">
        <f>F137-N137-O137</f>
        <v>0</v>
      </c>
      <c r="Q137" s="705">
        <f>I137-N137</f>
        <v>0</v>
      </c>
      <c r="R137" s="705">
        <f>O137-Q137</f>
        <v>450000</v>
      </c>
      <c r="S137" s="705">
        <v>200000</v>
      </c>
      <c r="T137" s="705">
        <f>R137-S137</f>
        <v>250000</v>
      </c>
      <c r="U137" s="705">
        <f>T137-X137-Y137-V137-W137</f>
        <v>250000</v>
      </c>
      <c r="V137" s="705"/>
      <c r="W137" s="705"/>
      <c r="X137" s="705"/>
      <c r="Y137" s="705"/>
      <c r="Z137" s="210" t="s">
        <v>1090</v>
      </c>
      <c r="AA137" s="705"/>
      <c r="AB137" s="705"/>
      <c r="AC137" s="705"/>
      <c r="AD137" s="705">
        <f>SUM(Z137:AB137)</f>
        <v>0</v>
      </c>
      <c r="AE137" s="705">
        <v>250000</v>
      </c>
      <c r="AF137" s="705">
        <f t="shared" si="102"/>
        <v>250000</v>
      </c>
      <c r="AG137" s="705">
        <f t="shared" si="104"/>
        <v>0</v>
      </c>
      <c r="AH137" s="705">
        <f t="shared" si="101"/>
        <v>250000</v>
      </c>
      <c r="AI137" s="705"/>
      <c r="AJ137" s="705"/>
      <c r="AK137" s="705"/>
      <c r="AL137" s="747"/>
      <c r="AM137" s="713"/>
      <c r="AN137" s="705"/>
      <c r="AO137" s="705"/>
      <c r="AP137" s="705"/>
      <c r="AQ137" s="705"/>
      <c r="AR137" s="705"/>
      <c r="AS137" s="705"/>
      <c r="AT137" s="705"/>
      <c r="AU137" s="705"/>
      <c r="AV137" s="705"/>
      <c r="AW137" s="705"/>
      <c r="AX137" s="705"/>
      <c r="AY137" s="718"/>
      <c r="AZ137" s="718"/>
      <c r="BA137" s="718"/>
      <c r="BB137" s="718"/>
      <c r="BC137" s="718"/>
      <c r="BD137" s="718"/>
      <c r="BE137" s="718"/>
      <c r="BF137" s="718"/>
      <c r="BG137" s="718"/>
      <c r="BH137" s="718"/>
      <c r="BI137" s="718"/>
      <c r="BJ137" s="718"/>
      <c r="BK137" s="718"/>
      <c r="BL137" s="205"/>
      <c r="BO137" s="205"/>
      <c r="BP137" s="205"/>
      <c r="BQ137" s="205"/>
      <c r="BR137" s="205"/>
      <c r="BS137" s="205"/>
      <c r="BT137" s="205"/>
      <c r="BU137" s="205"/>
      <c r="BV137" s="205"/>
      <c r="BW137" s="205"/>
      <c r="BX137" s="205"/>
      <c r="BY137" s="205"/>
      <c r="BZ137" s="205"/>
    </row>
    <row r="138" spans="1:79" s="719" customFormat="1" ht="30" customHeight="1">
      <c r="A138" s="720"/>
      <c r="B138" s="732"/>
      <c r="C138" s="720">
        <f>COUNT(C134:C137)</f>
        <v>4</v>
      </c>
      <c r="D138" s="211"/>
      <c r="E138" s="129" t="s">
        <v>1133</v>
      </c>
      <c r="F138" s="709">
        <f>SUM(F134:F137)</f>
        <v>84650000</v>
      </c>
      <c r="G138" s="709">
        <f t="shared" ref="G138:AQ138" si="105">SUM(G134:G137)</f>
        <v>84500000</v>
      </c>
      <c r="H138" s="709">
        <f t="shared" si="105"/>
        <v>150000</v>
      </c>
      <c r="I138" s="709">
        <f t="shared" si="105"/>
        <v>50000</v>
      </c>
      <c r="J138" s="709">
        <f t="shared" si="105"/>
        <v>5000</v>
      </c>
      <c r="K138" s="709">
        <f t="shared" si="105"/>
        <v>0</v>
      </c>
      <c r="L138" s="709">
        <f t="shared" si="105"/>
        <v>0</v>
      </c>
      <c r="M138" s="709">
        <f t="shared" si="105"/>
        <v>0</v>
      </c>
      <c r="N138" s="709">
        <f t="shared" si="105"/>
        <v>5000</v>
      </c>
      <c r="O138" s="709">
        <f t="shared" si="105"/>
        <v>1195000</v>
      </c>
      <c r="P138" s="709">
        <f t="shared" si="105"/>
        <v>83450000</v>
      </c>
      <c r="Q138" s="709">
        <f t="shared" si="105"/>
        <v>45000</v>
      </c>
      <c r="R138" s="709">
        <f t="shared" si="105"/>
        <v>1150000</v>
      </c>
      <c r="S138" s="709">
        <f t="shared" si="105"/>
        <v>4350000</v>
      </c>
      <c r="T138" s="709">
        <f t="shared" si="105"/>
        <v>-3200000</v>
      </c>
      <c r="U138" s="709">
        <f t="shared" si="105"/>
        <v>-3200000</v>
      </c>
      <c r="V138" s="709">
        <f t="shared" si="105"/>
        <v>0</v>
      </c>
      <c r="W138" s="709">
        <f t="shared" si="105"/>
        <v>0</v>
      </c>
      <c r="X138" s="709">
        <f t="shared" si="105"/>
        <v>0</v>
      </c>
      <c r="Y138" s="709">
        <f t="shared" si="105"/>
        <v>0</v>
      </c>
      <c r="Z138" s="709"/>
      <c r="AA138" s="709">
        <f t="shared" si="105"/>
        <v>0</v>
      </c>
      <c r="AB138" s="709">
        <f t="shared" si="105"/>
        <v>0</v>
      </c>
      <c r="AC138" s="709">
        <f t="shared" si="105"/>
        <v>0</v>
      </c>
      <c r="AD138" s="709">
        <f t="shared" si="105"/>
        <v>550000</v>
      </c>
      <c r="AE138" s="709">
        <f t="shared" si="105"/>
        <v>250000</v>
      </c>
      <c r="AF138" s="709">
        <f t="shared" si="105"/>
        <v>800000</v>
      </c>
      <c r="AG138" s="709">
        <f t="shared" si="105"/>
        <v>-4000000</v>
      </c>
      <c r="AH138" s="709">
        <f t="shared" si="105"/>
        <v>800000</v>
      </c>
      <c r="AI138" s="709">
        <f t="shared" si="105"/>
        <v>0</v>
      </c>
      <c r="AJ138" s="709">
        <f t="shared" si="105"/>
        <v>0</v>
      </c>
      <c r="AK138" s="709">
        <f t="shared" si="105"/>
        <v>0</v>
      </c>
      <c r="AL138" s="714">
        <f t="shared" si="105"/>
        <v>0</v>
      </c>
      <c r="AM138" s="742">
        <f t="shared" si="105"/>
        <v>0</v>
      </c>
      <c r="AN138" s="714">
        <f t="shared" si="105"/>
        <v>0</v>
      </c>
      <c r="AO138" s="714">
        <f t="shared" si="105"/>
        <v>0</v>
      </c>
      <c r="AP138" s="714">
        <f t="shared" si="105"/>
        <v>0</v>
      </c>
      <c r="AQ138" s="714">
        <f t="shared" si="105"/>
        <v>0</v>
      </c>
      <c r="AR138" s="709"/>
      <c r="AS138" s="714">
        <f t="shared" ref="AS138:AW138" si="106">SUM(AS134:AS137)</f>
        <v>0</v>
      </c>
      <c r="AT138" s="714">
        <f t="shared" si="106"/>
        <v>0</v>
      </c>
      <c r="AU138" s="714">
        <f t="shared" si="106"/>
        <v>0</v>
      </c>
      <c r="AV138" s="714">
        <f t="shared" si="106"/>
        <v>0</v>
      </c>
      <c r="AW138" s="714">
        <f t="shared" si="106"/>
        <v>0</v>
      </c>
      <c r="AX138" s="709"/>
      <c r="AY138" s="717"/>
      <c r="AZ138" s="718"/>
      <c r="BA138" s="718"/>
      <c r="BB138" s="718"/>
      <c r="BC138" s="718"/>
      <c r="BD138" s="718"/>
      <c r="BE138" s="718"/>
      <c r="BF138" s="718"/>
      <c r="BG138" s="718"/>
      <c r="BH138" s="718"/>
      <c r="BI138" s="718"/>
      <c r="BJ138" s="718"/>
      <c r="BK138" s="718"/>
      <c r="BL138" s="718"/>
      <c r="BM138" s="205"/>
      <c r="BP138" s="205"/>
      <c r="BQ138" s="205"/>
      <c r="BR138" s="205"/>
      <c r="BS138" s="205"/>
      <c r="BT138" s="205"/>
      <c r="BU138" s="205"/>
      <c r="BV138" s="205"/>
      <c r="BW138" s="205"/>
      <c r="BX138" s="205"/>
      <c r="BY138" s="205"/>
      <c r="BZ138" s="205"/>
      <c r="CA138" s="205"/>
    </row>
    <row r="139" spans="1:79" s="719" customFormat="1" ht="20.100000000000001" customHeight="1">
      <c r="A139" s="720"/>
      <c r="B139" s="732"/>
      <c r="C139" s="720"/>
      <c r="D139" s="211"/>
      <c r="E139" s="129"/>
      <c r="F139" s="709"/>
      <c r="G139" s="709"/>
      <c r="H139" s="709"/>
      <c r="I139" s="709"/>
      <c r="J139" s="709"/>
      <c r="K139" s="709"/>
      <c r="L139" s="709"/>
      <c r="M139" s="709"/>
      <c r="N139" s="709"/>
      <c r="O139" s="709"/>
      <c r="P139" s="709"/>
      <c r="Q139" s="709"/>
      <c r="R139" s="709"/>
      <c r="S139" s="709"/>
      <c r="T139" s="709"/>
      <c r="U139" s="709"/>
      <c r="V139" s="709"/>
      <c r="W139" s="709"/>
      <c r="X139" s="709"/>
      <c r="Y139" s="709"/>
      <c r="Z139" s="709"/>
      <c r="AA139" s="709"/>
      <c r="AB139" s="709"/>
      <c r="AC139" s="709"/>
      <c r="AD139" s="709"/>
      <c r="AE139" s="715"/>
      <c r="AF139" s="709"/>
      <c r="AG139" s="715"/>
      <c r="AH139" s="709"/>
      <c r="AI139" s="709"/>
      <c r="AJ139" s="709"/>
      <c r="AK139" s="709"/>
      <c r="AL139" s="714"/>
      <c r="AM139" s="743"/>
      <c r="AN139" s="715"/>
      <c r="AO139" s="715"/>
      <c r="AP139" s="715"/>
      <c r="AQ139" s="715"/>
      <c r="AR139" s="715"/>
      <c r="AS139" s="715"/>
      <c r="AT139" s="715"/>
      <c r="AU139" s="715"/>
      <c r="AV139" s="715"/>
      <c r="AW139" s="715"/>
      <c r="AX139" s="715"/>
      <c r="AY139" s="717"/>
      <c r="AZ139" s="718"/>
      <c r="BA139" s="718"/>
      <c r="BB139" s="718"/>
      <c r="BC139" s="718"/>
      <c r="BD139" s="718"/>
      <c r="BE139" s="718"/>
      <c r="BF139" s="718"/>
      <c r="BG139" s="718"/>
      <c r="BH139" s="718"/>
      <c r="BI139" s="718"/>
      <c r="BJ139" s="718"/>
      <c r="BK139" s="718"/>
      <c r="BL139" s="718"/>
      <c r="BM139" s="205"/>
      <c r="BP139" s="205"/>
      <c r="BQ139" s="205"/>
      <c r="BR139" s="205"/>
      <c r="BS139" s="205"/>
      <c r="BT139" s="205"/>
      <c r="BU139" s="205"/>
      <c r="BV139" s="205"/>
      <c r="BW139" s="205"/>
      <c r="BX139" s="205"/>
      <c r="BY139" s="205"/>
      <c r="BZ139" s="205"/>
      <c r="CA139" s="205"/>
    </row>
    <row r="140" spans="1:79" s="719" customFormat="1" ht="30" hidden="1" customHeight="1">
      <c r="A140" s="716"/>
      <c r="B140" s="731"/>
      <c r="C140" s="716"/>
      <c r="D140" s="209"/>
      <c r="E140" s="129" t="s">
        <v>640</v>
      </c>
      <c r="F140" s="705"/>
      <c r="G140" s="705"/>
      <c r="H140" s="705"/>
      <c r="I140" s="705"/>
      <c r="J140" s="705"/>
      <c r="K140" s="705"/>
      <c r="L140" s="705"/>
      <c r="M140" s="705"/>
      <c r="N140" s="705"/>
      <c r="O140" s="705"/>
      <c r="P140" s="705"/>
      <c r="Q140" s="705"/>
      <c r="R140" s="705"/>
      <c r="S140" s="705"/>
      <c r="T140" s="705"/>
      <c r="U140" s="705"/>
      <c r="V140" s="705"/>
      <c r="W140" s="705"/>
      <c r="X140" s="705"/>
      <c r="Y140" s="209"/>
      <c r="Z140" s="127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09"/>
      <c r="AK140" s="209"/>
      <c r="AL140" s="746"/>
      <c r="AM140" s="738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717"/>
      <c r="AZ140" s="718"/>
      <c r="BA140" s="718"/>
      <c r="BB140" s="718"/>
      <c r="BC140" s="718"/>
      <c r="BD140" s="718"/>
      <c r="BE140" s="718"/>
      <c r="BF140" s="718"/>
      <c r="BG140" s="718"/>
      <c r="BH140" s="718"/>
      <c r="BI140" s="718"/>
      <c r="BJ140" s="718"/>
      <c r="BK140" s="718"/>
      <c r="BL140" s="718"/>
      <c r="BM140" s="205"/>
      <c r="BP140" s="205"/>
      <c r="BQ140" s="205"/>
      <c r="BR140" s="205"/>
      <c r="BS140" s="205"/>
      <c r="BT140" s="205"/>
      <c r="BU140" s="205"/>
      <c r="BV140" s="205"/>
      <c r="BW140" s="205"/>
      <c r="BX140" s="205"/>
      <c r="BY140" s="205"/>
      <c r="BZ140" s="205"/>
      <c r="CA140" s="205"/>
    </row>
    <row r="141" spans="1:79" s="719" customFormat="1" ht="30" hidden="1" customHeight="1">
      <c r="A141" s="720"/>
      <c r="B141" s="732"/>
      <c r="C141" s="720"/>
      <c r="D141" s="211"/>
      <c r="E141" s="129"/>
      <c r="F141" s="709"/>
      <c r="G141" s="709"/>
      <c r="H141" s="709"/>
      <c r="I141" s="709"/>
      <c r="J141" s="709"/>
      <c r="K141" s="709"/>
      <c r="L141" s="709"/>
      <c r="M141" s="709"/>
      <c r="N141" s="709"/>
      <c r="O141" s="709"/>
      <c r="P141" s="709"/>
      <c r="Q141" s="709"/>
      <c r="R141" s="709"/>
      <c r="S141" s="709"/>
      <c r="T141" s="709"/>
      <c r="U141" s="709"/>
      <c r="V141" s="709"/>
      <c r="W141" s="709"/>
      <c r="X141" s="709"/>
      <c r="Y141" s="709"/>
      <c r="Z141" s="130"/>
      <c r="AA141" s="709"/>
      <c r="AB141" s="709"/>
      <c r="AC141" s="709"/>
      <c r="AD141" s="709"/>
      <c r="AE141" s="709"/>
      <c r="AF141" s="709"/>
      <c r="AG141" s="709"/>
      <c r="AH141" s="709"/>
      <c r="AI141" s="709"/>
      <c r="AJ141" s="709"/>
      <c r="AK141" s="709"/>
      <c r="AL141" s="714"/>
      <c r="AM141" s="739"/>
      <c r="AN141" s="709"/>
      <c r="AO141" s="709"/>
      <c r="AP141" s="709"/>
      <c r="AQ141" s="709"/>
      <c r="AR141" s="709"/>
      <c r="AS141" s="709"/>
      <c r="AT141" s="709"/>
      <c r="AU141" s="709"/>
      <c r="AV141" s="709"/>
      <c r="AW141" s="709"/>
      <c r="AX141" s="709"/>
      <c r="AY141" s="717"/>
      <c r="AZ141" s="718"/>
      <c r="BA141" s="718"/>
      <c r="BB141" s="718"/>
      <c r="BC141" s="718"/>
      <c r="BD141" s="718"/>
      <c r="BE141" s="718"/>
      <c r="BF141" s="718"/>
      <c r="BG141" s="718"/>
      <c r="BH141" s="718"/>
      <c r="BI141" s="718"/>
      <c r="BJ141" s="718"/>
      <c r="BK141" s="718"/>
      <c r="BL141" s="718"/>
      <c r="BM141" s="205"/>
      <c r="BP141" s="205"/>
      <c r="BQ141" s="205"/>
      <c r="BR141" s="205"/>
      <c r="BS141" s="205"/>
      <c r="BT141" s="205"/>
      <c r="BU141" s="205"/>
      <c r="BV141" s="205"/>
      <c r="BW141" s="205"/>
      <c r="BX141" s="205"/>
      <c r="BY141" s="205"/>
      <c r="BZ141" s="205"/>
      <c r="CA141" s="205"/>
    </row>
    <row r="142" spans="1:79" s="719" customFormat="1" ht="30" hidden="1" customHeight="1">
      <c r="A142" s="720"/>
      <c r="B142" s="732"/>
      <c r="C142" s="720"/>
      <c r="D142" s="211"/>
      <c r="E142" s="129"/>
      <c r="F142" s="709"/>
      <c r="G142" s="709"/>
      <c r="H142" s="709"/>
      <c r="I142" s="709"/>
      <c r="J142" s="709"/>
      <c r="K142" s="709"/>
      <c r="L142" s="709"/>
      <c r="M142" s="709"/>
      <c r="N142" s="709"/>
      <c r="O142" s="709"/>
      <c r="P142" s="709"/>
      <c r="Q142" s="709"/>
      <c r="R142" s="709"/>
      <c r="S142" s="709"/>
      <c r="T142" s="709"/>
      <c r="U142" s="709"/>
      <c r="V142" s="709"/>
      <c r="W142" s="709"/>
      <c r="X142" s="709"/>
      <c r="Y142" s="709"/>
      <c r="Z142" s="130"/>
      <c r="AA142" s="709"/>
      <c r="AB142" s="709"/>
      <c r="AC142" s="709"/>
      <c r="AD142" s="709"/>
      <c r="AE142" s="709"/>
      <c r="AF142" s="709"/>
      <c r="AG142" s="709"/>
      <c r="AH142" s="709"/>
      <c r="AI142" s="709"/>
      <c r="AJ142" s="709"/>
      <c r="AK142" s="709"/>
      <c r="AL142" s="714"/>
      <c r="AM142" s="739"/>
      <c r="AN142" s="709"/>
      <c r="AO142" s="709"/>
      <c r="AP142" s="709"/>
      <c r="AQ142" s="709"/>
      <c r="AR142" s="709"/>
      <c r="AS142" s="709"/>
      <c r="AT142" s="709"/>
      <c r="AU142" s="709"/>
      <c r="AV142" s="709"/>
      <c r="AW142" s="709"/>
      <c r="AX142" s="709"/>
      <c r="AY142" s="717"/>
      <c r="AZ142" s="718"/>
      <c r="BA142" s="718"/>
      <c r="BB142" s="718"/>
      <c r="BC142" s="718"/>
      <c r="BD142" s="718"/>
      <c r="BE142" s="718"/>
      <c r="BF142" s="718"/>
      <c r="BG142" s="718"/>
      <c r="BH142" s="718"/>
      <c r="BI142" s="718"/>
      <c r="BJ142" s="718"/>
      <c r="BK142" s="718"/>
      <c r="BL142" s="718"/>
      <c r="BM142" s="205"/>
      <c r="BP142" s="205"/>
      <c r="BQ142" s="205"/>
      <c r="BR142" s="205"/>
      <c r="BS142" s="205"/>
      <c r="BT142" s="205"/>
      <c r="BU142" s="205"/>
      <c r="BV142" s="205"/>
      <c r="BW142" s="205"/>
      <c r="BX142" s="205"/>
      <c r="BY142" s="205"/>
      <c r="BZ142" s="205"/>
      <c r="CA142" s="205"/>
    </row>
    <row r="143" spans="1:79" s="719" customFormat="1" ht="30" hidden="1" customHeight="1">
      <c r="A143" s="720"/>
      <c r="B143" s="732"/>
      <c r="C143" s="720">
        <f>COUNT(C141:C142)</f>
        <v>0</v>
      </c>
      <c r="D143" s="211"/>
      <c r="E143" s="129" t="s">
        <v>641</v>
      </c>
      <c r="F143" s="709">
        <f>SUM(F141:F142)</f>
        <v>0</v>
      </c>
      <c r="G143" s="709">
        <f t="shared" ref="G143:AL143" si="107">SUM(G141:G142)</f>
        <v>0</v>
      </c>
      <c r="H143" s="709">
        <f t="shared" si="107"/>
        <v>0</v>
      </c>
      <c r="I143" s="709">
        <f t="shared" si="107"/>
        <v>0</v>
      </c>
      <c r="J143" s="709">
        <f t="shared" si="107"/>
        <v>0</v>
      </c>
      <c r="K143" s="709">
        <f t="shared" si="107"/>
        <v>0</v>
      </c>
      <c r="L143" s="709">
        <f t="shared" si="107"/>
        <v>0</v>
      </c>
      <c r="M143" s="709">
        <f t="shared" si="107"/>
        <v>0</v>
      </c>
      <c r="N143" s="709">
        <f t="shared" si="107"/>
        <v>0</v>
      </c>
      <c r="O143" s="709">
        <f t="shared" si="107"/>
        <v>0</v>
      </c>
      <c r="P143" s="709">
        <f t="shared" si="107"/>
        <v>0</v>
      </c>
      <c r="Q143" s="709">
        <f t="shared" si="107"/>
        <v>0</v>
      </c>
      <c r="R143" s="709">
        <f t="shared" si="107"/>
        <v>0</v>
      </c>
      <c r="S143" s="709">
        <f t="shared" si="107"/>
        <v>0</v>
      </c>
      <c r="T143" s="709">
        <f t="shared" si="107"/>
        <v>0</v>
      </c>
      <c r="U143" s="709">
        <f t="shared" si="107"/>
        <v>0</v>
      </c>
      <c r="V143" s="709">
        <f t="shared" si="107"/>
        <v>0</v>
      </c>
      <c r="W143" s="709">
        <f t="shared" si="107"/>
        <v>0</v>
      </c>
      <c r="X143" s="709">
        <f t="shared" si="107"/>
        <v>0</v>
      </c>
      <c r="Y143" s="709">
        <f t="shared" si="107"/>
        <v>0</v>
      </c>
      <c r="Z143" s="709"/>
      <c r="AA143" s="709">
        <f t="shared" si="107"/>
        <v>0</v>
      </c>
      <c r="AB143" s="709">
        <f t="shared" si="107"/>
        <v>0</v>
      </c>
      <c r="AC143" s="709">
        <f t="shared" si="107"/>
        <v>0</v>
      </c>
      <c r="AD143" s="709">
        <f t="shared" si="107"/>
        <v>0</v>
      </c>
      <c r="AE143" s="709">
        <f t="shared" si="107"/>
        <v>0</v>
      </c>
      <c r="AF143" s="709">
        <f t="shared" si="107"/>
        <v>0</v>
      </c>
      <c r="AG143" s="709">
        <f t="shared" si="107"/>
        <v>0</v>
      </c>
      <c r="AH143" s="709">
        <f t="shared" si="107"/>
        <v>0</v>
      </c>
      <c r="AI143" s="709">
        <f t="shared" si="107"/>
        <v>0</v>
      </c>
      <c r="AJ143" s="709">
        <f t="shared" si="107"/>
        <v>0</v>
      </c>
      <c r="AK143" s="709">
        <f t="shared" si="107"/>
        <v>0</v>
      </c>
      <c r="AL143" s="714">
        <f t="shared" si="107"/>
        <v>0</v>
      </c>
      <c r="AM143" s="739"/>
      <c r="AN143" s="709"/>
      <c r="AO143" s="709"/>
      <c r="AP143" s="709"/>
      <c r="AQ143" s="709"/>
      <c r="AR143" s="709"/>
      <c r="AS143" s="709"/>
      <c r="AT143" s="709"/>
      <c r="AU143" s="709"/>
      <c r="AV143" s="709"/>
      <c r="AW143" s="709"/>
      <c r="AX143" s="709"/>
      <c r="AY143" s="717"/>
      <c r="AZ143" s="718"/>
      <c r="BA143" s="718"/>
      <c r="BB143" s="718"/>
      <c r="BC143" s="718"/>
      <c r="BD143" s="718"/>
      <c r="BE143" s="718"/>
      <c r="BF143" s="718"/>
      <c r="BG143" s="718"/>
      <c r="BH143" s="718"/>
      <c r="BI143" s="718"/>
      <c r="BJ143" s="718"/>
      <c r="BK143" s="718"/>
      <c r="BL143" s="718"/>
      <c r="BM143" s="205"/>
      <c r="BP143" s="205"/>
      <c r="BQ143" s="205"/>
      <c r="BR143" s="205"/>
      <c r="BS143" s="205"/>
      <c r="BT143" s="205"/>
      <c r="BU143" s="205"/>
      <c r="BV143" s="205"/>
      <c r="BW143" s="205"/>
      <c r="BX143" s="205"/>
      <c r="BY143" s="205"/>
      <c r="BZ143" s="205"/>
      <c r="CA143" s="205"/>
    </row>
    <row r="144" spans="1:79" s="719" customFormat="1" ht="30" hidden="1" customHeight="1">
      <c r="A144" s="720"/>
      <c r="B144" s="732"/>
      <c r="C144" s="720"/>
      <c r="D144" s="211"/>
      <c r="E144" s="129"/>
      <c r="F144" s="709"/>
      <c r="G144" s="709"/>
      <c r="H144" s="709"/>
      <c r="I144" s="709"/>
      <c r="J144" s="709"/>
      <c r="K144" s="709"/>
      <c r="L144" s="709"/>
      <c r="M144" s="709"/>
      <c r="N144" s="709"/>
      <c r="O144" s="709"/>
      <c r="P144" s="709"/>
      <c r="Q144" s="709"/>
      <c r="R144" s="709"/>
      <c r="S144" s="709"/>
      <c r="T144" s="709"/>
      <c r="U144" s="709"/>
      <c r="V144" s="709"/>
      <c r="W144" s="709"/>
      <c r="X144" s="709"/>
      <c r="Y144" s="709"/>
      <c r="Z144" s="130"/>
      <c r="AA144" s="709"/>
      <c r="AB144" s="709"/>
      <c r="AC144" s="709"/>
      <c r="AD144" s="709"/>
      <c r="AE144" s="709"/>
      <c r="AF144" s="709"/>
      <c r="AG144" s="709"/>
      <c r="AH144" s="709"/>
      <c r="AI144" s="709"/>
      <c r="AJ144" s="709"/>
      <c r="AK144" s="709"/>
      <c r="AL144" s="714"/>
      <c r="AM144" s="739"/>
      <c r="AN144" s="709"/>
      <c r="AO144" s="709"/>
      <c r="AP144" s="709"/>
      <c r="AQ144" s="709"/>
      <c r="AR144" s="709"/>
      <c r="AS144" s="709"/>
      <c r="AT144" s="709"/>
      <c r="AU144" s="709"/>
      <c r="AV144" s="709"/>
      <c r="AW144" s="709"/>
      <c r="AX144" s="709"/>
      <c r="AY144" s="717"/>
      <c r="AZ144" s="718"/>
      <c r="BA144" s="718"/>
      <c r="BB144" s="718"/>
      <c r="BC144" s="718"/>
      <c r="BD144" s="718"/>
      <c r="BE144" s="718"/>
      <c r="BF144" s="718"/>
      <c r="BG144" s="718"/>
      <c r="BH144" s="718"/>
      <c r="BI144" s="718"/>
      <c r="BJ144" s="718"/>
      <c r="BK144" s="718"/>
      <c r="BL144" s="718"/>
      <c r="BM144" s="205"/>
      <c r="BP144" s="205"/>
      <c r="BQ144" s="205"/>
      <c r="BR144" s="205"/>
      <c r="BS144" s="205"/>
      <c r="BT144" s="205"/>
      <c r="BU144" s="205"/>
      <c r="BV144" s="205"/>
      <c r="BW144" s="205"/>
      <c r="BX144" s="205"/>
      <c r="BY144" s="205"/>
      <c r="BZ144" s="205"/>
      <c r="CA144" s="205"/>
    </row>
    <row r="145" spans="1:79" s="719" customFormat="1" ht="30" hidden="1" customHeight="1">
      <c r="A145" s="716"/>
      <c r="B145" s="731"/>
      <c r="C145" s="716"/>
      <c r="D145" s="209"/>
      <c r="E145" s="129" t="s">
        <v>451</v>
      </c>
      <c r="F145" s="705"/>
      <c r="G145" s="705"/>
      <c r="H145" s="705"/>
      <c r="I145" s="705"/>
      <c r="J145" s="705"/>
      <c r="K145" s="705"/>
      <c r="L145" s="705"/>
      <c r="M145" s="705"/>
      <c r="N145" s="705"/>
      <c r="O145" s="705"/>
      <c r="P145" s="705"/>
      <c r="Q145" s="705"/>
      <c r="R145" s="705"/>
      <c r="S145" s="705"/>
      <c r="T145" s="705"/>
      <c r="U145" s="705"/>
      <c r="V145" s="705"/>
      <c r="W145" s="705"/>
      <c r="X145" s="705"/>
      <c r="Y145" s="209"/>
      <c r="Z145" s="127"/>
      <c r="AA145" s="209"/>
      <c r="AB145" s="209"/>
      <c r="AC145" s="209"/>
      <c r="AD145" s="209"/>
      <c r="AE145" s="209"/>
      <c r="AF145" s="209"/>
      <c r="AG145" s="209"/>
      <c r="AH145" s="209"/>
      <c r="AI145" s="209"/>
      <c r="AJ145" s="209"/>
      <c r="AK145" s="209"/>
      <c r="AL145" s="746"/>
      <c r="AM145" s="738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717"/>
      <c r="AZ145" s="718"/>
      <c r="BA145" s="718"/>
      <c r="BB145" s="718"/>
      <c r="BC145" s="718"/>
      <c r="BD145" s="718"/>
      <c r="BE145" s="718"/>
      <c r="BF145" s="718"/>
      <c r="BG145" s="718"/>
      <c r="BH145" s="718"/>
      <c r="BI145" s="718"/>
      <c r="BJ145" s="718"/>
      <c r="BK145" s="718"/>
      <c r="BL145" s="718"/>
      <c r="BM145" s="205"/>
      <c r="BP145" s="205"/>
      <c r="BQ145" s="205"/>
      <c r="BR145" s="205"/>
      <c r="BS145" s="205"/>
      <c r="BT145" s="205"/>
      <c r="BU145" s="205"/>
      <c r="BV145" s="205"/>
      <c r="BW145" s="205"/>
      <c r="BX145" s="205"/>
      <c r="BY145" s="205"/>
      <c r="BZ145" s="205"/>
      <c r="CA145" s="205"/>
    </row>
    <row r="146" spans="1:79" s="719" customFormat="1" ht="30" hidden="1" customHeight="1">
      <c r="A146" s="720"/>
      <c r="B146" s="732"/>
      <c r="C146" s="720"/>
      <c r="D146" s="211"/>
      <c r="E146" s="129"/>
      <c r="F146" s="709"/>
      <c r="G146" s="709"/>
      <c r="H146" s="709"/>
      <c r="I146" s="709"/>
      <c r="J146" s="709"/>
      <c r="K146" s="709"/>
      <c r="L146" s="709"/>
      <c r="M146" s="709"/>
      <c r="N146" s="709"/>
      <c r="O146" s="709"/>
      <c r="P146" s="709"/>
      <c r="Q146" s="709"/>
      <c r="R146" s="709"/>
      <c r="S146" s="709"/>
      <c r="T146" s="709"/>
      <c r="U146" s="709"/>
      <c r="V146" s="709"/>
      <c r="W146" s="709"/>
      <c r="X146" s="709"/>
      <c r="Y146" s="709"/>
      <c r="Z146" s="130"/>
      <c r="AA146" s="709"/>
      <c r="AB146" s="709"/>
      <c r="AC146" s="709"/>
      <c r="AD146" s="709"/>
      <c r="AE146" s="709"/>
      <c r="AF146" s="709"/>
      <c r="AG146" s="709"/>
      <c r="AH146" s="709"/>
      <c r="AI146" s="709"/>
      <c r="AJ146" s="709"/>
      <c r="AK146" s="709"/>
      <c r="AL146" s="714"/>
      <c r="AM146" s="739"/>
      <c r="AN146" s="709"/>
      <c r="AO146" s="709"/>
      <c r="AP146" s="709"/>
      <c r="AQ146" s="709"/>
      <c r="AR146" s="709"/>
      <c r="AS146" s="709"/>
      <c r="AT146" s="709"/>
      <c r="AU146" s="709"/>
      <c r="AV146" s="709"/>
      <c r="AW146" s="709"/>
      <c r="AX146" s="709"/>
      <c r="AY146" s="717"/>
      <c r="AZ146" s="718"/>
      <c r="BA146" s="718"/>
      <c r="BB146" s="718"/>
      <c r="BC146" s="718"/>
      <c r="BD146" s="718"/>
      <c r="BE146" s="718"/>
      <c r="BF146" s="718"/>
      <c r="BG146" s="718"/>
      <c r="BH146" s="718"/>
      <c r="BI146" s="718"/>
      <c r="BJ146" s="718"/>
      <c r="BK146" s="718"/>
      <c r="BL146" s="718"/>
      <c r="BM146" s="205"/>
      <c r="BP146" s="205"/>
      <c r="BQ146" s="205"/>
      <c r="BR146" s="205"/>
      <c r="BS146" s="205"/>
      <c r="BT146" s="205"/>
      <c r="BU146" s="205"/>
      <c r="BV146" s="205"/>
      <c r="BW146" s="205"/>
      <c r="BX146" s="205"/>
      <c r="BY146" s="205"/>
      <c r="BZ146" s="205"/>
      <c r="CA146" s="205"/>
    </row>
    <row r="147" spans="1:79" s="719" customFormat="1" ht="30" hidden="1" customHeight="1">
      <c r="A147" s="720"/>
      <c r="B147" s="732"/>
      <c r="C147" s="720"/>
      <c r="D147" s="211"/>
      <c r="E147" s="129"/>
      <c r="F147" s="709"/>
      <c r="G147" s="709"/>
      <c r="H147" s="709"/>
      <c r="I147" s="709"/>
      <c r="J147" s="709"/>
      <c r="K147" s="709"/>
      <c r="L147" s="709"/>
      <c r="M147" s="709"/>
      <c r="N147" s="709"/>
      <c r="O147" s="709"/>
      <c r="P147" s="709"/>
      <c r="Q147" s="709"/>
      <c r="R147" s="709"/>
      <c r="S147" s="709"/>
      <c r="T147" s="709"/>
      <c r="U147" s="709"/>
      <c r="V147" s="709"/>
      <c r="W147" s="709"/>
      <c r="X147" s="709"/>
      <c r="Y147" s="709"/>
      <c r="Z147" s="130"/>
      <c r="AA147" s="709"/>
      <c r="AB147" s="709"/>
      <c r="AC147" s="709"/>
      <c r="AD147" s="709"/>
      <c r="AE147" s="709"/>
      <c r="AF147" s="709"/>
      <c r="AG147" s="709"/>
      <c r="AH147" s="709"/>
      <c r="AI147" s="709"/>
      <c r="AJ147" s="709"/>
      <c r="AK147" s="709"/>
      <c r="AL147" s="714"/>
      <c r="AM147" s="739"/>
      <c r="AN147" s="709"/>
      <c r="AO147" s="709"/>
      <c r="AP147" s="709"/>
      <c r="AQ147" s="709"/>
      <c r="AR147" s="709"/>
      <c r="AS147" s="709"/>
      <c r="AT147" s="709"/>
      <c r="AU147" s="709"/>
      <c r="AV147" s="709"/>
      <c r="AW147" s="709"/>
      <c r="AX147" s="709"/>
      <c r="AY147" s="717"/>
      <c r="AZ147" s="718"/>
      <c r="BA147" s="718"/>
      <c r="BB147" s="718"/>
      <c r="BC147" s="718"/>
      <c r="BD147" s="718"/>
      <c r="BE147" s="718"/>
      <c r="BF147" s="718"/>
      <c r="BG147" s="718"/>
      <c r="BH147" s="718"/>
      <c r="BI147" s="718"/>
      <c r="BJ147" s="718"/>
      <c r="BK147" s="718"/>
      <c r="BL147" s="718"/>
      <c r="BM147" s="205"/>
      <c r="BP147" s="205"/>
      <c r="BQ147" s="205"/>
      <c r="BR147" s="205"/>
      <c r="BS147" s="205"/>
      <c r="BT147" s="205"/>
      <c r="BU147" s="205"/>
      <c r="BV147" s="205"/>
      <c r="BW147" s="205"/>
      <c r="BX147" s="205"/>
      <c r="BY147" s="205"/>
      <c r="BZ147" s="205"/>
      <c r="CA147" s="205"/>
    </row>
    <row r="148" spans="1:79" s="719" customFormat="1" ht="30" hidden="1" customHeight="1">
      <c r="A148" s="720"/>
      <c r="B148" s="732"/>
      <c r="C148" s="720">
        <f>COUNT(C146:C147)</f>
        <v>0</v>
      </c>
      <c r="D148" s="211"/>
      <c r="E148" s="129" t="s">
        <v>452</v>
      </c>
      <c r="F148" s="709">
        <f>SUM(F146:F147)</f>
        <v>0</v>
      </c>
      <c r="G148" s="709">
        <f t="shared" ref="G148:AL148" si="108">SUM(G146:G147)</f>
        <v>0</v>
      </c>
      <c r="H148" s="709">
        <f t="shared" si="108"/>
        <v>0</v>
      </c>
      <c r="I148" s="709">
        <f t="shared" si="108"/>
        <v>0</v>
      </c>
      <c r="J148" s="709">
        <f t="shared" si="108"/>
        <v>0</v>
      </c>
      <c r="K148" s="709">
        <f t="shared" si="108"/>
        <v>0</v>
      </c>
      <c r="L148" s="709">
        <f t="shared" si="108"/>
        <v>0</v>
      </c>
      <c r="M148" s="709">
        <f t="shared" si="108"/>
        <v>0</v>
      </c>
      <c r="N148" s="709">
        <f t="shared" si="108"/>
        <v>0</v>
      </c>
      <c r="O148" s="709">
        <f t="shared" si="108"/>
        <v>0</v>
      </c>
      <c r="P148" s="709">
        <f t="shared" si="108"/>
        <v>0</v>
      </c>
      <c r="Q148" s="709">
        <f t="shared" si="108"/>
        <v>0</v>
      </c>
      <c r="R148" s="709">
        <f t="shared" si="108"/>
        <v>0</v>
      </c>
      <c r="S148" s="709">
        <f t="shared" si="108"/>
        <v>0</v>
      </c>
      <c r="T148" s="709">
        <f t="shared" si="108"/>
        <v>0</v>
      </c>
      <c r="U148" s="709">
        <f t="shared" si="108"/>
        <v>0</v>
      </c>
      <c r="V148" s="709">
        <f t="shared" si="108"/>
        <v>0</v>
      </c>
      <c r="W148" s="709">
        <f t="shared" si="108"/>
        <v>0</v>
      </c>
      <c r="X148" s="709">
        <f t="shared" si="108"/>
        <v>0</v>
      </c>
      <c r="Y148" s="709">
        <f t="shared" si="108"/>
        <v>0</v>
      </c>
      <c r="Z148" s="709"/>
      <c r="AA148" s="709">
        <f t="shared" si="108"/>
        <v>0</v>
      </c>
      <c r="AB148" s="709">
        <f t="shared" si="108"/>
        <v>0</v>
      </c>
      <c r="AC148" s="709">
        <f t="shared" si="108"/>
        <v>0</v>
      </c>
      <c r="AD148" s="709">
        <f t="shared" si="108"/>
        <v>0</v>
      </c>
      <c r="AE148" s="709">
        <f t="shared" si="108"/>
        <v>0</v>
      </c>
      <c r="AF148" s="709">
        <f t="shared" si="108"/>
        <v>0</v>
      </c>
      <c r="AG148" s="709">
        <f t="shared" si="108"/>
        <v>0</v>
      </c>
      <c r="AH148" s="709">
        <f t="shared" si="108"/>
        <v>0</v>
      </c>
      <c r="AI148" s="709">
        <f t="shared" si="108"/>
        <v>0</v>
      </c>
      <c r="AJ148" s="709">
        <f t="shared" si="108"/>
        <v>0</v>
      </c>
      <c r="AK148" s="709">
        <f t="shared" si="108"/>
        <v>0</v>
      </c>
      <c r="AL148" s="714">
        <f t="shared" si="108"/>
        <v>0</v>
      </c>
      <c r="AM148" s="739"/>
      <c r="AN148" s="709"/>
      <c r="AO148" s="709"/>
      <c r="AP148" s="709"/>
      <c r="AQ148" s="709"/>
      <c r="AR148" s="709"/>
      <c r="AS148" s="709"/>
      <c r="AT148" s="709"/>
      <c r="AU148" s="709"/>
      <c r="AV148" s="709"/>
      <c r="AW148" s="709"/>
      <c r="AX148" s="709"/>
      <c r="AY148" s="717"/>
      <c r="AZ148" s="718"/>
      <c r="BA148" s="718"/>
      <c r="BB148" s="718"/>
      <c r="BC148" s="718"/>
      <c r="BD148" s="718"/>
      <c r="BE148" s="718"/>
      <c r="BF148" s="718"/>
      <c r="BG148" s="718"/>
      <c r="BH148" s="718"/>
      <c r="BI148" s="718"/>
      <c r="BJ148" s="718"/>
      <c r="BK148" s="718"/>
      <c r="BL148" s="718"/>
      <c r="BM148" s="205"/>
      <c r="BP148" s="205"/>
      <c r="BQ148" s="205"/>
      <c r="BR148" s="205"/>
      <c r="BS148" s="205"/>
      <c r="BT148" s="205"/>
      <c r="BU148" s="205"/>
      <c r="BV148" s="205"/>
      <c r="BW148" s="205"/>
      <c r="BX148" s="205"/>
      <c r="BY148" s="205"/>
      <c r="BZ148" s="205"/>
      <c r="CA148" s="205"/>
    </row>
    <row r="149" spans="1:79" s="719" customFormat="1" ht="30" hidden="1" customHeight="1">
      <c r="A149" s="720"/>
      <c r="B149" s="732"/>
      <c r="C149" s="720"/>
      <c r="D149" s="211"/>
      <c r="E149" s="129"/>
      <c r="F149" s="709"/>
      <c r="G149" s="709"/>
      <c r="H149" s="709"/>
      <c r="I149" s="709"/>
      <c r="J149" s="709"/>
      <c r="K149" s="709"/>
      <c r="L149" s="709"/>
      <c r="M149" s="709"/>
      <c r="N149" s="709"/>
      <c r="O149" s="709"/>
      <c r="P149" s="709"/>
      <c r="Q149" s="709"/>
      <c r="R149" s="709"/>
      <c r="S149" s="709"/>
      <c r="T149" s="709"/>
      <c r="U149" s="709"/>
      <c r="V149" s="709"/>
      <c r="W149" s="709"/>
      <c r="X149" s="709"/>
      <c r="Y149" s="709"/>
      <c r="Z149" s="130"/>
      <c r="AA149" s="709"/>
      <c r="AB149" s="709"/>
      <c r="AC149" s="709"/>
      <c r="AD149" s="709"/>
      <c r="AE149" s="709"/>
      <c r="AF149" s="709"/>
      <c r="AG149" s="709"/>
      <c r="AH149" s="709"/>
      <c r="AI149" s="709"/>
      <c r="AJ149" s="709"/>
      <c r="AK149" s="709"/>
      <c r="AL149" s="714"/>
      <c r="AM149" s="739"/>
      <c r="AN149" s="709"/>
      <c r="AO149" s="709"/>
      <c r="AP149" s="709"/>
      <c r="AQ149" s="709"/>
      <c r="AR149" s="709"/>
      <c r="AS149" s="709"/>
      <c r="AT149" s="709"/>
      <c r="AU149" s="709"/>
      <c r="AV149" s="709"/>
      <c r="AW149" s="709"/>
      <c r="AX149" s="709"/>
      <c r="AY149" s="717"/>
      <c r="AZ149" s="718"/>
      <c r="BA149" s="718"/>
      <c r="BB149" s="718"/>
      <c r="BC149" s="718"/>
      <c r="BD149" s="718"/>
      <c r="BE149" s="718"/>
      <c r="BF149" s="718"/>
      <c r="BG149" s="718"/>
      <c r="BH149" s="718"/>
      <c r="BI149" s="718"/>
      <c r="BJ149" s="718"/>
      <c r="BK149" s="718"/>
      <c r="BL149" s="718"/>
      <c r="BM149" s="205"/>
      <c r="BP149" s="205"/>
      <c r="BQ149" s="205"/>
      <c r="BR149" s="205"/>
      <c r="BS149" s="205"/>
      <c r="BT149" s="205"/>
      <c r="BU149" s="205"/>
      <c r="BV149" s="205"/>
      <c r="BW149" s="205"/>
      <c r="BX149" s="205"/>
      <c r="BY149" s="205"/>
      <c r="BZ149" s="205"/>
      <c r="CA149" s="205"/>
    </row>
    <row r="150" spans="1:79" s="719" customFormat="1" ht="30" customHeight="1">
      <c r="A150" s="706"/>
      <c r="B150" s="731"/>
      <c r="C150" s="716"/>
      <c r="D150" s="209"/>
      <c r="E150" s="129" t="s">
        <v>175</v>
      </c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705"/>
      <c r="S150" s="705"/>
      <c r="T150" s="705"/>
      <c r="U150" s="705"/>
      <c r="V150" s="705"/>
      <c r="W150" s="705"/>
      <c r="X150" s="705"/>
      <c r="Y150" s="209"/>
      <c r="Z150" s="127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746"/>
      <c r="AM150" s="738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717"/>
      <c r="AZ150" s="718"/>
      <c r="BA150" s="718"/>
      <c r="BB150" s="718"/>
      <c r="BC150" s="718"/>
      <c r="BD150" s="718"/>
      <c r="BE150" s="718"/>
      <c r="BF150" s="718"/>
      <c r="BG150" s="718"/>
      <c r="BH150" s="718"/>
      <c r="BI150" s="718"/>
      <c r="BJ150" s="718"/>
      <c r="BK150" s="718"/>
      <c r="BL150" s="718"/>
      <c r="BM150" s="205"/>
      <c r="BP150" s="205"/>
      <c r="BQ150" s="205"/>
      <c r="BR150" s="205"/>
      <c r="BS150" s="205"/>
      <c r="BT150" s="205"/>
      <c r="BU150" s="205"/>
      <c r="BV150" s="205"/>
      <c r="BW150" s="205"/>
      <c r="BX150" s="205"/>
      <c r="BY150" s="205"/>
      <c r="BZ150" s="205"/>
      <c r="CA150" s="205"/>
    </row>
    <row r="151" spans="1:79" s="719" customFormat="1" ht="30" customHeight="1">
      <c r="A151" s="706" t="s">
        <v>1073</v>
      </c>
      <c r="B151" s="730" t="s">
        <v>1074</v>
      </c>
      <c r="C151" s="716">
        <f>C137+1</f>
        <v>105</v>
      </c>
      <c r="D151" s="209">
        <v>20137</v>
      </c>
      <c r="E151" s="222" t="s">
        <v>634</v>
      </c>
      <c r="F151" s="705">
        <v>8000000</v>
      </c>
      <c r="G151" s="705">
        <v>8000000</v>
      </c>
      <c r="H151" s="705">
        <f>F151-G151</f>
        <v>0</v>
      </c>
      <c r="I151" s="705"/>
      <c r="J151" s="705"/>
      <c r="K151" s="705"/>
      <c r="L151" s="705"/>
      <c r="M151" s="705">
        <f>SUM(K151:L151)</f>
        <v>0</v>
      </c>
      <c r="N151" s="705">
        <f>M151+J151</f>
        <v>0</v>
      </c>
      <c r="O151" s="705">
        <f>2000000</f>
        <v>2000000</v>
      </c>
      <c r="P151" s="705">
        <f>F151-N151-O151</f>
        <v>6000000</v>
      </c>
      <c r="Q151" s="705">
        <f>I151-N151</f>
        <v>0</v>
      </c>
      <c r="R151" s="705">
        <f>O151-Q151</f>
        <v>2000000</v>
      </c>
      <c r="S151" s="705">
        <v>3000000</v>
      </c>
      <c r="T151" s="705">
        <f>R151-S151</f>
        <v>-1000000</v>
      </c>
      <c r="U151" s="705">
        <f>T151-X151-Y151-V151-W151</f>
        <v>0</v>
      </c>
      <c r="V151" s="705">
        <v>-1000000</v>
      </c>
      <c r="W151" s="705"/>
      <c r="X151" s="705"/>
      <c r="Y151" s="705"/>
      <c r="Z151" s="210" t="s">
        <v>1075</v>
      </c>
      <c r="AA151" s="705">
        <v>-1000000</v>
      </c>
      <c r="AB151" s="705"/>
      <c r="AC151" s="705"/>
      <c r="AD151" s="705"/>
      <c r="AE151" s="705"/>
      <c r="AF151" s="705">
        <f t="shared" ref="AF151" si="109">SUM(AA151:AE151)</f>
        <v>-1000000</v>
      </c>
      <c r="AG151" s="705">
        <f>T151-AF151</f>
        <v>0</v>
      </c>
      <c r="AH151" s="705">
        <f t="shared" ref="AH151:AH152" si="110">AF151-AI151-AJ151-AK151-AL151</f>
        <v>0</v>
      </c>
      <c r="AI151" s="705">
        <v>-1000000</v>
      </c>
      <c r="AJ151" s="705"/>
      <c r="AK151" s="705"/>
      <c r="AL151" s="708"/>
      <c r="AM151" s="713"/>
      <c r="AN151" s="705"/>
      <c r="AO151" s="705"/>
      <c r="AP151" s="705"/>
      <c r="AQ151" s="705"/>
      <c r="AR151" s="705"/>
      <c r="AS151" s="705"/>
      <c r="AT151" s="705"/>
      <c r="AU151" s="705"/>
      <c r="AV151" s="705"/>
      <c r="AW151" s="705"/>
      <c r="AX151" s="705"/>
      <c r="AY151" s="717"/>
      <c r="AZ151" s="718"/>
      <c r="BA151" s="718"/>
      <c r="BB151" s="718"/>
      <c r="BC151" s="718"/>
      <c r="BD151" s="718"/>
      <c r="BE151" s="718"/>
      <c r="BF151" s="718"/>
      <c r="BG151" s="718"/>
      <c r="BH151" s="718"/>
      <c r="BI151" s="718"/>
      <c r="BJ151" s="718"/>
      <c r="BK151" s="718"/>
      <c r="BL151" s="718"/>
      <c r="BM151" s="205"/>
      <c r="BP151" s="205"/>
      <c r="BQ151" s="205"/>
      <c r="BR151" s="205"/>
      <c r="BS151" s="205"/>
      <c r="BT151" s="205"/>
      <c r="BU151" s="205"/>
      <c r="BV151" s="205"/>
      <c r="BW151" s="205"/>
      <c r="BX151" s="205"/>
      <c r="BY151" s="205"/>
      <c r="BZ151" s="205"/>
      <c r="CA151" s="205"/>
    </row>
    <row r="152" spans="1:79" s="719" customFormat="1" ht="30" customHeight="1">
      <c r="A152" s="706" t="s">
        <v>1091</v>
      </c>
      <c r="B152" s="730" t="s">
        <v>1092</v>
      </c>
      <c r="C152" s="716">
        <f>C151+1</f>
        <v>106</v>
      </c>
      <c r="D152" s="209">
        <v>20137</v>
      </c>
      <c r="E152" s="222" t="s">
        <v>634</v>
      </c>
      <c r="F152" s="705">
        <v>8000000</v>
      </c>
      <c r="G152" s="705">
        <v>8000000</v>
      </c>
      <c r="H152" s="705">
        <f>F152-G152</f>
        <v>0</v>
      </c>
      <c r="I152" s="705"/>
      <c r="J152" s="705"/>
      <c r="K152" s="705"/>
      <c r="L152" s="705"/>
      <c r="M152" s="705">
        <f>SUM(K152:L152)</f>
        <v>0</v>
      </c>
      <c r="N152" s="705">
        <f>M152+J152</f>
        <v>0</v>
      </c>
      <c r="O152" s="705">
        <v>2500000</v>
      </c>
      <c r="P152" s="705">
        <f>F152-N152-O152</f>
        <v>5500000</v>
      </c>
      <c r="Q152" s="705">
        <f>I152-N152</f>
        <v>0</v>
      </c>
      <c r="R152" s="705">
        <f>O152-Q152</f>
        <v>2500000</v>
      </c>
      <c r="S152" s="705">
        <v>2000000</v>
      </c>
      <c r="T152" s="705">
        <f>R152-S152</f>
        <v>500000</v>
      </c>
      <c r="U152" s="705">
        <f>T152-X152-Y152-V152-W152</f>
        <v>0</v>
      </c>
      <c r="V152" s="705">
        <v>500000</v>
      </c>
      <c r="W152" s="705"/>
      <c r="X152" s="705"/>
      <c r="Y152" s="705"/>
      <c r="Z152" s="210" t="s">
        <v>1075</v>
      </c>
      <c r="AA152" s="705"/>
      <c r="AB152" s="705"/>
      <c r="AC152" s="705"/>
      <c r="AD152" s="705"/>
      <c r="AE152" s="705">
        <v>500000</v>
      </c>
      <c r="AF152" s="705">
        <f>SUM(AA152:AE152)</f>
        <v>500000</v>
      </c>
      <c r="AG152" s="705">
        <f>T152-AF152</f>
        <v>0</v>
      </c>
      <c r="AH152" s="705">
        <f t="shared" si="110"/>
        <v>0</v>
      </c>
      <c r="AI152" s="705">
        <v>500000</v>
      </c>
      <c r="AJ152" s="705"/>
      <c r="AK152" s="705"/>
      <c r="AL152" s="708"/>
      <c r="AM152" s="713"/>
      <c r="AN152" s="705"/>
      <c r="AO152" s="705"/>
      <c r="AP152" s="705"/>
      <c r="AQ152" s="705"/>
      <c r="AR152" s="705"/>
      <c r="AS152" s="705"/>
      <c r="AT152" s="705"/>
      <c r="AU152" s="705"/>
      <c r="AV152" s="705"/>
      <c r="AW152" s="705"/>
      <c r="AX152" s="705"/>
      <c r="AY152" s="717"/>
      <c r="AZ152" s="718"/>
      <c r="BA152" s="718"/>
      <c r="BB152" s="718"/>
      <c r="BC152" s="718"/>
      <c r="BD152" s="718"/>
      <c r="BE152" s="718"/>
      <c r="BF152" s="718"/>
      <c r="BG152" s="718"/>
      <c r="BH152" s="718"/>
      <c r="BI152" s="718"/>
      <c r="BJ152" s="718"/>
      <c r="BK152" s="718"/>
      <c r="BL152" s="718"/>
      <c r="BM152" s="205"/>
      <c r="BP152" s="205"/>
      <c r="BQ152" s="205"/>
      <c r="BR152" s="205"/>
      <c r="BS152" s="205"/>
      <c r="BT152" s="205"/>
      <c r="BU152" s="205"/>
      <c r="BV152" s="205"/>
      <c r="BW152" s="205"/>
      <c r="BX152" s="205"/>
      <c r="BY152" s="205"/>
      <c r="BZ152" s="205"/>
      <c r="CA152" s="205"/>
    </row>
    <row r="153" spans="1:79" s="719" customFormat="1" ht="30" customHeight="1">
      <c r="A153" s="720"/>
      <c r="B153" s="732"/>
      <c r="C153" s="720">
        <f>COUNT(C151:C152)</f>
        <v>2</v>
      </c>
      <c r="D153" s="211"/>
      <c r="E153" s="129" t="s">
        <v>247</v>
      </c>
      <c r="F153" s="709">
        <f>SUM(F151:F152)</f>
        <v>16000000</v>
      </c>
      <c r="G153" s="709">
        <f t="shared" ref="G153:AI153" si="111">SUM(G151:G152)</f>
        <v>16000000</v>
      </c>
      <c r="H153" s="709">
        <f t="shared" si="111"/>
        <v>0</v>
      </c>
      <c r="I153" s="709">
        <f t="shared" si="111"/>
        <v>0</v>
      </c>
      <c r="J153" s="709">
        <f t="shared" si="111"/>
        <v>0</v>
      </c>
      <c r="K153" s="709">
        <f t="shared" si="111"/>
        <v>0</v>
      </c>
      <c r="L153" s="709">
        <f t="shared" si="111"/>
        <v>0</v>
      </c>
      <c r="M153" s="709">
        <f t="shared" si="111"/>
        <v>0</v>
      </c>
      <c r="N153" s="709">
        <f t="shared" si="111"/>
        <v>0</v>
      </c>
      <c r="O153" s="709">
        <f t="shared" si="111"/>
        <v>4500000</v>
      </c>
      <c r="P153" s="709">
        <f t="shared" si="111"/>
        <v>11500000</v>
      </c>
      <c r="Q153" s="709">
        <f t="shared" si="111"/>
        <v>0</v>
      </c>
      <c r="R153" s="709">
        <f t="shared" si="111"/>
        <v>4500000</v>
      </c>
      <c r="S153" s="709">
        <f t="shared" si="111"/>
        <v>5000000</v>
      </c>
      <c r="T153" s="709">
        <f t="shared" si="111"/>
        <v>-500000</v>
      </c>
      <c r="U153" s="709">
        <f t="shared" si="111"/>
        <v>0</v>
      </c>
      <c r="V153" s="709">
        <f t="shared" si="111"/>
        <v>-500000</v>
      </c>
      <c r="W153" s="709">
        <f t="shared" si="111"/>
        <v>0</v>
      </c>
      <c r="X153" s="709">
        <f t="shared" si="111"/>
        <v>0</v>
      </c>
      <c r="Y153" s="709">
        <f t="shared" si="111"/>
        <v>0</v>
      </c>
      <c r="Z153" s="709"/>
      <c r="AA153" s="709">
        <f t="shared" si="111"/>
        <v>-1000000</v>
      </c>
      <c r="AB153" s="709">
        <f t="shared" si="111"/>
        <v>0</v>
      </c>
      <c r="AC153" s="709">
        <f t="shared" si="111"/>
        <v>0</v>
      </c>
      <c r="AD153" s="709">
        <f t="shared" si="111"/>
        <v>0</v>
      </c>
      <c r="AE153" s="709">
        <f t="shared" si="111"/>
        <v>500000</v>
      </c>
      <c r="AF153" s="709">
        <f t="shared" si="111"/>
        <v>-500000</v>
      </c>
      <c r="AG153" s="709">
        <f t="shared" si="111"/>
        <v>0</v>
      </c>
      <c r="AH153" s="709">
        <f t="shared" si="111"/>
        <v>0</v>
      </c>
      <c r="AI153" s="709">
        <f t="shared" si="111"/>
        <v>-500000</v>
      </c>
      <c r="AJ153" s="709">
        <f t="shared" ref="AJ153:AQ153" si="112">SUM(AJ152:AJ152)</f>
        <v>0</v>
      </c>
      <c r="AK153" s="709">
        <f t="shared" si="112"/>
        <v>0</v>
      </c>
      <c r="AL153" s="714">
        <f t="shared" si="112"/>
        <v>0</v>
      </c>
      <c r="AM153" s="742">
        <f t="shared" si="112"/>
        <v>0</v>
      </c>
      <c r="AN153" s="714">
        <f t="shared" si="112"/>
        <v>0</v>
      </c>
      <c r="AO153" s="714">
        <f t="shared" si="112"/>
        <v>0</v>
      </c>
      <c r="AP153" s="714">
        <f t="shared" si="112"/>
        <v>0</v>
      </c>
      <c r="AQ153" s="714">
        <f t="shared" si="112"/>
        <v>0</v>
      </c>
      <c r="AR153" s="709"/>
      <c r="AS153" s="714">
        <v>500000</v>
      </c>
      <c r="AT153" s="705">
        <f t="shared" ref="AT153" si="113">AS153-AU153-AV153-AW153-AX153</f>
        <v>0</v>
      </c>
      <c r="AU153" s="714">
        <v>500000</v>
      </c>
      <c r="AV153" s="714">
        <f t="shared" ref="AV153:AW153" si="114">SUM(AV152:AV152)</f>
        <v>0</v>
      </c>
      <c r="AW153" s="714">
        <f t="shared" si="114"/>
        <v>0</v>
      </c>
      <c r="AX153" s="709"/>
      <c r="AY153" s="717"/>
      <c r="AZ153" s="718"/>
      <c r="BA153" s="718"/>
      <c r="BB153" s="718"/>
      <c r="BC153" s="718"/>
      <c r="BD153" s="718"/>
      <c r="BE153" s="718"/>
      <c r="BF153" s="718"/>
      <c r="BG153" s="718"/>
      <c r="BH153" s="718"/>
      <c r="BI153" s="718"/>
      <c r="BJ153" s="718"/>
      <c r="BK153" s="718"/>
      <c r="BL153" s="718"/>
      <c r="BM153" s="205"/>
      <c r="BP153" s="205"/>
      <c r="BQ153" s="205"/>
      <c r="BR153" s="205"/>
      <c r="BS153" s="205"/>
      <c r="BT153" s="205"/>
      <c r="BU153" s="205"/>
      <c r="BV153" s="205"/>
      <c r="BW153" s="205"/>
      <c r="BX153" s="205"/>
      <c r="BY153" s="205"/>
      <c r="BZ153" s="205"/>
      <c r="CA153" s="205"/>
    </row>
    <row r="154" spans="1:79" s="719" customFormat="1" ht="20.100000000000001" customHeight="1">
      <c r="A154" s="706"/>
      <c r="B154" s="730"/>
      <c r="C154" s="720"/>
      <c r="D154" s="211"/>
      <c r="E154" s="12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709"/>
      <c r="S154" s="709"/>
      <c r="T154" s="709"/>
      <c r="U154" s="709"/>
      <c r="V154" s="709"/>
      <c r="W154" s="709"/>
      <c r="X154" s="709"/>
      <c r="Y154" s="709"/>
      <c r="Z154" s="130"/>
      <c r="AA154" s="709"/>
      <c r="AB154" s="709"/>
      <c r="AC154" s="709"/>
      <c r="AD154" s="709"/>
      <c r="AE154" s="709"/>
      <c r="AF154" s="709"/>
      <c r="AG154" s="709"/>
      <c r="AH154" s="709"/>
      <c r="AI154" s="709"/>
      <c r="AJ154" s="709"/>
      <c r="AK154" s="709"/>
      <c r="AL154" s="714"/>
      <c r="AM154" s="739"/>
      <c r="AN154" s="709"/>
      <c r="AO154" s="709"/>
      <c r="AP154" s="709"/>
      <c r="AQ154" s="709"/>
      <c r="AR154" s="709"/>
      <c r="AS154" s="709"/>
      <c r="AT154" s="709"/>
      <c r="AU154" s="709"/>
      <c r="AV154" s="709"/>
      <c r="AW154" s="709"/>
      <c r="AX154" s="709"/>
      <c r="AY154" s="717"/>
      <c r="AZ154" s="718"/>
      <c r="BA154" s="718"/>
      <c r="BB154" s="718"/>
      <c r="BC154" s="718"/>
      <c r="BD154" s="718"/>
      <c r="BE154" s="718"/>
      <c r="BF154" s="718"/>
      <c r="BG154" s="718"/>
      <c r="BH154" s="718"/>
      <c r="BI154" s="718"/>
      <c r="BJ154" s="718"/>
      <c r="BK154" s="718"/>
      <c r="BL154" s="718"/>
      <c r="BM154" s="205"/>
      <c r="BP154" s="205"/>
      <c r="BQ154" s="205"/>
      <c r="BR154" s="205"/>
      <c r="BS154" s="205"/>
      <c r="BT154" s="205"/>
      <c r="BU154" s="205"/>
      <c r="BV154" s="205"/>
      <c r="BW154" s="205"/>
      <c r="BX154" s="205"/>
      <c r="BY154" s="205"/>
      <c r="BZ154" s="205"/>
      <c r="CA154" s="205"/>
    </row>
    <row r="155" spans="1:79" s="723" customFormat="1" ht="30" customHeight="1">
      <c r="A155" s="720"/>
      <c r="B155" s="734" t="s">
        <v>306</v>
      </c>
      <c r="C155" s="749">
        <f>C153+C148+C143+C138+C131+C126+C120+C115+C80+C34</f>
        <v>109</v>
      </c>
      <c r="D155" s="211"/>
      <c r="E155" s="211" t="s">
        <v>141</v>
      </c>
      <c r="F155" s="709">
        <f t="shared" ref="F155:Y155" si="115">F153+F148+F143+F138+F131+F126+F120+F115+F80+F34</f>
        <v>2847143678</v>
      </c>
      <c r="G155" s="709">
        <f t="shared" si="115"/>
        <v>2717925388</v>
      </c>
      <c r="H155" s="709">
        <f t="shared" si="115"/>
        <v>129218290</v>
      </c>
      <c r="I155" s="709">
        <f t="shared" si="115"/>
        <v>1230984695</v>
      </c>
      <c r="J155" s="709">
        <f t="shared" si="115"/>
        <v>1119642358</v>
      </c>
      <c r="K155" s="709">
        <f t="shared" si="115"/>
        <v>0</v>
      </c>
      <c r="L155" s="709">
        <f t="shared" si="115"/>
        <v>0</v>
      </c>
      <c r="M155" s="709">
        <f t="shared" si="115"/>
        <v>0</v>
      </c>
      <c r="N155" s="709">
        <f t="shared" si="115"/>
        <v>1119642358</v>
      </c>
      <c r="O155" s="709">
        <f t="shared" si="115"/>
        <v>626780991</v>
      </c>
      <c r="P155" s="709">
        <f t="shared" si="115"/>
        <v>1100720329</v>
      </c>
      <c r="Q155" s="709">
        <f t="shared" si="115"/>
        <v>111342337</v>
      </c>
      <c r="R155" s="709">
        <f t="shared" si="115"/>
        <v>515438654</v>
      </c>
      <c r="S155" s="709">
        <f t="shared" si="115"/>
        <v>471967996</v>
      </c>
      <c r="T155" s="709">
        <f t="shared" si="115"/>
        <v>43470658</v>
      </c>
      <c r="U155" s="709">
        <f t="shared" si="115"/>
        <v>-314999</v>
      </c>
      <c r="V155" s="709">
        <f t="shared" si="115"/>
        <v>10630000</v>
      </c>
      <c r="W155" s="709">
        <f t="shared" si="115"/>
        <v>0</v>
      </c>
      <c r="X155" s="709">
        <f t="shared" si="115"/>
        <v>3700000</v>
      </c>
      <c r="Y155" s="709">
        <f t="shared" si="115"/>
        <v>29455657</v>
      </c>
      <c r="Z155" s="709"/>
      <c r="AA155" s="709">
        <f t="shared" ref="AA155:AX155" si="116">AA153+AA148+AA143+AA138+AA131+AA126+AA120+AA115+AA80+AA34</f>
        <v>7150000</v>
      </c>
      <c r="AB155" s="709">
        <f t="shared" si="116"/>
        <v>19860000</v>
      </c>
      <c r="AC155" s="709">
        <f t="shared" si="116"/>
        <v>3650000</v>
      </c>
      <c r="AD155" s="709">
        <f t="shared" si="116"/>
        <v>22796879</v>
      </c>
      <c r="AE155" s="709">
        <f t="shared" si="116"/>
        <v>32903279</v>
      </c>
      <c r="AF155" s="709">
        <f t="shared" si="116"/>
        <v>86360158</v>
      </c>
      <c r="AG155" s="709">
        <f t="shared" si="116"/>
        <v>-42889500</v>
      </c>
      <c r="AH155" s="709">
        <f t="shared" si="116"/>
        <v>38475973</v>
      </c>
      <c r="AI155" s="709">
        <f t="shared" si="116"/>
        <v>14079500</v>
      </c>
      <c r="AJ155" s="709">
        <f t="shared" si="116"/>
        <v>0</v>
      </c>
      <c r="AK155" s="709">
        <f t="shared" si="116"/>
        <v>3700000</v>
      </c>
      <c r="AL155" s="714">
        <f t="shared" si="116"/>
        <v>30104685</v>
      </c>
      <c r="AM155" s="742">
        <f t="shared" si="116"/>
        <v>129500</v>
      </c>
      <c r="AN155" s="714">
        <f t="shared" si="116"/>
        <v>-26657702</v>
      </c>
      <c r="AO155" s="714">
        <f t="shared" si="116"/>
        <v>129500</v>
      </c>
      <c r="AP155" s="714">
        <f t="shared" si="116"/>
        <v>0</v>
      </c>
      <c r="AQ155" s="714">
        <f t="shared" si="116"/>
        <v>0</v>
      </c>
      <c r="AR155" s="714">
        <f t="shared" si="116"/>
        <v>26657702</v>
      </c>
      <c r="AS155" s="714">
        <f t="shared" si="116"/>
        <v>-5070721</v>
      </c>
      <c r="AT155" s="714">
        <f t="shared" si="116"/>
        <v>-2555801</v>
      </c>
      <c r="AU155" s="714">
        <f t="shared" si="116"/>
        <v>500000</v>
      </c>
      <c r="AV155" s="714">
        <f t="shared" si="116"/>
        <v>0</v>
      </c>
      <c r="AW155" s="714">
        <f t="shared" si="116"/>
        <v>500000</v>
      </c>
      <c r="AX155" s="714">
        <f t="shared" si="116"/>
        <v>-3514920</v>
      </c>
      <c r="AY155" s="717"/>
      <c r="AZ155" s="718"/>
      <c r="BA155" s="718"/>
      <c r="BB155" s="718"/>
      <c r="BC155" s="718"/>
      <c r="BD155" s="718"/>
      <c r="BE155" s="718"/>
      <c r="BF155" s="718"/>
      <c r="BG155" s="718"/>
      <c r="BH155" s="718"/>
      <c r="BI155" s="718"/>
      <c r="BJ155" s="718"/>
      <c r="BK155" s="718"/>
      <c r="BL155" s="718"/>
      <c r="BM155" s="205"/>
      <c r="BP155" s="205"/>
      <c r="BQ155" s="205"/>
      <c r="BR155" s="205"/>
      <c r="BS155" s="205"/>
      <c r="BT155" s="205"/>
      <c r="BU155" s="205"/>
      <c r="BV155" s="205"/>
      <c r="BW155" s="205"/>
      <c r="BX155" s="205"/>
      <c r="BY155" s="205"/>
      <c r="BZ155" s="205"/>
      <c r="CA155" s="205"/>
    </row>
    <row r="156" spans="1:79" s="719" customFormat="1" ht="20.100000000000001" customHeight="1" thickBot="1">
      <c r="A156" s="724"/>
      <c r="B156" s="735"/>
      <c r="C156" s="724"/>
      <c r="D156" s="725"/>
      <c r="E156" s="726"/>
      <c r="F156" s="727"/>
      <c r="G156" s="727"/>
      <c r="H156" s="727"/>
      <c r="I156" s="727"/>
      <c r="J156" s="727"/>
      <c r="K156" s="727"/>
      <c r="L156" s="727"/>
      <c r="M156" s="727"/>
      <c r="N156" s="727"/>
      <c r="O156" s="727"/>
      <c r="P156" s="727"/>
      <c r="Q156" s="727"/>
      <c r="R156" s="727"/>
      <c r="S156" s="727"/>
      <c r="T156" s="727"/>
      <c r="U156" s="727"/>
      <c r="V156" s="727"/>
      <c r="W156" s="727"/>
      <c r="X156" s="727"/>
      <c r="Y156" s="727"/>
      <c r="Z156" s="728"/>
      <c r="AA156" s="727"/>
      <c r="AB156" s="727"/>
      <c r="AC156" s="727"/>
      <c r="AD156" s="727"/>
      <c r="AE156" s="727"/>
      <c r="AF156" s="727"/>
      <c r="AG156" s="727"/>
      <c r="AH156" s="727"/>
      <c r="AI156" s="727"/>
      <c r="AJ156" s="727"/>
      <c r="AK156" s="727"/>
      <c r="AL156" s="750"/>
      <c r="AM156" s="744"/>
      <c r="AN156" s="727"/>
      <c r="AO156" s="727"/>
      <c r="AP156" s="727"/>
      <c r="AQ156" s="727"/>
      <c r="AR156" s="727"/>
      <c r="AS156" s="727"/>
      <c r="AT156" s="727"/>
      <c r="AU156" s="727"/>
      <c r="AV156" s="727"/>
      <c r="AW156" s="727"/>
      <c r="AX156" s="727"/>
      <c r="AY156" s="717"/>
      <c r="AZ156" s="718"/>
      <c r="BA156" s="718"/>
      <c r="BB156" s="718"/>
      <c r="BC156" s="718"/>
      <c r="BD156" s="718"/>
      <c r="BE156" s="718"/>
      <c r="BF156" s="718"/>
      <c r="BG156" s="718"/>
      <c r="BH156" s="718"/>
      <c r="BI156" s="718"/>
      <c r="BJ156" s="718"/>
      <c r="BK156" s="718"/>
      <c r="BL156" s="718"/>
      <c r="BM156" s="205"/>
      <c r="BP156" s="205"/>
      <c r="BQ156" s="205"/>
      <c r="BR156" s="205"/>
      <c r="BS156" s="205"/>
      <c r="BT156" s="205"/>
      <c r="BU156" s="205"/>
      <c r="BV156" s="205"/>
      <c r="BW156" s="205"/>
      <c r="BX156" s="205"/>
      <c r="BY156" s="205"/>
      <c r="BZ156" s="205"/>
      <c r="CA156" s="205"/>
    </row>
    <row r="157" spans="1:79"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315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148"/>
      <c r="AZ157" s="566"/>
      <c r="BA157" s="566"/>
      <c r="BB157" s="566"/>
      <c r="BH157" s="566"/>
      <c r="BI157" s="566"/>
      <c r="BJ157" s="566"/>
      <c r="BK157" s="566"/>
      <c r="BL157" s="566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</row>
  </sheetData>
  <mergeCells count="4">
    <mergeCell ref="F4:P4"/>
    <mergeCell ref="S4:Y4"/>
    <mergeCell ref="AF4:AG4"/>
    <mergeCell ref="AH4:AL4"/>
  </mergeCells>
  <printOptions horizontalCentered="1"/>
  <pageMargins left="0" right="0" top="1.3779527559055118" bottom="0.55118110236220474" header="0.9055118110236221" footer="0.31496062992125984"/>
  <pageSetup paperSize="9" scale="85" fitToWidth="0" fitToHeight="0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130"/>
  <sheetViews>
    <sheetView rightToLeft="1" zoomScaleNormal="100" workbookViewId="0">
      <selection activeCell="U4" sqref="U4"/>
    </sheetView>
  </sheetViews>
  <sheetFormatPr defaultColWidth="9.140625" defaultRowHeight="15"/>
  <cols>
    <col min="1" max="1" width="9.5703125" style="205" customWidth="1"/>
    <col min="2" max="2" width="48.28515625" style="131" customWidth="1"/>
    <col min="3" max="3" width="17" style="205" bestFit="1" customWidth="1"/>
    <col min="4" max="4" width="17.7109375" style="131" customWidth="1"/>
    <col min="5" max="5" width="11.5703125" style="124" customWidth="1"/>
    <col min="6" max="6" width="18.7109375" style="124" customWidth="1"/>
    <col min="7" max="7" width="12.7109375" style="148" customWidth="1"/>
    <col min="8" max="16384" width="9.140625" style="148"/>
  </cols>
  <sheetData>
    <row r="1" spans="1:7" ht="18.75">
      <c r="C1" s="145"/>
      <c r="D1" s="223"/>
      <c r="E1" s="145"/>
    </row>
    <row r="2" spans="1:7" ht="18.75">
      <c r="A2" s="145" t="s">
        <v>203</v>
      </c>
      <c r="B2" s="249"/>
      <c r="C2" s="145"/>
      <c r="D2" s="223"/>
      <c r="E2" s="145"/>
      <c r="F2" s="138"/>
    </row>
    <row r="3" spans="1:7" ht="18.75">
      <c r="A3" s="145" t="s">
        <v>1410</v>
      </c>
      <c r="B3" s="1"/>
      <c r="C3" s="592"/>
      <c r="F3" s="144"/>
    </row>
    <row r="4" spans="1:7" ht="18.75">
      <c r="A4" s="145"/>
      <c r="B4" s="223"/>
      <c r="F4" s="145"/>
    </row>
    <row r="5" spans="1:7" ht="19.899999999999999" customHeight="1">
      <c r="A5" s="12" t="s">
        <v>1</v>
      </c>
      <c r="B5" s="12" t="s">
        <v>2</v>
      </c>
      <c r="C5" s="12" t="s">
        <v>3</v>
      </c>
    </row>
    <row r="6" spans="1:7" s="289" customFormat="1" ht="19.899999999999999" customHeight="1">
      <c r="A6" s="19">
        <v>1912</v>
      </c>
      <c r="B6" s="3" t="s">
        <v>399</v>
      </c>
      <c r="C6" s="112">
        <v>430000000</v>
      </c>
      <c r="D6" s="131"/>
      <c r="E6" s="124"/>
      <c r="F6" s="124"/>
      <c r="G6" s="148"/>
    </row>
    <row r="7" spans="1:7" s="289" customFormat="1" ht="19.899999999999999" customHeight="1">
      <c r="A7" s="19">
        <v>2153</v>
      </c>
      <c r="B7" s="3" t="s">
        <v>326</v>
      </c>
      <c r="C7" s="112">
        <v>225000000</v>
      </c>
      <c r="D7" s="131"/>
      <c r="E7" s="124"/>
      <c r="F7" s="124"/>
      <c r="G7" s="148"/>
    </row>
    <row r="8" spans="1:7" s="289" customFormat="1" ht="19.899999999999999" customHeight="1">
      <c r="A8" s="127">
        <v>1909</v>
      </c>
      <c r="B8" s="127" t="s">
        <v>1399</v>
      </c>
      <c r="C8" s="112">
        <v>184500000</v>
      </c>
      <c r="G8" s="148"/>
    </row>
    <row r="9" spans="1:7" s="289" customFormat="1" ht="19.899999999999999" customHeight="1">
      <c r="A9" s="209">
        <v>1547</v>
      </c>
      <c r="B9" s="127" t="s">
        <v>308</v>
      </c>
      <c r="C9" s="112">
        <v>144000000</v>
      </c>
      <c r="G9" s="148"/>
    </row>
    <row r="10" spans="1:7" s="289" customFormat="1" ht="19.899999999999999" customHeight="1">
      <c r="A10" s="19">
        <v>1845</v>
      </c>
      <c r="B10" s="3" t="s">
        <v>1398</v>
      </c>
      <c r="C10" s="112">
        <v>137500000</v>
      </c>
      <c r="D10" s="131"/>
      <c r="E10" s="124"/>
      <c r="F10" s="124"/>
      <c r="G10" s="148"/>
    </row>
    <row r="11" spans="1:7" s="289" customFormat="1" ht="19.899999999999999" customHeight="1">
      <c r="A11" s="209">
        <v>1919</v>
      </c>
      <c r="B11" s="127" t="s">
        <v>86</v>
      </c>
      <c r="C11" s="112">
        <v>135100000</v>
      </c>
      <c r="G11" s="148"/>
    </row>
    <row r="12" spans="1:7" s="289" customFormat="1" ht="19.899999999999999" customHeight="1">
      <c r="A12" s="19">
        <v>2201</v>
      </c>
      <c r="B12" s="3" t="s">
        <v>367</v>
      </c>
      <c r="C12" s="112">
        <v>120000000</v>
      </c>
      <c r="G12" s="148"/>
    </row>
    <row r="13" spans="1:7" s="289" customFormat="1" ht="19.899999999999999" customHeight="1">
      <c r="A13" s="19">
        <v>20129</v>
      </c>
      <c r="B13" s="127" t="s">
        <v>758</v>
      </c>
      <c r="C13" s="112">
        <v>117500000</v>
      </c>
      <c r="D13" s="131"/>
      <c r="E13" s="124"/>
      <c r="F13" s="124"/>
      <c r="G13" s="148"/>
    </row>
    <row r="14" spans="1:7" s="289" customFormat="1" ht="19.899999999999999" customHeight="1">
      <c r="A14" s="209">
        <v>382</v>
      </c>
      <c r="B14" s="127" t="s">
        <v>1096</v>
      </c>
      <c r="C14" s="112">
        <v>111381330</v>
      </c>
      <c r="D14" s="131"/>
      <c r="E14" s="124"/>
      <c r="F14" s="124"/>
      <c r="G14" s="148"/>
    </row>
    <row r="15" spans="1:7" s="289" customFormat="1" ht="19.899999999999999" customHeight="1">
      <c r="A15" s="127">
        <v>20084</v>
      </c>
      <c r="B15" s="127" t="s">
        <v>580</v>
      </c>
      <c r="C15" s="112">
        <v>109000000</v>
      </c>
      <c r="G15" s="148"/>
    </row>
    <row r="16" spans="1:7" s="289" customFormat="1" ht="19.899999999999999" customHeight="1">
      <c r="A16" s="127">
        <v>1827</v>
      </c>
      <c r="B16" s="127" t="s">
        <v>1397</v>
      </c>
      <c r="C16" s="4">
        <v>100000000</v>
      </c>
      <c r="G16" s="148"/>
    </row>
    <row r="17" spans="1:7" s="289" customFormat="1" ht="19.899999999999999" customHeight="1">
      <c r="A17" s="19">
        <v>2206</v>
      </c>
      <c r="B17" s="3" t="s">
        <v>368</v>
      </c>
      <c r="C17" s="112">
        <v>92000000</v>
      </c>
      <c r="D17" s="131"/>
      <c r="E17" s="124"/>
      <c r="F17" s="124"/>
      <c r="G17" s="148"/>
    </row>
    <row r="18" spans="1:7" s="289" customFormat="1" ht="19.899999999999999" customHeight="1">
      <c r="A18" s="19">
        <v>20081</v>
      </c>
      <c r="B18" s="3" t="s">
        <v>592</v>
      </c>
      <c r="C18" s="112">
        <v>89300000</v>
      </c>
      <c r="D18" s="131"/>
      <c r="E18" s="124"/>
      <c r="F18" s="124"/>
      <c r="G18" s="148"/>
    </row>
    <row r="19" spans="1:7" s="289" customFormat="1" ht="19.899999999999999" customHeight="1">
      <c r="A19" s="3">
        <v>1965</v>
      </c>
      <c r="B19" s="3" t="s">
        <v>227</v>
      </c>
      <c r="C19" s="112">
        <v>87000000</v>
      </c>
      <c r="G19" s="148"/>
    </row>
    <row r="20" spans="1:7" s="289" customFormat="1" ht="19.899999999999999" customHeight="1">
      <c r="A20" s="3">
        <v>2011</v>
      </c>
      <c r="B20" s="3" t="s">
        <v>1160</v>
      </c>
      <c r="C20" s="112">
        <v>80000000</v>
      </c>
      <c r="G20" s="148"/>
    </row>
    <row r="21" spans="1:7" s="289" customFormat="1" ht="19.899999999999999" customHeight="1">
      <c r="A21" s="19">
        <v>2097</v>
      </c>
      <c r="B21" s="127" t="s">
        <v>223</v>
      </c>
      <c r="C21" s="112">
        <v>79000000</v>
      </c>
      <c r="G21" s="148"/>
    </row>
    <row r="22" spans="1:7" s="289" customFormat="1" ht="19.899999999999999" customHeight="1">
      <c r="A22" s="19">
        <v>576</v>
      </c>
      <c r="B22" s="3" t="s">
        <v>62</v>
      </c>
      <c r="C22" s="112">
        <v>78113000</v>
      </c>
      <c r="D22" s="131"/>
      <c r="E22" s="124"/>
      <c r="F22" s="124"/>
      <c r="G22" s="148"/>
    </row>
    <row r="23" spans="1:7" s="289" customFormat="1" ht="19.899999999999999" customHeight="1">
      <c r="A23" s="127">
        <v>1957</v>
      </c>
      <c r="B23" s="127" t="s">
        <v>1400</v>
      </c>
      <c r="C23" s="112">
        <v>75000000</v>
      </c>
      <c r="G23" s="148"/>
    </row>
    <row r="24" spans="1:7" s="289" customFormat="1" ht="19.899999999999999" customHeight="1">
      <c r="A24" s="209">
        <v>2073</v>
      </c>
      <c r="B24" s="127" t="s">
        <v>1403</v>
      </c>
      <c r="C24" s="112">
        <v>75000000</v>
      </c>
      <c r="D24" s="131"/>
      <c r="E24" s="124"/>
      <c r="F24" s="124"/>
      <c r="G24" s="148"/>
    </row>
    <row r="25" spans="1:7" s="289" customFormat="1" ht="19.899999999999999" customHeight="1">
      <c r="A25" s="3">
        <v>1834</v>
      </c>
      <c r="B25" s="3" t="s">
        <v>82</v>
      </c>
      <c r="C25" s="112">
        <v>65050000</v>
      </c>
      <c r="D25" s="131"/>
      <c r="E25" s="124"/>
      <c r="F25" s="124"/>
      <c r="G25" s="148"/>
    </row>
    <row r="26" spans="1:7" s="289" customFormat="1" ht="19.899999999999999" customHeight="1">
      <c r="A26" s="3">
        <v>1657</v>
      </c>
      <c r="B26" s="19" t="s">
        <v>25</v>
      </c>
      <c r="C26" s="112">
        <v>65000000</v>
      </c>
      <c r="G26" s="148"/>
    </row>
    <row r="27" spans="1:7" s="289" customFormat="1" ht="19.899999999999999" customHeight="1">
      <c r="A27" s="19">
        <v>1588</v>
      </c>
      <c r="B27" s="3" t="s">
        <v>24</v>
      </c>
      <c r="C27" s="112">
        <v>64000000</v>
      </c>
      <c r="D27" s="131"/>
      <c r="E27" s="124"/>
      <c r="F27" s="124"/>
      <c r="G27" s="148"/>
    </row>
    <row r="28" spans="1:7" s="289" customFormat="1" ht="19.899999999999999" customHeight="1">
      <c r="A28" s="127">
        <v>20018</v>
      </c>
      <c r="B28" s="127" t="s">
        <v>458</v>
      </c>
      <c r="C28" s="112">
        <v>60000000</v>
      </c>
      <c r="D28" s="131"/>
      <c r="E28" s="124"/>
      <c r="F28" s="124"/>
      <c r="G28" s="148"/>
    </row>
    <row r="29" spans="1:7" s="289" customFormat="1" ht="19.899999999999999" customHeight="1">
      <c r="A29" s="19">
        <v>2015</v>
      </c>
      <c r="B29" s="3" t="s">
        <v>1401</v>
      </c>
      <c r="C29" s="112">
        <v>54000000</v>
      </c>
      <c r="D29" s="131"/>
      <c r="E29" s="124"/>
      <c r="F29" s="124"/>
      <c r="G29" s="148"/>
    </row>
    <row r="30" spans="1:7" s="289" customFormat="1" ht="19.899999999999999" customHeight="1">
      <c r="A30" s="19">
        <v>2151</v>
      </c>
      <c r="B30" s="3" t="s">
        <v>311</v>
      </c>
      <c r="C30" s="112">
        <v>54000000</v>
      </c>
      <c r="D30" s="131"/>
      <c r="E30" s="124"/>
      <c r="F30" s="124"/>
      <c r="G30" s="148"/>
    </row>
    <row r="31" spans="1:7" s="289" customFormat="1" ht="19.899999999999999" customHeight="1">
      <c r="A31" s="127">
        <v>1835</v>
      </c>
      <c r="B31" s="222" t="s">
        <v>266</v>
      </c>
      <c r="C31" s="112">
        <v>51500000</v>
      </c>
      <c r="G31" s="148"/>
    </row>
    <row r="32" spans="1:7" s="289" customFormat="1" ht="19.899999999999999" customHeight="1">
      <c r="A32" s="127">
        <v>2209</v>
      </c>
      <c r="B32" s="127" t="s">
        <v>369</v>
      </c>
      <c r="C32" s="112">
        <v>46500000</v>
      </c>
      <c r="G32" s="148"/>
    </row>
    <row r="33" spans="1:7" s="289" customFormat="1" ht="19.899999999999999" customHeight="1">
      <c r="A33" s="127">
        <v>1207</v>
      </c>
      <c r="B33" s="127" t="s">
        <v>64</v>
      </c>
      <c r="C33" s="112">
        <v>45650000</v>
      </c>
      <c r="D33" s="131"/>
      <c r="E33" s="124"/>
      <c r="F33" s="124"/>
      <c r="G33" s="148"/>
    </row>
    <row r="34" spans="1:7" s="289" customFormat="1" ht="19.899999999999999" customHeight="1">
      <c r="A34" s="19">
        <v>1921</v>
      </c>
      <c r="B34" s="3" t="s">
        <v>87</v>
      </c>
      <c r="C34" s="112">
        <v>45000000</v>
      </c>
      <c r="D34" s="131"/>
      <c r="E34" s="124"/>
      <c r="F34" s="124"/>
      <c r="G34" s="148"/>
    </row>
    <row r="35" spans="1:7" s="289" customFormat="1" ht="19.899999999999999" customHeight="1">
      <c r="A35" s="339">
        <v>1375</v>
      </c>
      <c r="B35" s="339" t="s">
        <v>265</v>
      </c>
      <c r="C35" s="326">
        <v>42150000</v>
      </c>
      <c r="D35" s="131"/>
      <c r="E35" s="124"/>
      <c r="F35" s="124"/>
      <c r="G35" s="148"/>
    </row>
    <row r="36" spans="1:7" s="289" customFormat="1" ht="19.899999999999999" customHeight="1">
      <c r="A36" s="209">
        <v>1238</v>
      </c>
      <c r="B36" s="127" t="s">
        <v>1396</v>
      </c>
      <c r="C36" s="112">
        <v>40500000</v>
      </c>
      <c r="G36" s="148"/>
    </row>
    <row r="37" spans="1:7" s="289" customFormat="1" ht="19.899999999999999" customHeight="1">
      <c r="A37" s="3">
        <v>2185</v>
      </c>
      <c r="B37" s="3" t="s">
        <v>340</v>
      </c>
      <c r="C37" s="112">
        <v>40000000</v>
      </c>
      <c r="G37" s="148"/>
    </row>
    <row r="38" spans="1:7" s="289" customFormat="1" ht="19.899999999999999" customHeight="1">
      <c r="A38" s="19">
        <v>20158</v>
      </c>
      <c r="B38" s="3" t="s">
        <v>845</v>
      </c>
      <c r="C38" s="112">
        <v>40000000</v>
      </c>
      <c r="D38" s="131"/>
      <c r="E38" s="124"/>
      <c r="F38" s="124"/>
      <c r="G38" s="148"/>
    </row>
    <row r="39" spans="1:7" s="289" customFormat="1" ht="19.899999999999999" customHeight="1">
      <c r="A39" s="19">
        <v>1670</v>
      </c>
      <c r="B39" s="127" t="s">
        <v>78</v>
      </c>
      <c r="C39" s="112">
        <v>37700000</v>
      </c>
      <c r="G39" s="148"/>
    </row>
    <row r="40" spans="1:7" s="289" customFormat="1" ht="19.899999999999999" customHeight="1">
      <c r="A40" s="19">
        <v>2017</v>
      </c>
      <c r="B40" s="127" t="s">
        <v>1402</v>
      </c>
      <c r="C40" s="112">
        <v>37100000</v>
      </c>
      <c r="G40" s="148"/>
    </row>
    <row r="41" spans="1:7" s="289" customFormat="1" ht="19.899999999999999" customHeight="1">
      <c r="A41" s="3">
        <v>2232</v>
      </c>
      <c r="B41" s="3" t="s">
        <v>412</v>
      </c>
      <c r="C41" s="112">
        <v>36900000</v>
      </c>
      <c r="G41" s="148"/>
    </row>
    <row r="42" spans="1:7" s="289" customFormat="1" ht="19.899999999999999" customHeight="1">
      <c r="A42" s="19">
        <v>20159</v>
      </c>
      <c r="B42" s="3" t="s">
        <v>846</v>
      </c>
      <c r="C42" s="112">
        <v>36000000</v>
      </c>
      <c r="D42" s="131"/>
      <c r="E42" s="124"/>
      <c r="F42" s="124"/>
      <c r="G42" s="148"/>
    </row>
    <row r="43" spans="1:7" s="289" customFormat="1" ht="19.899999999999999" customHeight="1">
      <c r="A43" s="127">
        <v>2001</v>
      </c>
      <c r="B43" s="213" t="s">
        <v>102</v>
      </c>
      <c r="C43" s="112">
        <v>33600000</v>
      </c>
      <c r="G43" s="148"/>
    </row>
    <row r="44" spans="1:7" s="289" customFormat="1" ht="19.899999999999999" customHeight="1">
      <c r="A44" s="127">
        <v>1615</v>
      </c>
      <c r="B44" s="127" t="s">
        <v>83</v>
      </c>
      <c r="C44" s="112">
        <v>27700000</v>
      </c>
      <c r="D44" s="131"/>
      <c r="E44" s="124"/>
      <c r="F44" s="124"/>
      <c r="G44" s="148"/>
    </row>
    <row r="45" spans="1:7" s="289" customFormat="1" ht="19.899999999999999" customHeight="1">
      <c r="A45" s="19">
        <v>2152</v>
      </c>
      <c r="B45" s="3" t="s">
        <v>312</v>
      </c>
      <c r="C45" s="112">
        <v>27600000</v>
      </c>
      <c r="G45" s="148"/>
    </row>
    <row r="46" spans="1:7" s="289" customFormat="1" ht="19.899999999999999" customHeight="1">
      <c r="A46" s="3">
        <v>20139</v>
      </c>
      <c r="B46" s="3" t="s">
        <v>801</v>
      </c>
      <c r="C46" s="112">
        <v>27500000</v>
      </c>
      <c r="D46" s="131"/>
      <c r="E46" s="124"/>
      <c r="F46" s="124"/>
      <c r="G46" s="148"/>
    </row>
    <row r="47" spans="1:7" s="289" customFormat="1" ht="19.899999999999999" customHeight="1">
      <c r="A47" s="19">
        <v>1911</v>
      </c>
      <c r="B47" s="3" t="s">
        <v>225</v>
      </c>
      <c r="C47" s="112">
        <v>26936240</v>
      </c>
      <c r="D47" s="131"/>
      <c r="E47" s="124"/>
      <c r="F47" s="124"/>
      <c r="G47" s="148"/>
    </row>
    <row r="48" spans="1:7" s="289" customFormat="1" ht="19.899999999999999" customHeight="1">
      <c r="A48" s="19">
        <v>20004</v>
      </c>
      <c r="B48" s="127" t="s">
        <v>420</v>
      </c>
      <c r="C48" s="112">
        <v>24750000</v>
      </c>
      <c r="D48" s="131"/>
      <c r="E48" s="124"/>
      <c r="F48" s="124"/>
      <c r="G48" s="148"/>
    </row>
    <row r="49" spans="1:7" s="289" customFormat="1" ht="19.899999999999999" customHeight="1">
      <c r="A49" s="19">
        <v>2233</v>
      </c>
      <c r="B49" s="127" t="s">
        <v>413</v>
      </c>
      <c r="C49" s="112">
        <v>24700000</v>
      </c>
      <c r="D49" s="131"/>
      <c r="E49" s="124"/>
      <c r="F49" s="124"/>
      <c r="G49" s="148"/>
    </row>
    <row r="50" spans="1:7" s="289" customFormat="1" ht="19.899999999999999" customHeight="1">
      <c r="A50" s="209">
        <v>2101</v>
      </c>
      <c r="B50" s="127" t="s">
        <v>1109</v>
      </c>
      <c r="C50" s="112">
        <v>24200000</v>
      </c>
      <c r="D50" s="131"/>
      <c r="E50" s="124"/>
      <c r="F50" s="124"/>
      <c r="G50" s="148"/>
    </row>
    <row r="51" spans="1:7" s="289" customFormat="1" ht="19.899999999999999" customHeight="1">
      <c r="A51" s="19">
        <v>20093</v>
      </c>
      <c r="B51" s="3" t="s">
        <v>582</v>
      </c>
      <c r="C51" s="112">
        <v>24000000</v>
      </c>
      <c r="D51" s="131"/>
      <c r="E51" s="124"/>
      <c r="F51" s="124"/>
      <c r="G51" s="148"/>
    </row>
    <row r="52" spans="1:7" s="289" customFormat="1" ht="19.899999999999999" customHeight="1">
      <c r="A52" s="19">
        <v>2150</v>
      </c>
      <c r="B52" s="3" t="s">
        <v>1405</v>
      </c>
      <c r="C52" s="112">
        <v>23500000</v>
      </c>
      <c r="G52" s="148"/>
    </row>
    <row r="53" spans="1:7" s="289" customFormat="1" ht="19.899999999999999" customHeight="1">
      <c r="A53" s="19">
        <v>2196</v>
      </c>
      <c r="B53" s="3" t="s">
        <v>379</v>
      </c>
      <c r="C53" s="112">
        <v>22500000</v>
      </c>
      <c r="D53" s="131"/>
      <c r="E53" s="124"/>
      <c r="F53" s="124"/>
      <c r="G53" s="148"/>
    </row>
    <row r="54" spans="1:7" s="289" customFormat="1" ht="19.899999999999999" customHeight="1">
      <c r="A54" s="3">
        <v>20011</v>
      </c>
      <c r="B54" s="19" t="s">
        <v>1407</v>
      </c>
      <c r="C54" s="4">
        <v>21500000</v>
      </c>
      <c r="G54" s="148"/>
    </row>
    <row r="55" spans="1:7" ht="19.899999999999999" customHeight="1">
      <c r="A55" s="127">
        <v>1960</v>
      </c>
      <c r="B55" s="127" t="s">
        <v>226</v>
      </c>
      <c r="C55" s="112">
        <v>21480000</v>
      </c>
      <c r="D55" s="289"/>
      <c r="E55" s="289"/>
      <c r="F55" s="289"/>
    </row>
    <row r="56" spans="1:7" ht="19.899999999999999" customHeight="1">
      <c r="A56" s="19">
        <v>2099</v>
      </c>
      <c r="B56" s="3" t="s">
        <v>224</v>
      </c>
      <c r="C56" s="112">
        <v>20860000</v>
      </c>
    </row>
    <row r="57" spans="1:7" ht="19.899999999999999" customHeight="1">
      <c r="A57" s="19">
        <v>2175</v>
      </c>
      <c r="B57" s="3" t="s">
        <v>337</v>
      </c>
      <c r="C57" s="112">
        <v>20521912</v>
      </c>
      <c r="D57" s="289"/>
      <c r="E57" s="289"/>
      <c r="F57" s="289"/>
    </row>
    <row r="58" spans="1:7" ht="19.899999999999999" customHeight="1">
      <c r="A58" s="19">
        <v>2213</v>
      </c>
      <c r="B58" s="3" t="s">
        <v>352</v>
      </c>
      <c r="C58" s="112">
        <v>20100000</v>
      </c>
    </row>
    <row r="59" spans="1:7" ht="19.899999999999999" customHeight="1">
      <c r="A59" s="19">
        <v>1962</v>
      </c>
      <c r="B59" s="3" t="s">
        <v>99</v>
      </c>
      <c r="C59" s="112">
        <v>20000000</v>
      </c>
    </row>
    <row r="60" spans="1:7" ht="19.899999999999999" customHeight="1">
      <c r="A60" s="201">
        <v>2205</v>
      </c>
      <c r="B60" s="3" t="s">
        <v>347</v>
      </c>
      <c r="C60" s="112">
        <v>19125000</v>
      </c>
    </row>
    <row r="61" spans="1:7" ht="19.899999999999999" customHeight="1">
      <c r="A61" s="127">
        <v>1357</v>
      </c>
      <c r="B61" s="127" t="s">
        <v>37</v>
      </c>
      <c r="C61" s="112">
        <v>18812000</v>
      </c>
      <c r="D61" s="289"/>
      <c r="E61" s="289"/>
      <c r="F61" s="289"/>
    </row>
    <row r="62" spans="1:7" ht="19.899999999999999" customHeight="1">
      <c r="A62" s="19">
        <v>1322</v>
      </c>
      <c r="B62" s="3" t="s">
        <v>32</v>
      </c>
      <c r="C62" s="112">
        <v>18500000</v>
      </c>
    </row>
    <row r="63" spans="1:7" ht="19.899999999999999" customHeight="1">
      <c r="A63" s="19">
        <v>2024</v>
      </c>
      <c r="B63" s="3" t="s">
        <v>221</v>
      </c>
      <c r="C63" s="112">
        <v>18400000</v>
      </c>
    </row>
    <row r="64" spans="1:7" ht="19.899999999999999" hidden="1" customHeight="1">
      <c r="A64" s="127">
        <v>1819</v>
      </c>
      <c r="B64" s="127" t="s">
        <v>295</v>
      </c>
      <c r="C64" s="112">
        <v>16045000</v>
      </c>
      <c r="D64" s="289"/>
      <c r="E64" s="289"/>
      <c r="F64" s="289"/>
    </row>
    <row r="65" spans="1:6" ht="19.899999999999999" hidden="1" customHeight="1">
      <c r="A65" s="209">
        <v>2198</v>
      </c>
      <c r="B65" s="127" t="s">
        <v>381</v>
      </c>
      <c r="C65" s="112">
        <v>16030000</v>
      </c>
    </row>
    <row r="66" spans="1:6" ht="19.899999999999999" hidden="1" customHeight="1">
      <c r="A66" s="3">
        <v>20160</v>
      </c>
      <c r="B66" s="3" t="s">
        <v>847</v>
      </c>
      <c r="C66" s="112">
        <v>16000000</v>
      </c>
    </row>
    <row r="67" spans="1:6" ht="19.899999999999999" hidden="1" customHeight="1">
      <c r="A67" s="3">
        <v>2111</v>
      </c>
      <c r="B67" s="3" t="s">
        <v>212</v>
      </c>
      <c r="C67" s="112">
        <v>15200000</v>
      </c>
      <c r="D67" s="289"/>
      <c r="E67" s="289"/>
      <c r="F67" s="289"/>
    </row>
    <row r="68" spans="1:6" ht="19.899999999999999" hidden="1" customHeight="1">
      <c r="A68" s="3">
        <v>2197</v>
      </c>
      <c r="B68" s="3" t="s">
        <v>380</v>
      </c>
      <c r="C68" s="112">
        <v>15160000</v>
      </c>
    </row>
    <row r="69" spans="1:6" ht="19.899999999999999" hidden="1" customHeight="1">
      <c r="A69" s="127">
        <v>2106</v>
      </c>
      <c r="B69" s="127" t="s">
        <v>293</v>
      </c>
      <c r="C69" s="112">
        <v>15000000</v>
      </c>
    </row>
    <row r="70" spans="1:6" ht="19.899999999999999" hidden="1" customHeight="1">
      <c r="A70" s="3">
        <v>2191</v>
      </c>
      <c r="B70" s="3" t="s">
        <v>375</v>
      </c>
      <c r="C70" s="112">
        <v>14000000</v>
      </c>
    </row>
    <row r="71" spans="1:6" ht="19.899999999999999" hidden="1" customHeight="1">
      <c r="A71" s="209">
        <v>2009</v>
      </c>
      <c r="B71" s="127" t="s">
        <v>186</v>
      </c>
      <c r="C71" s="112">
        <v>13700000</v>
      </c>
    </row>
    <row r="72" spans="1:6" ht="19.899999999999999" hidden="1" customHeight="1">
      <c r="A72" s="19">
        <v>20087</v>
      </c>
      <c r="B72" s="19" t="s">
        <v>581</v>
      </c>
      <c r="C72" s="112">
        <v>11500000</v>
      </c>
    </row>
    <row r="73" spans="1:6" ht="19.899999999999999" hidden="1" customHeight="1">
      <c r="A73" s="19">
        <v>20151</v>
      </c>
      <c r="B73" s="3" t="s">
        <v>838</v>
      </c>
      <c r="C73" s="112">
        <v>10500000</v>
      </c>
    </row>
    <row r="74" spans="1:6" ht="19.899999999999999" hidden="1" customHeight="1">
      <c r="A74" s="127">
        <v>1896</v>
      </c>
      <c r="B74" s="127" t="s">
        <v>267</v>
      </c>
      <c r="C74" s="112">
        <v>10300000</v>
      </c>
      <c r="D74" s="289"/>
      <c r="E74" s="289"/>
      <c r="F74" s="289"/>
    </row>
    <row r="75" spans="1:6" ht="19.899999999999999" hidden="1" customHeight="1">
      <c r="A75" s="19">
        <v>20017</v>
      </c>
      <c r="B75" s="127" t="s">
        <v>1107</v>
      </c>
      <c r="C75" s="112">
        <v>10000000</v>
      </c>
    </row>
    <row r="76" spans="1:6" ht="19.899999999999999" hidden="1" customHeight="1">
      <c r="A76" s="3">
        <v>20114</v>
      </c>
      <c r="B76" s="3" t="s">
        <v>695</v>
      </c>
      <c r="C76" s="112">
        <v>9000000</v>
      </c>
      <c r="D76" s="289"/>
      <c r="E76" s="289"/>
      <c r="F76" s="289"/>
    </row>
    <row r="77" spans="1:6" ht="19.899999999999999" hidden="1" customHeight="1">
      <c r="A77" s="127">
        <v>1914</v>
      </c>
      <c r="B77" s="127" t="s">
        <v>95</v>
      </c>
      <c r="C77" s="112">
        <v>8100000</v>
      </c>
      <c r="D77" s="289"/>
      <c r="E77" s="289"/>
      <c r="F77" s="289"/>
    </row>
    <row r="78" spans="1:6" ht="19.899999999999999" hidden="1" customHeight="1">
      <c r="A78" s="209">
        <v>2119</v>
      </c>
      <c r="B78" s="127" t="s">
        <v>216</v>
      </c>
      <c r="C78" s="112">
        <v>8000000</v>
      </c>
      <c r="D78" s="289"/>
      <c r="E78" s="289"/>
      <c r="F78" s="289"/>
    </row>
    <row r="79" spans="1:6" ht="19.899999999999999" hidden="1" customHeight="1">
      <c r="A79" s="209">
        <v>1298</v>
      </c>
      <c r="B79" s="127" t="s">
        <v>31</v>
      </c>
      <c r="C79" s="112">
        <v>7570000</v>
      </c>
    </row>
    <row r="80" spans="1:6" ht="19.899999999999999" hidden="1" customHeight="1">
      <c r="A80" s="3">
        <v>2109</v>
      </c>
      <c r="B80" s="3" t="s">
        <v>211</v>
      </c>
      <c r="C80" s="112">
        <v>7500000</v>
      </c>
      <c r="D80" s="289"/>
      <c r="E80" s="289"/>
      <c r="F80" s="289"/>
    </row>
    <row r="81" spans="1:7" ht="19.899999999999999" hidden="1" customHeight="1">
      <c r="A81" s="209">
        <v>1067</v>
      </c>
      <c r="B81" s="127" t="s">
        <v>63</v>
      </c>
      <c r="C81" s="112">
        <v>5675000</v>
      </c>
    </row>
    <row r="82" spans="1:7" ht="19.899999999999999" hidden="1" customHeight="1">
      <c r="A82" s="19">
        <v>20149</v>
      </c>
      <c r="B82" s="3" t="s">
        <v>1237</v>
      </c>
      <c r="C82" s="112">
        <v>5000000</v>
      </c>
    </row>
    <row r="83" spans="1:7" ht="19.899999999999999" hidden="1" customHeight="1">
      <c r="A83" s="127">
        <v>2115</v>
      </c>
      <c r="B83" s="127" t="s">
        <v>214</v>
      </c>
      <c r="C83" s="112">
        <v>4700000</v>
      </c>
      <c r="D83" s="289"/>
      <c r="E83" s="289"/>
      <c r="F83" s="289"/>
    </row>
    <row r="84" spans="1:7" ht="19.899999999999999" hidden="1" customHeight="1">
      <c r="A84" s="19">
        <v>20112</v>
      </c>
      <c r="B84" s="3" t="s">
        <v>657</v>
      </c>
      <c r="C84" s="4">
        <v>4700000</v>
      </c>
    </row>
    <row r="85" spans="1:7" ht="19.899999999999999" hidden="1" customHeight="1">
      <c r="A85" s="127">
        <v>1693</v>
      </c>
      <c r="B85" s="127" t="s">
        <v>85</v>
      </c>
      <c r="C85" s="112">
        <v>4500000</v>
      </c>
      <c r="D85" s="289"/>
      <c r="E85" s="289"/>
      <c r="F85" s="289"/>
    </row>
    <row r="86" spans="1:7" ht="19.899999999999999" hidden="1" customHeight="1">
      <c r="A86" s="127">
        <v>1620</v>
      </c>
      <c r="B86" s="127" t="s">
        <v>694</v>
      </c>
      <c r="C86" s="112">
        <v>4200000</v>
      </c>
      <c r="D86" s="289"/>
      <c r="E86" s="289"/>
      <c r="F86" s="289"/>
      <c r="G86" s="289"/>
    </row>
    <row r="87" spans="1:7" ht="19.899999999999999" hidden="1" customHeight="1">
      <c r="A87" s="127">
        <v>2182</v>
      </c>
      <c r="B87" s="127" t="s">
        <v>339</v>
      </c>
      <c r="C87" s="112">
        <v>3900000</v>
      </c>
      <c r="D87" s="289"/>
      <c r="E87" s="289"/>
      <c r="F87" s="289"/>
    </row>
    <row r="88" spans="1:7" ht="19.899999999999999" hidden="1" customHeight="1">
      <c r="A88" s="209">
        <v>20108</v>
      </c>
      <c r="B88" s="127" t="s">
        <v>615</v>
      </c>
      <c r="C88" s="112">
        <v>3500000</v>
      </c>
      <c r="D88" s="289"/>
      <c r="E88" s="289"/>
      <c r="F88" s="289"/>
    </row>
    <row r="89" spans="1:7" ht="19.899999999999999" hidden="1" customHeight="1">
      <c r="A89" s="19">
        <v>20111</v>
      </c>
      <c r="B89" s="3" t="s">
        <v>656</v>
      </c>
      <c r="C89" s="112">
        <v>3400000</v>
      </c>
    </row>
    <row r="90" spans="1:7" ht="19.899999999999999" hidden="1" customHeight="1">
      <c r="A90" s="19">
        <v>2018</v>
      </c>
      <c r="B90" s="19" t="s">
        <v>220</v>
      </c>
      <c r="C90" s="112">
        <v>3350000</v>
      </c>
    </row>
    <row r="91" spans="1:7" ht="19.899999999999999" hidden="1" customHeight="1">
      <c r="A91" s="127">
        <v>2220</v>
      </c>
      <c r="B91" s="127" t="s">
        <v>358</v>
      </c>
      <c r="C91" s="112">
        <v>3000000</v>
      </c>
      <c r="D91" s="289"/>
      <c r="E91" s="289"/>
      <c r="F91" s="289"/>
    </row>
    <row r="92" spans="1:7" ht="19.899999999999999" hidden="1" customHeight="1">
      <c r="A92" s="3">
        <v>20097</v>
      </c>
      <c r="B92" s="3" t="s">
        <v>583</v>
      </c>
      <c r="C92" s="112">
        <v>2900000</v>
      </c>
      <c r="D92" s="289"/>
      <c r="E92" s="289"/>
      <c r="F92" s="289"/>
    </row>
    <row r="93" spans="1:7" ht="19.899999999999999" hidden="1" customHeight="1">
      <c r="A93" s="19">
        <v>20113</v>
      </c>
      <c r="B93" s="3" t="s">
        <v>670</v>
      </c>
      <c r="C93" s="112">
        <v>2800000</v>
      </c>
    </row>
    <row r="94" spans="1:7" ht="19.899999999999999" hidden="1" customHeight="1">
      <c r="A94" s="19">
        <v>20016</v>
      </c>
      <c r="B94" s="3" t="s">
        <v>1409</v>
      </c>
      <c r="C94" s="112">
        <v>2700000</v>
      </c>
      <c r="D94" s="289"/>
      <c r="E94" s="289"/>
      <c r="F94" s="289"/>
      <c r="G94" s="289"/>
    </row>
    <row r="95" spans="1:7" ht="19.899999999999999" hidden="1" customHeight="1">
      <c r="A95" s="19">
        <v>2118</v>
      </c>
      <c r="B95" s="3" t="s">
        <v>215</v>
      </c>
      <c r="C95" s="112">
        <v>2600000</v>
      </c>
    </row>
    <row r="96" spans="1:7" ht="19.899999999999999" hidden="1" customHeight="1">
      <c r="A96" s="19">
        <v>2180</v>
      </c>
      <c r="B96" s="3" t="s">
        <v>338</v>
      </c>
      <c r="C96" s="112">
        <v>2600000</v>
      </c>
    </row>
    <row r="97" spans="1:6" ht="19.899999999999999" hidden="1" customHeight="1">
      <c r="A97" s="127">
        <v>2008</v>
      </c>
      <c r="B97" s="127" t="s">
        <v>209</v>
      </c>
      <c r="C97" s="112">
        <v>2500000</v>
      </c>
      <c r="D97" s="289"/>
      <c r="E97" s="289"/>
      <c r="F97" s="289"/>
    </row>
    <row r="98" spans="1:6" ht="19.899999999999999" hidden="1" customHeight="1">
      <c r="A98" s="19">
        <v>2149</v>
      </c>
      <c r="B98" s="3" t="s">
        <v>1404</v>
      </c>
      <c r="C98" s="112">
        <v>2500000</v>
      </c>
    </row>
    <row r="99" spans="1:6" ht="19.899999999999999" hidden="1" customHeight="1">
      <c r="A99" s="19">
        <v>2078</v>
      </c>
      <c r="B99" s="3" t="s">
        <v>210</v>
      </c>
      <c r="C99" s="112">
        <v>2360000</v>
      </c>
    </row>
    <row r="100" spans="1:6" ht="19.899999999999999" hidden="1" customHeight="1">
      <c r="A100" s="19">
        <v>2076</v>
      </c>
      <c r="B100" s="3" t="s">
        <v>222</v>
      </c>
      <c r="C100" s="112">
        <v>2350000</v>
      </c>
    </row>
    <row r="101" spans="1:6" ht="19.899999999999999" hidden="1" customHeight="1">
      <c r="A101" s="209">
        <v>2002</v>
      </c>
      <c r="B101" s="127" t="s">
        <v>106</v>
      </c>
      <c r="C101" s="112">
        <v>2300000</v>
      </c>
      <c r="D101" s="289"/>
      <c r="E101" s="289"/>
      <c r="F101" s="289"/>
    </row>
    <row r="102" spans="1:6" ht="19.899999999999999" hidden="1" customHeight="1">
      <c r="A102" s="209">
        <v>2195</v>
      </c>
      <c r="B102" s="127" t="s">
        <v>378</v>
      </c>
      <c r="C102" s="112">
        <v>2300000</v>
      </c>
      <c r="D102" s="289"/>
      <c r="E102" s="289"/>
      <c r="F102" s="289"/>
    </row>
    <row r="103" spans="1:6" ht="19.899999999999999" hidden="1" customHeight="1">
      <c r="A103" s="19">
        <v>2127</v>
      </c>
      <c r="B103" s="3" t="s">
        <v>304</v>
      </c>
      <c r="C103" s="112">
        <v>2259000</v>
      </c>
    </row>
    <row r="104" spans="1:6" ht="19.899999999999999" hidden="1" customHeight="1">
      <c r="A104" s="3">
        <v>20009</v>
      </c>
      <c r="B104" s="3" t="s">
        <v>455</v>
      </c>
      <c r="C104" s="112">
        <v>2150000</v>
      </c>
      <c r="D104" s="289"/>
      <c r="E104" s="289"/>
      <c r="F104" s="289"/>
    </row>
    <row r="105" spans="1:6" ht="19.899999999999999" hidden="1" customHeight="1">
      <c r="A105" s="3">
        <v>20064</v>
      </c>
      <c r="B105" s="3" t="s">
        <v>512</v>
      </c>
      <c r="C105" s="112">
        <v>2000000</v>
      </c>
    </row>
    <row r="106" spans="1:6" ht="19.899999999999999" hidden="1" customHeight="1">
      <c r="A106" s="19">
        <v>20156</v>
      </c>
      <c r="B106" s="3" t="s">
        <v>844</v>
      </c>
      <c r="C106" s="112">
        <v>2000000</v>
      </c>
    </row>
    <row r="107" spans="1:6" ht="19.899999999999999" hidden="1" customHeight="1">
      <c r="A107" s="209">
        <v>1723</v>
      </c>
      <c r="B107" s="127" t="s">
        <v>26</v>
      </c>
      <c r="C107" s="112">
        <v>1778521</v>
      </c>
      <c r="D107" s="289"/>
      <c r="E107" s="289"/>
      <c r="F107" s="289"/>
    </row>
    <row r="108" spans="1:6" ht="19.899999999999999" hidden="1" customHeight="1">
      <c r="A108" s="19">
        <v>20014</v>
      </c>
      <c r="B108" s="3" t="s">
        <v>1408</v>
      </c>
      <c r="C108" s="112">
        <v>1750000</v>
      </c>
    </row>
    <row r="109" spans="1:6" ht="19.899999999999999" hidden="1" customHeight="1">
      <c r="A109" s="127">
        <v>20063</v>
      </c>
      <c r="B109" s="127" t="s">
        <v>564</v>
      </c>
      <c r="C109" s="112">
        <v>1750000</v>
      </c>
      <c r="D109" s="289"/>
      <c r="E109" s="289"/>
      <c r="F109" s="289"/>
    </row>
    <row r="110" spans="1:6" ht="19.899999999999999" hidden="1" customHeight="1">
      <c r="A110" s="127">
        <v>2203</v>
      </c>
      <c r="B110" s="127" t="s">
        <v>1406</v>
      </c>
      <c r="C110" s="112">
        <v>1700000</v>
      </c>
      <c r="D110" s="289"/>
      <c r="E110" s="289"/>
      <c r="F110" s="289"/>
    </row>
    <row r="111" spans="1:6" ht="19.899999999999999" hidden="1" customHeight="1">
      <c r="A111" s="127">
        <v>20109</v>
      </c>
      <c r="B111" s="127" t="s">
        <v>606</v>
      </c>
      <c r="C111" s="112">
        <v>1500000</v>
      </c>
      <c r="D111" s="289"/>
      <c r="E111" s="289"/>
      <c r="F111" s="289"/>
    </row>
    <row r="112" spans="1:6" ht="19.899999999999999" hidden="1" customHeight="1">
      <c r="A112" s="19">
        <v>20157</v>
      </c>
      <c r="B112" s="127" t="s">
        <v>883</v>
      </c>
      <c r="C112" s="112">
        <v>1330000</v>
      </c>
    </row>
    <row r="113" spans="1:7" ht="19.899999999999999" hidden="1" customHeight="1">
      <c r="A113" s="19">
        <v>20013</v>
      </c>
      <c r="B113" s="127" t="s">
        <v>483</v>
      </c>
      <c r="C113" s="112">
        <v>1000000</v>
      </c>
      <c r="D113" s="289"/>
      <c r="E113" s="289"/>
      <c r="F113" s="289"/>
    </row>
    <row r="114" spans="1:7" hidden="1">
      <c r="A114" s="209">
        <v>2194</v>
      </c>
      <c r="B114" s="213" t="s">
        <v>377</v>
      </c>
      <c r="C114" s="112">
        <v>700000</v>
      </c>
      <c r="D114" s="289"/>
      <c r="E114" s="289"/>
      <c r="F114" s="289"/>
    </row>
    <row r="115" spans="1:7" ht="19.899999999999999" hidden="1" customHeight="1">
      <c r="A115" s="19">
        <v>20153</v>
      </c>
      <c r="B115" s="127" t="s">
        <v>841</v>
      </c>
      <c r="C115" s="326">
        <v>700000</v>
      </c>
    </row>
    <row r="116" spans="1:7" ht="19.899999999999999" hidden="1" customHeight="1">
      <c r="A116" s="19">
        <v>20110</v>
      </c>
      <c r="B116" s="3" t="s">
        <v>609</v>
      </c>
      <c r="C116" s="4">
        <v>600000</v>
      </c>
    </row>
    <row r="117" spans="1:7" ht="19.899999999999999" hidden="1" customHeight="1">
      <c r="A117" s="19">
        <v>20082</v>
      </c>
      <c r="B117" s="3" t="s">
        <v>578</v>
      </c>
      <c r="C117" s="112">
        <v>500000</v>
      </c>
    </row>
    <row r="118" spans="1:7" ht="19.899999999999999" hidden="1" customHeight="1">
      <c r="A118" s="345">
        <v>20083</v>
      </c>
      <c r="B118" s="339" t="s">
        <v>579</v>
      </c>
      <c r="C118" s="326">
        <v>500000</v>
      </c>
    </row>
    <row r="119" spans="1:7" s="289" customFormat="1" ht="19.899999999999999" hidden="1" customHeight="1">
      <c r="A119" s="209">
        <v>20098</v>
      </c>
      <c r="B119" s="127" t="s">
        <v>584</v>
      </c>
      <c r="C119" s="112">
        <v>500000</v>
      </c>
      <c r="G119" s="148"/>
    </row>
    <row r="120" spans="1:7" ht="19.899999999999999" hidden="1" customHeight="1">
      <c r="A120" s="127">
        <v>20148</v>
      </c>
      <c r="B120" s="127" t="s">
        <v>1208</v>
      </c>
      <c r="C120" s="112">
        <v>500000</v>
      </c>
      <c r="D120" s="289"/>
      <c r="E120" s="289"/>
      <c r="F120" s="289"/>
    </row>
    <row r="121" spans="1:7" ht="19.899999999999999" hidden="1" customHeight="1">
      <c r="A121" s="19">
        <v>20154</v>
      </c>
      <c r="B121" s="3" t="s">
        <v>842</v>
      </c>
      <c r="C121" s="112">
        <v>500000</v>
      </c>
    </row>
    <row r="122" spans="1:7" ht="19.899999999999999" hidden="1" customHeight="1">
      <c r="A122" s="19">
        <v>20155</v>
      </c>
      <c r="B122" s="3" t="s">
        <v>843</v>
      </c>
      <c r="C122" s="112">
        <v>350000</v>
      </c>
    </row>
    <row r="123" spans="1:7" ht="19.899999999999999" hidden="1" customHeight="1">
      <c r="A123" s="19">
        <v>20152</v>
      </c>
      <c r="B123" s="3" t="s">
        <v>840</v>
      </c>
      <c r="C123" s="112">
        <v>200000</v>
      </c>
    </row>
    <row r="124" spans="1:7" ht="19.899999999999999" hidden="1" customHeight="1">
      <c r="A124" s="19">
        <v>20150</v>
      </c>
      <c r="B124" s="3" t="s">
        <v>837</v>
      </c>
      <c r="C124" s="112">
        <v>150000</v>
      </c>
    </row>
    <row r="125" spans="1:7" ht="19.899999999999999" hidden="1" customHeight="1">
      <c r="A125" s="339"/>
      <c r="B125" s="339"/>
      <c r="C125" s="326">
        <f>SUM(C6:C124)</f>
        <v>4118587003</v>
      </c>
    </row>
    <row r="126" spans="1:7" s="131" customFormat="1" ht="19.899999999999999" customHeight="1"/>
    <row r="127" spans="1:7" s="131" customFormat="1" ht="19.899999999999999" customHeight="1"/>
    <row r="128" spans="1:7" s="131" customFormat="1" ht="19.899999999999999" customHeight="1"/>
    <row r="129" s="131" customFormat="1" ht="19.899999999999999" customHeight="1"/>
    <row r="130" s="131" customFormat="1" ht="19.899999999999999" customHeight="1"/>
  </sheetData>
  <sortState xmlns:xlrd2="http://schemas.microsoft.com/office/spreadsheetml/2017/richdata2" ref="A6:G124">
    <sortCondition descending="1" ref="C6:C124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P24"/>
  <sheetViews>
    <sheetView showZeros="0" rightToLeft="1" zoomScaleNormal="100" workbookViewId="0">
      <selection activeCell="U4" sqref="U4"/>
    </sheetView>
  </sheetViews>
  <sheetFormatPr defaultColWidth="9.140625" defaultRowHeight="14.25"/>
  <cols>
    <col min="1" max="3" width="4.140625" style="63" customWidth="1"/>
    <col min="4" max="4" width="33" style="63" customWidth="1"/>
    <col min="5" max="8" width="12.140625" style="63" customWidth="1"/>
    <col min="9" max="9" width="7.85546875" style="63" customWidth="1"/>
    <col min="10" max="10" width="9.140625" style="63" hidden="1" customWidth="1"/>
    <col min="11" max="16384" width="9.140625" style="63"/>
  </cols>
  <sheetData>
    <row r="5" spans="1:16" ht="15.75">
      <c r="A5" s="65">
        <v>3.4</v>
      </c>
      <c r="C5" s="65" t="s">
        <v>348</v>
      </c>
    </row>
    <row r="6" spans="1:16" ht="16.5" thickBot="1">
      <c r="A6" s="65"/>
      <c r="H6" s="65"/>
      <c r="I6" s="65"/>
      <c r="J6" s="65"/>
      <c r="K6" s="65"/>
      <c r="N6" s="65"/>
      <c r="O6" s="65"/>
      <c r="P6" s="65"/>
    </row>
    <row r="7" spans="1:16" ht="20.100000000000001" customHeight="1">
      <c r="A7" s="65"/>
      <c r="C7" s="83" t="s">
        <v>349</v>
      </c>
      <c r="D7" s="84"/>
      <c r="E7" s="85"/>
      <c r="F7" s="86" t="s">
        <v>877</v>
      </c>
      <c r="G7" s="87" t="s">
        <v>645</v>
      </c>
      <c r="N7" s="65"/>
      <c r="O7" s="65"/>
      <c r="P7" s="65"/>
    </row>
    <row r="8" spans="1:16" ht="20.100000000000001" customHeight="1">
      <c r="A8" s="65"/>
      <c r="C8" s="88" t="s">
        <v>260</v>
      </c>
      <c r="D8" s="89"/>
      <c r="E8" s="90"/>
      <c r="F8" s="91">
        <f>'ריכוז אגפים'!$S7/1000</f>
        <v>29570</v>
      </c>
      <c r="G8" s="92">
        <v>521</v>
      </c>
      <c r="J8" s="198">
        <f t="shared" ref="J8:J17" si="0">F8/$F$18</f>
        <v>7.4358113143943666E-2</v>
      </c>
      <c r="N8" s="65"/>
      <c r="O8" s="65"/>
      <c r="P8" s="65"/>
    </row>
    <row r="9" spans="1:16" ht="20.100000000000001" customHeight="1">
      <c r="A9" s="65"/>
      <c r="C9" s="88" t="s">
        <v>145</v>
      </c>
      <c r="D9" s="94"/>
      <c r="E9" s="90"/>
      <c r="F9" s="91">
        <f>'ריכוז אגפים'!$S8/1000</f>
        <v>244259.008</v>
      </c>
      <c r="G9" s="92">
        <f>355301-0.5</f>
        <v>355300.5</v>
      </c>
      <c r="J9" s="198">
        <f t="shared" si="0"/>
        <v>0.6142251928742456</v>
      </c>
      <c r="N9" s="65"/>
      <c r="O9" s="65"/>
      <c r="P9" s="65"/>
    </row>
    <row r="10" spans="1:16" ht="20.100000000000001" customHeight="1">
      <c r="A10" s="65"/>
      <c r="C10" s="88" t="s">
        <v>644</v>
      </c>
      <c r="D10" s="89"/>
      <c r="E10" s="90"/>
      <c r="F10" s="91">
        <f>'ריכוז אגפים'!$S9/1000</f>
        <v>50606.362000000001</v>
      </c>
      <c r="G10" s="92">
        <f>67084-0.5</f>
        <v>67083.5</v>
      </c>
      <c r="J10" s="198">
        <f t="shared" si="0"/>
        <v>0.12725713870136529</v>
      </c>
      <c r="N10" s="65"/>
      <c r="O10" s="65"/>
      <c r="P10" s="65"/>
    </row>
    <row r="11" spans="1:16" ht="20.100000000000001" customHeight="1">
      <c r="A11" s="65"/>
      <c r="C11" s="88" t="s">
        <v>545</v>
      </c>
      <c r="D11" s="94"/>
      <c r="E11" s="90"/>
      <c r="F11" s="91">
        <f>'ריכוז אגפים'!$S10/1000</f>
        <v>2352</v>
      </c>
      <c r="G11" s="92">
        <v>605</v>
      </c>
      <c r="J11" s="198">
        <f t="shared" si="0"/>
        <v>5.9144498516927801E-3</v>
      </c>
      <c r="N11" s="65"/>
      <c r="O11" s="65"/>
      <c r="P11" s="65"/>
    </row>
    <row r="12" spans="1:16" ht="20.100000000000001" customHeight="1">
      <c r="A12" s="65"/>
      <c r="C12" s="88" t="s">
        <v>1202</v>
      </c>
      <c r="D12" s="94"/>
      <c r="E12" s="90"/>
      <c r="F12" s="91">
        <f>'ריכוז אגפים'!$S11/1000</f>
        <v>1547</v>
      </c>
      <c r="G12" s="92">
        <v>4437</v>
      </c>
      <c r="J12" s="198">
        <f>F12/$F$18</f>
        <v>3.8901589798336438E-3</v>
      </c>
      <c r="N12" s="65"/>
      <c r="O12" s="65"/>
      <c r="P12" s="65"/>
    </row>
    <row r="13" spans="1:16" ht="20.100000000000001" customHeight="1">
      <c r="A13" s="65"/>
      <c r="C13" s="88" t="s">
        <v>1203</v>
      </c>
      <c r="D13" s="94"/>
      <c r="E13" s="90"/>
      <c r="F13" s="91">
        <f>'ריכוז אגפים'!$S12/1000</f>
        <v>1500</v>
      </c>
      <c r="G13" s="92">
        <v>926</v>
      </c>
      <c r="J13" s="198">
        <f t="shared" si="0"/>
        <v>3.7719705686816199E-3</v>
      </c>
      <c r="N13" s="65"/>
      <c r="O13" s="65"/>
      <c r="P13" s="65"/>
    </row>
    <row r="14" spans="1:16" ht="20.100000000000001" customHeight="1">
      <c r="A14" s="65"/>
      <c r="C14" s="88" t="s">
        <v>74</v>
      </c>
      <c r="D14" s="89"/>
      <c r="E14" s="90"/>
      <c r="F14" s="91">
        <f>'ריכוז אגפים'!$S13/1000</f>
        <v>2145.7530000000002</v>
      </c>
      <c r="G14" s="92">
        <v>6914</v>
      </c>
      <c r="J14" s="198">
        <f t="shared" si="0"/>
        <v>5.3958114424401951E-3</v>
      </c>
      <c r="N14" s="65"/>
      <c r="O14" s="65"/>
      <c r="P14" s="65"/>
    </row>
    <row r="15" spans="1:16" ht="20.100000000000001" customHeight="1">
      <c r="A15" s="65"/>
      <c r="C15" s="95" t="s">
        <v>197</v>
      </c>
      <c r="D15" s="96"/>
      <c r="E15" s="97"/>
      <c r="F15" s="91">
        <f>'ריכוז אגפים'!$S14/1000</f>
        <v>7845</v>
      </c>
      <c r="G15" s="92">
        <v>7803</v>
      </c>
      <c r="J15" s="198">
        <f t="shared" si="0"/>
        <v>1.9727406074204871E-2</v>
      </c>
      <c r="M15" s="98"/>
      <c r="N15" s="65"/>
      <c r="O15" s="65"/>
      <c r="P15" s="65"/>
    </row>
    <row r="16" spans="1:16" ht="20.100000000000001" customHeight="1">
      <c r="A16" s="65"/>
      <c r="C16" s="88" t="s">
        <v>248</v>
      </c>
      <c r="D16" s="89"/>
      <c r="E16" s="90"/>
      <c r="F16" s="91">
        <f>'ריכוז אגפים'!$S15/1000</f>
        <v>20125</v>
      </c>
      <c r="G16" s="92">
        <v>3035</v>
      </c>
      <c r="J16" s="198">
        <f t="shared" si="0"/>
        <v>5.0607271796478399E-2</v>
      </c>
      <c r="N16" s="65"/>
      <c r="O16" s="65"/>
      <c r="P16" s="65"/>
    </row>
    <row r="17" spans="1:16" ht="20.100000000000001" customHeight="1">
      <c r="A17" s="65"/>
      <c r="C17" s="88" t="s">
        <v>175</v>
      </c>
      <c r="D17" s="89"/>
      <c r="E17" s="90"/>
      <c r="F17" s="91">
        <f>'ריכוז אגפים'!$S16/1000</f>
        <v>37720</v>
      </c>
      <c r="G17" s="92">
        <v>6039</v>
      </c>
      <c r="J17" s="198">
        <f t="shared" si="0"/>
        <v>9.48524865671138E-2</v>
      </c>
      <c r="N17" s="65"/>
      <c r="O17" s="65"/>
      <c r="P17" s="65"/>
    </row>
    <row r="18" spans="1:16" ht="20.100000000000001" customHeight="1" thickBot="1">
      <c r="A18" s="65"/>
      <c r="C18" s="99" t="s">
        <v>75</v>
      </c>
      <c r="D18" s="100"/>
      <c r="E18" s="101"/>
      <c r="F18" s="139">
        <f>SUM(F8:F17)</f>
        <v>397670.12300000008</v>
      </c>
      <c r="G18" s="140">
        <f>SUM(G8:G17)</f>
        <v>452664</v>
      </c>
      <c r="J18" s="103">
        <f>SUM(J8:J17)</f>
        <v>0.99999999999999989</v>
      </c>
      <c r="N18" s="65"/>
      <c r="O18" s="65"/>
      <c r="P18" s="65"/>
    </row>
    <row r="19" spans="1:16" ht="18">
      <c r="A19" s="65"/>
      <c r="C19" s="66"/>
      <c r="D19" s="65"/>
      <c r="F19" s="76"/>
      <c r="G19" s="76"/>
      <c r="N19" s="65"/>
      <c r="O19" s="65"/>
      <c r="P19" s="65"/>
    </row>
    <row r="20" spans="1:16" s="321" customFormat="1" ht="15.75">
      <c r="A20" s="70"/>
      <c r="B20" s="70"/>
      <c r="C20" s="70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</row>
    <row r="21" spans="1:16" s="321" customFormat="1" ht="15.75"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 ht="15.75">
      <c r="D22" s="65"/>
    </row>
    <row r="24" spans="1:16" ht="15.75">
      <c r="D24" s="65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P26"/>
  <sheetViews>
    <sheetView showZeros="0" rightToLeft="1" zoomScaleNormal="100" workbookViewId="0">
      <selection activeCell="U4" sqref="U4"/>
    </sheetView>
  </sheetViews>
  <sheetFormatPr defaultColWidth="9.140625" defaultRowHeight="14.25"/>
  <cols>
    <col min="1" max="3" width="4.140625" style="63" customWidth="1"/>
    <col min="4" max="4" width="33" style="63" customWidth="1"/>
    <col min="5" max="8" width="12.140625" style="63" customWidth="1"/>
    <col min="9" max="9" width="12.140625" style="63" bestFit="1" customWidth="1"/>
    <col min="10" max="10" width="9.140625" style="63" customWidth="1"/>
    <col min="11" max="16384" width="9.140625" style="63"/>
  </cols>
  <sheetData>
    <row r="4" spans="1:16" ht="12.75" customHeight="1">
      <c r="A4" s="65"/>
      <c r="C4" s="67"/>
      <c r="D4" s="65"/>
      <c r="F4" s="104"/>
      <c r="G4" s="104"/>
      <c r="N4" s="65"/>
      <c r="O4" s="65"/>
      <c r="P4" s="65"/>
    </row>
    <row r="5" spans="1:16" ht="15.75">
      <c r="A5" s="65">
        <v>3.5</v>
      </c>
      <c r="C5" s="65" t="s">
        <v>146</v>
      </c>
    </row>
    <row r="6" spans="1:16" ht="16.5" thickBot="1">
      <c r="A6" s="65"/>
      <c r="H6" s="65"/>
      <c r="I6" s="65"/>
      <c r="J6" s="65"/>
      <c r="K6" s="65"/>
      <c r="N6" s="65"/>
      <c r="O6" s="65"/>
      <c r="P6" s="65"/>
    </row>
    <row r="7" spans="1:16" ht="20.100000000000001" customHeight="1">
      <c r="A7" s="65"/>
      <c r="C7" s="83" t="s">
        <v>147</v>
      </c>
      <c r="D7" s="142"/>
      <c r="E7" s="85"/>
      <c r="F7" s="86" t="s">
        <v>877</v>
      </c>
      <c r="G7" s="105" t="s">
        <v>643</v>
      </c>
      <c r="J7" s="93"/>
      <c r="M7" s="65"/>
      <c r="N7" s="65"/>
      <c r="O7" s="65"/>
    </row>
    <row r="8" spans="1:16" ht="20.100000000000001" customHeight="1">
      <c r="A8" s="65"/>
      <c r="C8" s="88" t="s">
        <v>148</v>
      </c>
      <c r="D8" s="88"/>
      <c r="E8" s="90"/>
      <c r="F8" s="91">
        <f>'תקציב 2025 קרנות הרשות'!C20</f>
        <v>250803.85100000002</v>
      </c>
      <c r="G8" s="92">
        <v>273999</v>
      </c>
      <c r="H8" s="319"/>
      <c r="I8" s="320"/>
      <c r="J8" s="198"/>
      <c r="K8" s="320"/>
      <c r="M8" s="65"/>
      <c r="N8" s="65"/>
      <c r="O8" s="65"/>
    </row>
    <row r="9" spans="1:16" ht="20.100000000000001" customHeight="1">
      <c r="A9" s="65"/>
      <c r="C9" s="88" t="s">
        <v>14</v>
      </c>
      <c r="D9" s="88"/>
      <c r="E9" s="90"/>
      <c r="F9" s="91">
        <f>'תקציב 2025 קרנות הרשות'!D20</f>
        <v>50000</v>
      </c>
      <c r="G9" s="92">
        <v>30000</v>
      </c>
      <c r="H9" s="319"/>
      <c r="I9" s="320"/>
      <c r="J9" s="198"/>
      <c r="K9" s="320"/>
      <c r="M9" s="65"/>
      <c r="N9" s="65"/>
      <c r="O9" s="65"/>
    </row>
    <row r="10" spans="1:16" ht="20.100000000000001" customHeight="1">
      <c r="A10" s="65"/>
      <c r="C10" s="88" t="s">
        <v>15</v>
      </c>
      <c r="D10" s="88"/>
      <c r="E10" s="90"/>
      <c r="F10" s="91">
        <v>0</v>
      </c>
      <c r="G10" s="92">
        <v>-770</v>
      </c>
      <c r="H10" s="319"/>
      <c r="I10" s="320"/>
      <c r="J10" s="198"/>
      <c r="K10" s="320"/>
      <c r="M10" s="65"/>
      <c r="N10" s="65"/>
      <c r="O10" s="65"/>
    </row>
    <row r="11" spans="1:16" ht="20.100000000000001" customHeight="1">
      <c r="A11" s="65"/>
      <c r="C11" s="88" t="s">
        <v>771</v>
      </c>
      <c r="D11" s="95"/>
      <c r="E11" s="97"/>
      <c r="F11" s="91">
        <f>F25</f>
        <v>30600</v>
      </c>
      <c r="G11" s="92">
        <v>40141</v>
      </c>
      <c r="H11" s="319"/>
      <c r="I11" s="320"/>
      <c r="J11" s="198"/>
      <c r="K11" s="320"/>
      <c r="M11" s="65"/>
      <c r="N11" s="65"/>
      <c r="O11" s="65"/>
    </row>
    <row r="12" spans="1:16" ht="20.100000000000001" hidden="1" customHeight="1">
      <c r="A12" s="65"/>
      <c r="C12" s="88" t="s">
        <v>385</v>
      </c>
      <c r="D12" s="95"/>
      <c r="E12" s="97"/>
      <c r="F12" s="91">
        <v>0</v>
      </c>
      <c r="G12" s="92"/>
      <c r="H12" s="319"/>
      <c r="I12" s="320"/>
      <c r="J12" s="198"/>
      <c r="K12" s="320"/>
      <c r="M12" s="65"/>
      <c r="N12" s="65"/>
      <c r="O12" s="65"/>
    </row>
    <row r="13" spans="1:16" ht="20.100000000000001" customHeight="1">
      <c r="A13" s="65"/>
      <c r="C13" s="88" t="s">
        <v>149</v>
      </c>
      <c r="D13" s="153"/>
      <c r="E13" s="107"/>
      <c r="F13" s="91">
        <f>'תקציב 2024 סעיף 3.7-3.9'!F12</f>
        <v>66266.271999999997</v>
      </c>
      <c r="G13" s="92">
        <v>109294</v>
      </c>
      <c r="H13" s="319"/>
      <c r="I13" s="320"/>
      <c r="J13" s="198"/>
      <c r="K13" s="320"/>
      <c r="L13" s="98"/>
      <c r="M13" s="65"/>
      <c r="N13" s="65"/>
      <c r="O13" s="65"/>
    </row>
    <row r="14" spans="1:16" ht="20.100000000000001" customHeight="1" thickBot="1">
      <c r="A14" s="65"/>
      <c r="C14" s="141" t="s">
        <v>75</v>
      </c>
      <c r="D14" s="143"/>
      <c r="E14" s="101"/>
      <c r="F14" s="139">
        <f>SUM(F8:F13)</f>
        <v>397670.12300000002</v>
      </c>
      <c r="G14" s="140">
        <f>SUM(G8:G13)</f>
        <v>452664</v>
      </c>
      <c r="H14" s="320"/>
      <c r="I14" s="320"/>
      <c r="J14" s="320"/>
      <c r="K14" s="320"/>
      <c r="M14" s="65"/>
      <c r="N14" s="65"/>
      <c r="O14" s="65"/>
    </row>
    <row r="15" spans="1:16" ht="18">
      <c r="A15" s="65"/>
      <c r="C15" s="66"/>
      <c r="D15" s="65"/>
      <c r="F15" s="76"/>
      <c r="G15" s="76"/>
      <c r="H15" s="320"/>
      <c r="N15" s="65"/>
      <c r="O15" s="65"/>
      <c r="P15" s="65"/>
    </row>
    <row r="16" spans="1:16" s="407" customFormat="1" ht="15.75">
      <c r="A16" s="406"/>
      <c r="C16" s="414" t="s">
        <v>157</v>
      </c>
      <c r="D16" s="70" t="s">
        <v>773</v>
      </c>
      <c r="M16" s="406"/>
      <c r="N16" s="406"/>
      <c r="O16" s="406"/>
      <c r="P16" s="406"/>
    </row>
    <row r="17" spans="1:16" ht="15.75">
      <c r="A17" s="65"/>
      <c r="B17" s="70"/>
      <c r="C17" s="70"/>
      <c r="D17" s="70" t="s">
        <v>1412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</row>
    <row r="18" spans="1:16" ht="15.75">
      <c r="A18" s="65"/>
      <c r="B18" s="70"/>
      <c r="C18" s="70"/>
      <c r="D18" s="152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20" spans="1:16" ht="15.75">
      <c r="D20" s="475"/>
    </row>
    <row r="22" spans="1:16" ht="15.75" hidden="1">
      <c r="D22" s="65" t="s">
        <v>1411</v>
      </c>
      <c r="F22" s="91">
        <f>1400+5600</f>
        <v>7000</v>
      </c>
    </row>
    <row r="23" spans="1:16" ht="15.75" hidden="1">
      <c r="D23" s="65" t="s">
        <v>880</v>
      </c>
      <c r="F23" s="91">
        <f>1000+1000+1000+100</f>
        <v>3100</v>
      </c>
    </row>
    <row r="24" spans="1:16" ht="15.75" hidden="1">
      <c r="D24" s="65" t="s">
        <v>881</v>
      </c>
      <c r="F24" s="91">
        <f>20000+500</f>
        <v>20500</v>
      </c>
    </row>
    <row r="25" spans="1:16" ht="15.75" hidden="1">
      <c r="F25" s="91">
        <f>SUM(F22:F24)</f>
        <v>30600</v>
      </c>
    </row>
    <row r="26" spans="1:16" hidden="1"/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3"/>
  <sheetViews>
    <sheetView showZeros="0" rightToLeft="1" workbookViewId="0">
      <selection activeCell="U4" sqref="U4"/>
    </sheetView>
  </sheetViews>
  <sheetFormatPr defaultRowHeight="15.75"/>
  <cols>
    <col min="1" max="1" width="3.42578125" style="43" customWidth="1"/>
    <col min="2" max="2" width="37.28515625" style="43" bestFit="1" customWidth="1"/>
    <col min="3" max="3" width="16.42578125" style="45" bestFit="1" customWidth="1"/>
    <col min="4" max="4" width="19.85546875" style="45" bestFit="1" customWidth="1"/>
    <col min="5" max="5" width="13.42578125" style="45" customWidth="1"/>
    <col min="6" max="6" width="16.42578125" style="45" bestFit="1" customWidth="1"/>
    <col min="7" max="7" width="19.85546875" style="45" bestFit="1" customWidth="1"/>
    <col min="8" max="8" width="12.42578125" style="45" customWidth="1"/>
    <col min="9" max="10" width="9.140625" style="43"/>
    <col min="11" max="15" width="8.85546875" style="43" customWidth="1"/>
    <col min="16" max="16" width="10.28515625" style="43" customWidth="1"/>
    <col min="17" max="256" width="9.140625" style="43"/>
    <col min="257" max="257" width="3.42578125" style="43" customWidth="1"/>
    <col min="258" max="258" width="37.28515625" style="43" bestFit="1" customWidth="1"/>
    <col min="259" max="259" width="16.42578125" style="43" bestFit="1" customWidth="1"/>
    <col min="260" max="260" width="19.85546875" style="43" bestFit="1" customWidth="1"/>
    <col min="261" max="261" width="13.42578125" style="43" customWidth="1"/>
    <col min="262" max="262" width="16.42578125" style="43" bestFit="1" customWidth="1"/>
    <col min="263" max="263" width="19.85546875" style="43" bestFit="1" customWidth="1"/>
    <col min="264" max="264" width="12.42578125" style="43" customWidth="1"/>
    <col min="265" max="512" width="9.140625" style="43"/>
    <col min="513" max="513" width="3.42578125" style="43" customWidth="1"/>
    <col min="514" max="514" width="37.28515625" style="43" bestFit="1" customWidth="1"/>
    <col min="515" max="515" width="16.42578125" style="43" bestFit="1" customWidth="1"/>
    <col min="516" max="516" width="19.85546875" style="43" bestFit="1" customWidth="1"/>
    <col min="517" max="517" width="13.42578125" style="43" customWidth="1"/>
    <col min="518" max="518" width="16.42578125" style="43" bestFit="1" customWidth="1"/>
    <col min="519" max="519" width="19.85546875" style="43" bestFit="1" customWidth="1"/>
    <col min="520" max="520" width="12.42578125" style="43" customWidth="1"/>
    <col min="521" max="768" width="9.140625" style="43"/>
    <col min="769" max="769" width="3.42578125" style="43" customWidth="1"/>
    <col min="770" max="770" width="37.28515625" style="43" bestFit="1" customWidth="1"/>
    <col min="771" max="771" width="16.42578125" style="43" bestFit="1" customWidth="1"/>
    <col min="772" max="772" width="19.85546875" style="43" bestFit="1" customWidth="1"/>
    <col min="773" max="773" width="13.42578125" style="43" customWidth="1"/>
    <col min="774" max="774" width="16.42578125" style="43" bestFit="1" customWidth="1"/>
    <col min="775" max="775" width="19.85546875" style="43" bestFit="1" customWidth="1"/>
    <col min="776" max="776" width="12.42578125" style="43" customWidth="1"/>
    <col min="777" max="1024" width="9.140625" style="43"/>
    <col min="1025" max="1025" width="3.42578125" style="43" customWidth="1"/>
    <col min="1026" max="1026" width="37.28515625" style="43" bestFit="1" customWidth="1"/>
    <col min="1027" max="1027" width="16.42578125" style="43" bestFit="1" customWidth="1"/>
    <col min="1028" max="1028" width="19.85546875" style="43" bestFit="1" customWidth="1"/>
    <col min="1029" max="1029" width="13.42578125" style="43" customWidth="1"/>
    <col min="1030" max="1030" width="16.42578125" style="43" bestFit="1" customWidth="1"/>
    <col min="1031" max="1031" width="19.85546875" style="43" bestFit="1" customWidth="1"/>
    <col min="1032" max="1032" width="12.42578125" style="43" customWidth="1"/>
    <col min="1033" max="1280" width="9.140625" style="43"/>
    <col min="1281" max="1281" width="3.42578125" style="43" customWidth="1"/>
    <col min="1282" max="1282" width="37.28515625" style="43" bestFit="1" customWidth="1"/>
    <col min="1283" max="1283" width="16.42578125" style="43" bestFit="1" customWidth="1"/>
    <col min="1284" max="1284" width="19.85546875" style="43" bestFit="1" customWidth="1"/>
    <col min="1285" max="1285" width="13.42578125" style="43" customWidth="1"/>
    <col min="1286" max="1286" width="16.42578125" style="43" bestFit="1" customWidth="1"/>
    <col min="1287" max="1287" width="19.85546875" style="43" bestFit="1" customWidth="1"/>
    <col min="1288" max="1288" width="12.42578125" style="43" customWidth="1"/>
    <col min="1289" max="1536" width="9.140625" style="43"/>
    <col min="1537" max="1537" width="3.42578125" style="43" customWidth="1"/>
    <col min="1538" max="1538" width="37.28515625" style="43" bestFit="1" customWidth="1"/>
    <col min="1539" max="1539" width="16.42578125" style="43" bestFit="1" customWidth="1"/>
    <col min="1540" max="1540" width="19.85546875" style="43" bestFit="1" customWidth="1"/>
    <col min="1541" max="1541" width="13.42578125" style="43" customWidth="1"/>
    <col min="1542" max="1542" width="16.42578125" style="43" bestFit="1" customWidth="1"/>
    <col min="1543" max="1543" width="19.85546875" style="43" bestFit="1" customWidth="1"/>
    <col min="1544" max="1544" width="12.42578125" style="43" customWidth="1"/>
    <col min="1545" max="1792" width="9.140625" style="43"/>
    <col min="1793" max="1793" width="3.42578125" style="43" customWidth="1"/>
    <col min="1794" max="1794" width="37.28515625" style="43" bestFit="1" customWidth="1"/>
    <col min="1795" max="1795" width="16.42578125" style="43" bestFit="1" customWidth="1"/>
    <col min="1796" max="1796" width="19.85546875" style="43" bestFit="1" customWidth="1"/>
    <col min="1797" max="1797" width="13.42578125" style="43" customWidth="1"/>
    <col min="1798" max="1798" width="16.42578125" style="43" bestFit="1" customWidth="1"/>
    <col min="1799" max="1799" width="19.85546875" style="43" bestFit="1" customWidth="1"/>
    <col min="1800" max="1800" width="12.42578125" style="43" customWidth="1"/>
    <col min="1801" max="2048" width="9.140625" style="43"/>
    <col min="2049" max="2049" width="3.42578125" style="43" customWidth="1"/>
    <col min="2050" max="2050" width="37.28515625" style="43" bestFit="1" customWidth="1"/>
    <col min="2051" max="2051" width="16.42578125" style="43" bestFit="1" customWidth="1"/>
    <col min="2052" max="2052" width="19.85546875" style="43" bestFit="1" customWidth="1"/>
    <col min="2053" max="2053" width="13.42578125" style="43" customWidth="1"/>
    <col min="2054" max="2054" width="16.42578125" style="43" bestFit="1" customWidth="1"/>
    <col min="2055" max="2055" width="19.85546875" style="43" bestFit="1" customWidth="1"/>
    <col min="2056" max="2056" width="12.42578125" style="43" customWidth="1"/>
    <col min="2057" max="2304" width="9.140625" style="43"/>
    <col min="2305" max="2305" width="3.42578125" style="43" customWidth="1"/>
    <col min="2306" max="2306" width="37.28515625" style="43" bestFit="1" customWidth="1"/>
    <col min="2307" max="2307" width="16.42578125" style="43" bestFit="1" customWidth="1"/>
    <col min="2308" max="2308" width="19.85546875" style="43" bestFit="1" customWidth="1"/>
    <col min="2309" max="2309" width="13.42578125" style="43" customWidth="1"/>
    <col min="2310" max="2310" width="16.42578125" style="43" bestFit="1" customWidth="1"/>
    <col min="2311" max="2311" width="19.85546875" style="43" bestFit="1" customWidth="1"/>
    <col min="2312" max="2312" width="12.42578125" style="43" customWidth="1"/>
    <col min="2313" max="2560" width="9.140625" style="43"/>
    <col min="2561" max="2561" width="3.42578125" style="43" customWidth="1"/>
    <col min="2562" max="2562" width="37.28515625" style="43" bestFit="1" customWidth="1"/>
    <col min="2563" max="2563" width="16.42578125" style="43" bestFit="1" customWidth="1"/>
    <col min="2564" max="2564" width="19.85546875" style="43" bestFit="1" customWidth="1"/>
    <col min="2565" max="2565" width="13.42578125" style="43" customWidth="1"/>
    <col min="2566" max="2566" width="16.42578125" style="43" bestFit="1" customWidth="1"/>
    <col min="2567" max="2567" width="19.85546875" style="43" bestFit="1" customWidth="1"/>
    <col min="2568" max="2568" width="12.42578125" style="43" customWidth="1"/>
    <col min="2569" max="2816" width="9.140625" style="43"/>
    <col min="2817" max="2817" width="3.42578125" style="43" customWidth="1"/>
    <col min="2818" max="2818" width="37.28515625" style="43" bestFit="1" customWidth="1"/>
    <col min="2819" max="2819" width="16.42578125" style="43" bestFit="1" customWidth="1"/>
    <col min="2820" max="2820" width="19.85546875" style="43" bestFit="1" customWidth="1"/>
    <col min="2821" max="2821" width="13.42578125" style="43" customWidth="1"/>
    <col min="2822" max="2822" width="16.42578125" style="43" bestFit="1" customWidth="1"/>
    <col min="2823" max="2823" width="19.85546875" style="43" bestFit="1" customWidth="1"/>
    <col min="2824" max="2824" width="12.42578125" style="43" customWidth="1"/>
    <col min="2825" max="3072" width="9.140625" style="43"/>
    <col min="3073" max="3073" width="3.42578125" style="43" customWidth="1"/>
    <col min="3074" max="3074" width="37.28515625" style="43" bestFit="1" customWidth="1"/>
    <col min="3075" max="3075" width="16.42578125" style="43" bestFit="1" customWidth="1"/>
    <col min="3076" max="3076" width="19.85546875" style="43" bestFit="1" customWidth="1"/>
    <col min="3077" max="3077" width="13.42578125" style="43" customWidth="1"/>
    <col min="3078" max="3078" width="16.42578125" style="43" bestFit="1" customWidth="1"/>
    <col min="3079" max="3079" width="19.85546875" style="43" bestFit="1" customWidth="1"/>
    <col min="3080" max="3080" width="12.42578125" style="43" customWidth="1"/>
    <col min="3081" max="3328" width="9.140625" style="43"/>
    <col min="3329" max="3329" width="3.42578125" style="43" customWidth="1"/>
    <col min="3330" max="3330" width="37.28515625" style="43" bestFit="1" customWidth="1"/>
    <col min="3331" max="3331" width="16.42578125" style="43" bestFit="1" customWidth="1"/>
    <col min="3332" max="3332" width="19.85546875" style="43" bestFit="1" customWidth="1"/>
    <col min="3333" max="3333" width="13.42578125" style="43" customWidth="1"/>
    <col min="3334" max="3334" width="16.42578125" style="43" bestFit="1" customWidth="1"/>
    <col min="3335" max="3335" width="19.85546875" style="43" bestFit="1" customWidth="1"/>
    <col min="3336" max="3336" width="12.42578125" style="43" customWidth="1"/>
    <col min="3337" max="3584" width="9.140625" style="43"/>
    <col min="3585" max="3585" width="3.42578125" style="43" customWidth="1"/>
    <col min="3586" max="3586" width="37.28515625" style="43" bestFit="1" customWidth="1"/>
    <col min="3587" max="3587" width="16.42578125" style="43" bestFit="1" customWidth="1"/>
    <col min="3588" max="3588" width="19.85546875" style="43" bestFit="1" customWidth="1"/>
    <col min="3589" max="3589" width="13.42578125" style="43" customWidth="1"/>
    <col min="3590" max="3590" width="16.42578125" style="43" bestFit="1" customWidth="1"/>
    <col min="3591" max="3591" width="19.85546875" style="43" bestFit="1" customWidth="1"/>
    <col min="3592" max="3592" width="12.42578125" style="43" customWidth="1"/>
    <col min="3593" max="3840" width="9.140625" style="43"/>
    <col min="3841" max="3841" width="3.42578125" style="43" customWidth="1"/>
    <col min="3842" max="3842" width="37.28515625" style="43" bestFit="1" customWidth="1"/>
    <col min="3843" max="3843" width="16.42578125" style="43" bestFit="1" customWidth="1"/>
    <col min="3844" max="3844" width="19.85546875" style="43" bestFit="1" customWidth="1"/>
    <col min="3845" max="3845" width="13.42578125" style="43" customWidth="1"/>
    <col min="3846" max="3846" width="16.42578125" style="43" bestFit="1" customWidth="1"/>
    <col min="3847" max="3847" width="19.85546875" style="43" bestFit="1" customWidth="1"/>
    <col min="3848" max="3848" width="12.42578125" style="43" customWidth="1"/>
    <col min="3849" max="4096" width="9.140625" style="43"/>
    <col min="4097" max="4097" width="3.42578125" style="43" customWidth="1"/>
    <col min="4098" max="4098" width="37.28515625" style="43" bestFit="1" customWidth="1"/>
    <col min="4099" max="4099" width="16.42578125" style="43" bestFit="1" customWidth="1"/>
    <col min="4100" max="4100" width="19.85546875" style="43" bestFit="1" customWidth="1"/>
    <col min="4101" max="4101" width="13.42578125" style="43" customWidth="1"/>
    <col min="4102" max="4102" width="16.42578125" style="43" bestFit="1" customWidth="1"/>
    <col min="4103" max="4103" width="19.85546875" style="43" bestFit="1" customWidth="1"/>
    <col min="4104" max="4104" width="12.42578125" style="43" customWidth="1"/>
    <col min="4105" max="4352" width="9.140625" style="43"/>
    <col min="4353" max="4353" width="3.42578125" style="43" customWidth="1"/>
    <col min="4354" max="4354" width="37.28515625" style="43" bestFit="1" customWidth="1"/>
    <col min="4355" max="4355" width="16.42578125" style="43" bestFit="1" customWidth="1"/>
    <col min="4356" max="4356" width="19.85546875" style="43" bestFit="1" customWidth="1"/>
    <col min="4357" max="4357" width="13.42578125" style="43" customWidth="1"/>
    <col min="4358" max="4358" width="16.42578125" style="43" bestFit="1" customWidth="1"/>
    <col min="4359" max="4359" width="19.85546875" style="43" bestFit="1" customWidth="1"/>
    <col min="4360" max="4360" width="12.42578125" style="43" customWidth="1"/>
    <col min="4361" max="4608" width="9.140625" style="43"/>
    <col min="4609" max="4609" width="3.42578125" style="43" customWidth="1"/>
    <col min="4610" max="4610" width="37.28515625" style="43" bestFit="1" customWidth="1"/>
    <col min="4611" max="4611" width="16.42578125" style="43" bestFit="1" customWidth="1"/>
    <col min="4612" max="4612" width="19.85546875" style="43" bestFit="1" customWidth="1"/>
    <col min="4613" max="4613" width="13.42578125" style="43" customWidth="1"/>
    <col min="4614" max="4614" width="16.42578125" style="43" bestFit="1" customWidth="1"/>
    <col min="4615" max="4615" width="19.85546875" style="43" bestFit="1" customWidth="1"/>
    <col min="4616" max="4616" width="12.42578125" style="43" customWidth="1"/>
    <col min="4617" max="4864" width="9.140625" style="43"/>
    <col min="4865" max="4865" width="3.42578125" style="43" customWidth="1"/>
    <col min="4866" max="4866" width="37.28515625" style="43" bestFit="1" customWidth="1"/>
    <col min="4867" max="4867" width="16.42578125" style="43" bestFit="1" customWidth="1"/>
    <col min="4868" max="4868" width="19.85546875" style="43" bestFit="1" customWidth="1"/>
    <col min="4869" max="4869" width="13.42578125" style="43" customWidth="1"/>
    <col min="4870" max="4870" width="16.42578125" style="43" bestFit="1" customWidth="1"/>
    <col min="4871" max="4871" width="19.85546875" style="43" bestFit="1" customWidth="1"/>
    <col min="4872" max="4872" width="12.42578125" style="43" customWidth="1"/>
    <col min="4873" max="5120" width="9.140625" style="43"/>
    <col min="5121" max="5121" width="3.42578125" style="43" customWidth="1"/>
    <col min="5122" max="5122" width="37.28515625" style="43" bestFit="1" customWidth="1"/>
    <col min="5123" max="5123" width="16.42578125" style="43" bestFit="1" customWidth="1"/>
    <col min="5124" max="5124" width="19.85546875" style="43" bestFit="1" customWidth="1"/>
    <col min="5125" max="5125" width="13.42578125" style="43" customWidth="1"/>
    <col min="5126" max="5126" width="16.42578125" style="43" bestFit="1" customWidth="1"/>
    <col min="5127" max="5127" width="19.85546875" style="43" bestFit="1" customWidth="1"/>
    <col min="5128" max="5128" width="12.42578125" style="43" customWidth="1"/>
    <col min="5129" max="5376" width="9.140625" style="43"/>
    <col min="5377" max="5377" width="3.42578125" style="43" customWidth="1"/>
    <col min="5378" max="5378" width="37.28515625" style="43" bestFit="1" customWidth="1"/>
    <col min="5379" max="5379" width="16.42578125" style="43" bestFit="1" customWidth="1"/>
    <col min="5380" max="5380" width="19.85546875" style="43" bestFit="1" customWidth="1"/>
    <col min="5381" max="5381" width="13.42578125" style="43" customWidth="1"/>
    <col min="5382" max="5382" width="16.42578125" style="43" bestFit="1" customWidth="1"/>
    <col min="5383" max="5383" width="19.85546875" style="43" bestFit="1" customWidth="1"/>
    <col min="5384" max="5384" width="12.42578125" style="43" customWidth="1"/>
    <col min="5385" max="5632" width="9.140625" style="43"/>
    <col min="5633" max="5633" width="3.42578125" style="43" customWidth="1"/>
    <col min="5634" max="5634" width="37.28515625" style="43" bestFit="1" customWidth="1"/>
    <col min="5635" max="5635" width="16.42578125" style="43" bestFit="1" customWidth="1"/>
    <col min="5636" max="5636" width="19.85546875" style="43" bestFit="1" customWidth="1"/>
    <col min="5637" max="5637" width="13.42578125" style="43" customWidth="1"/>
    <col min="5638" max="5638" width="16.42578125" style="43" bestFit="1" customWidth="1"/>
    <col min="5639" max="5639" width="19.85546875" style="43" bestFit="1" customWidth="1"/>
    <col min="5640" max="5640" width="12.42578125" style="43" customWidth="1"/>
    <col min="5641" max="5888" width="9.140625" style="43"/>
    <col min="5889" max="5889" width="3.42578125" style="43" customWidth="1"/>
    <col min="5890" max="5890" width="37.28515625" style="43" bestFit="1" customWidth="1"/>
    <col min="5891" max="5891" width="16.42578125" style="43" bestFit="1" customWidth="1"/>
    <col min="5892" max="5892" width="19.85546875" style="43" bestFit="1" customWidth="1"/>
    <col min="5893" max="5893" width="13.42578125" style="43" customWidth="1"/>
    <col min="5894" max="5894" width="16.42578125" style="43" bestFit="1" customWidth="1"/>
    <col min="5895" max="5895" width="19.85546875" style="43" bestFit="1" customWidth="1"/>
    <col min="5896" max="5896" width="12.42578125" style="43" customWidth="1"/>
    <col min="5897" max="6144" width="9.140625" style="43"/>
    <col min="6145" max="6145" width="3.42578125" style="43" customWidth="1"/>
    <col min="6146" max="6146" width="37.28515625" style="43" bestFit="1" customWidth="1"/>
    <col min="6147" max="6147" width="16.42578125" style="43" bestFit="1" customWidth="1"/>
    <col min="6148" max="6148" width="19.85546875" style="43" bestFit="1" customWidth="1"/>
    <col min="6149" max="6149" width="13.42578125" style="43" customWidth="1"/>
    <col min="6150" max="6150" width="16.42578125" style="43" bestFit="1" customWidth="1"/>
    <col min="6151" max="6151" width="19.85546875" style="43" bestFit="1" customWidth="1"/>
    <col min="6152" max="6152" width="12.42578125" style="43" customWidth="1"/>
    <col min="6153" max="6400" width="9.140625" style="43"/>
    <col min="6401" max="6401" width="3.42578125" style="43" customWidth="1"/>
    <col min="6402" max="6402" width="37.28515625" style="43" bestFit="1" customWidth="1"/>
    <col min="6403" max="6403" width="16.42578125" style="43" bestFit="1" customWidth="1"/>
    <col min="6404" max="6404" width="19.85546875" style="43" bestFit="1" customWidth="1"/>
    <col min="6405" max="6405" width="13.42578125" style="43" customWidth="1"/>
    <col min="6406" max="6406" width="16.42578125" style="43" bestFit="1" customWidth="1"/>
    <col min="6407" max="6407" width="19.85546875" style="43" bestFit="1" customWidth="1"/>
    <col min="6408" max="6408" width="12.42578125" style="43" customWidth="1"/>
    <col min="6409" max="6656" width="9.140625" style="43"/>
    <col min="6657" max="6657" width="3.42578125" style="43" customWidth="1"/>
    <col min="6658" max="6658" width="37.28515625" style="43" bestFit="1" customWidth="1"/>
    <col min="6659" max="6659" width="16.42578125" style="43" bestFit="1" customWidth="1"/>
    <col min="6660" max="6660" width="19.85546875" style="43" bestFit="1" customWidth="1"/>
    <col min="6661" max="6661" width="13.42578125" style="43" customWidth="1"/>
    <col min="6662" max="6662" width="16.42578125" style="43" bestFit="1" customWidth="1"/>
    <col min="6663" max="6663" width="19.85546875" style="43" bestFit="1" customWidth="1"/>
    <col min="6664" max="6664" width="12.42578125" style="43" customWidth="1"/>
    <col min="6665" max="6912" width="9.140625" style="43"/>
    <col min="6913" max="6913" width="3.42578125" style="43" customWidth="1"/>
    <col min="6914" max="6914" width="37.28515625" style="43" bestFit="1" customWidth="1"/>
    <col min="6915" max="6915" width="16.42578125" style="43" bestFit="1" customWidth="1"/>
    <col min="6916" max="6916" width="19.85546875" style="43" bestFit="1" customWidth="1"/>
    <col min="6917" max="6917" width="13.42578125" style="43" customWidth="1"/>
    <col min="6918" max="6918" width="16.42578125" style="43" bestFit="1" customWidth="1"/>
    <col min="6919" max="6919" width="19.85546875" style="43" bestFit="1" customWidth="1"/>
    <col min="6920" max="6920" width="12.42578125" style="43" customWidth="1"/>
    <col min="6921" max="7168" width="9.140625" style="43"/>
    <col min="7169" max="7169" width="3.42578125" style="43" customWidth="1"/>
    <col min="7170" max="7170" width="37.28515625" style="43" bestFit="1" customWidth="1"/>
    <col min="7171" max="7171" width="16.42578125" style="43" bestFit="1" customWidth="1"/>
    <col min="7172" max="7172" width="19.85546875" style="43" bestFit="1" customWidth="1"/>
    <col min="7173" max="7173" width="13.42578125" style="43" customWidth="1"/>
    <col min="7174" max="7174" width="16.42578125" style="43" bestFit="1" customWidth="1"/>
    <col min="7175" max="7175" width="19.85546875" style="43" bestFit="1" customWidth="1"/>
    <col min="7176" max="7176" width="12.42578125" style="43" customWidth="1"/>
    <col min="7177" max="7424" width="9.140625" style="43"/>
    <col min="7425" max="7425" width="3.42578125" style="43" customWidth="1"/>
    <col min="7426" max="7426" width="37.28515625" style="43" bestFit="1" customWidth="1"/>
    <col min="7427" max="7427" width="16.42578125" style="43" bestFit="1" customWidth="1"/>
    <col min="7428" max="7428" width="19.85546875" style="43" bestFit="1" customWidth="1"/>
    <col min="7429" max="7429" width="13.42578125" style="43" customWidth="1"/>
    <col min="7430" max="7430" width="16.42578125" style="43" bestFit="1" customWidth="1"/>
    <col min="7431" max="7431" width="19.85546875" style="43" bestFit="1" customWidth="1"/>
    <col min="7432" max="7432" width="12.42578125" style="43" customWidth="1"/>
    <col min="7433" max="7680" width="9.140625" style="43"/>
    <col min="7681" max="7681" width="3.42578125" style="43" customWidth="1"/>
    <col min="7682" max="7682" width="37.28515625" style="43" bestFit="1" customWidth="1"/>
    <col min="7683" max="7683" width="16.42578125" style="43" bestFit="1" customWidth="1"/>
    <col min="7684" max="7684" width="19.85546875" style="43" bestFit="1" customWidth="1"/>
    <col min="7685" max="7685" width="13.42578125" style="43" customWidth="1"/>
    <col min="7686" max="7686" width="16.42578125" style="43" bestFit="1" customWidth="1"/>
    <col min="7687" max="7687" width="19.85546875" style="43" bestFit="1" customWidth="1"/>
    <col min="7688" max="7688" width="12.42578125" style="43" customWidth="1"/>
    <col min="7689" max="7936" width="9.140625" style="43"/>
    <col min="7937" max="7937" width="3.42578125" style="43" customWidth="1"/>
    <col min="7938" max="7938" width="37.28515625" style="43" bestFit="1" customWidth="1"/>
    <col min="7939" max="7939" width="16.42578125" style="43" bestFit="1" customWidth="1"/>
    <col min="7940" max="7940" width="19.85546875" style="43" bestFit="1" customWidth="1"/>
    <col min="7941" max="7941" width="13.42578125" style="43" customWidth="1"/>
    <col min="7942" max="7942" width="16.42578125" style="43" bestFit="1" customWidth="1"/>
    <col min="7943" max="7943" width="19.85546875" style="43" bestFit="1" customWidth="1"/>
    <col min="7944" max="7944" width="12.42578125" style="43" customWidth="1"/>
    <col min="7945" max="8192" width="9.140625" style="43"/>
    <col min="8193" max="8193" width="3.42578125" style="43" customWidth="1"/>
    <col min="8194" max="8194" width="37.28515625" style="43" bestFit="1" customWidth="1"/>
    <col min="8195" max="8195" width="16.42578125" style="43" bestFit="1" customWidth="1"/>
    <col min="8196" max="8196" width="19.85546875" style="43" bestFit="1" customWidth="1"/>
    <col min="8197" max="8197" width="13.42578125" style="43" customWidth="1"/>
    <col min="8198" max="8198" width="16.42578125" style="43" bestFit="1" customWidth="1"/>
    <col min="8199" max="8199" width="19.85546875" style="43" bestFit="1" customWidth="1"/>
    <col min="8200" max="8200" width="12.42578125" style="43" customWidth="1"/>
    <col min="8201" max="8448" width="9.140625" style="43"/>
    <col min="8449" max="8449" width="3.42578125" style="43" customWidth="1"/>
    <col min="8450" max="8450" width="37.28515625" style="43" bestFit="1" customWidth="1"/>
    <col min="8451" max="8451" width="16.42578125" style="43" bestFit="1" customWidth="1"/>
    <col min="8452" max="8452" width="19.85546875" style="43" bestFit="1" customWidth="1"/>
    <col min="8453" max="8453" width="13.42578125" style="43" customWidth="1"/>
    <col min="8454" max="8454" width="16.42578125" style="43" bestFit="1" customWidth="1"/>
    <col min="8455" max="8455" width="19.85546875" style="43" bestFit="1" customWidth="1"/>
    <col min="8456" max="8456" width="12.42578125" style="43" customWidth="1"/>
    <col min="8457" max="8704" width="9.140625" style="43"/>
    <col min="8705" max="8705" width="3.42578125" style="43" customWidth="1"/>
    <col min="8706" max="8706" width="37.28515625" style="43" bestFit="1" customWidth="1"/>
    <col min="8707" max="8707" width="16.42578125" style="43" bestFit="1" customWidth="1"/>
    <col min="8708" max="8708" width="19.85546875" style="43" bestFit="1" customWidth="1"/>
    <col min="8709" max="8709" width="13.42578125" style="43" customWidth="1"/>
    <col min="8710" max="8710" width="16.42578125" style="43" bestFit="1" customWidth="1"/>
    <col min="8711" max="8711" width="19.85546875" style="43" bestFit="1" customWidth="1"/>
    <col min="8712" max="8712" width="12.42578125" style="43" customWidth="1"/>
    <col min="8713" max="8960" width="9.140625" style="43"/>
    <col min="8961" max="8961" width="3.42578125" style="43" customWidth="1"/>
    <col min="8962" max="8962" width="37.28515625" style="43" bestFit="1" customWidth="1"/>
    <col min="8963" max="8963" width="16.42578125" style="43" bestFit="1" customWidth="1"/>
    <col min="8964" max="8964" width="19.85546875" style="43" bestFit="1" customWidth="1"/>
    <col min="8965" max="8965" width="13.42578125" style="43" customWidth="1"/>
    <col min="8966" max="8966" width="16.42578125" style="43" bestFit="1" customWidth="1"/>
    <col min="8967" max="8967" width="19.85546875" style="43" bestFit="1" customWidth="1"/>
    <col min="8968" max="8968" width="12.42578125" style="43" customWidth="1"/>
    <col min="8969" max="9216" width="9.140625" style="43"/>
    <col min="9217" max="9217" width="3.42578125" style="43" customWidth="1"/>
    <col min="9218" max="9218" width="37.28515625" style="43" bestFit="1" customWidth="1"/>
    <col min="9219" max="9219" width="16.42578125" style="43" bestFit="1" customWidth="1"/>
    <col min="9220" max="9220" width="19.85546875" style="43" bestFit="1" customWidth="1"/>
    <col min="9221" max="9221" width="13.42578125" style="43" customWidth="1"/>
    <col min="9222" max="9222" width="16.42578125" style="43" bestFit="1" customWidth="1"/>
    <col min="9223" max="9223" width="19.85546875" style="43" bestFit="1" customWidth="1"/>
    <col min="9224" max="9224" width="12.42578125" style="43" customWidth="1"/>
    <col min="9225" max="9472" width="9.140625" style="43"/>
    <col min="9473" max="9473" width="3.42578125" style="43" customWidth="1"/>
    <col min="9474" max="9474" width="37.28515625" style="43" bestFit="1" customWidth="1"/>
    <col min="9475" max="9475" width="16.42578125" style="43" bestFit="1" customWidth="1"/>
    <col min="9476" max="9476" width="19.85546875" style="43" bestFit="1" customWidth="1"/>
    <col min="9477" max="9477" width="13.42578125" style="43" customWidth="1"/>
    <col min="9478" max="9478" width="16.42578125" style="43" bestFit="1" customWidth="1"/>
    <col min="9479" max="9479" width="19.85546875" style="43" bestFit="1" customWidth="1"/>
    <col min="9480" max="9480" width="12.42578125" style="43" customWidth="1"/>
    <col min="9481" max="9728" width="9.140625" style="43"/>
    <col min="9729" max="9729" width="3.42578125" style="43" customWidth="1"/>
    <col min="9730" max="9730" width="37.28515625" style="43" bestFit="1" customWidth="1"/>
    <col min="9731" max="9731" width="16.42578125" style="43" bestFit="1" customWidth="1"/>
    <col min="9732" max="9732" width="19.85546875" style="43" bestFit="1" customWidth="1"/>
    <col min="9733" max="9733" width="13.42578125" style="43" customWidth="1"/>
    <col min="9734" max="9734" width="16.42578125" style="43" bestFit="1" customWidth="1"/>
    <col min="9735" max="9735" width="19.85546875" style="43" bestFit="1" customWidth="1"/>
    <col min="9736" max="9736" width="12.42578125" style="43" customWidth="1"/>
    <col min="9737" max="9984" width="9.140625" style="43"/>
    <col min="9985" max="9985" width="3.42578125" style="43" customWidth="1"/>
    <col min="9986" max="9986" width="37.28515625" style="43" bestFit="1" customWidth="1"/>
    <col min="9987" max="9987" width="16.42578125" style="43" bestFit="1" customWidth="1"/>
    <col min="9988" max="9988" width="19.85546875" style="43" bestFit="1" customWidth="1"/>
    <col min="9989" max="9989" width="13.42578125" style="43" customWidth="1"/>
    <col min="9990" max="9990" width="16.42578125" style="43" bestFit="1" customWidth="1"/>
    <col min="9991" max="9991" width="19.85546875" style="43" bestFit="1" customWidth="1"/>
    <col min="9992" max="9992" width="12.42578125" style="43" customWidth="1"/>
    <col min="9993" max="10240" width="9.140625" style="43"/>
    <col min="10241" max="10241" width="3.42578125" style="43" customWidth="1"/>
    <col min="10242" max="10242" width="37.28515625" style="43" bestFit="1" customWidth="1"/>
    <col min="10243" max="10243" width="16.42578125" style="43" bestFit="1" customWidth="1"/>
    <col min="10244" max="10244" width="19.85546875" style="43" bestFit="1" customWidth="1"/>
    <col min="10245" max="10245" width="13.42578125" style="43" customWidth="1"/>
    <col min="10246" max="10246" width="16.42578125" style="43" bestFit="1" customWidth="1"/>
    <col min="10247" max="10247" width="19.85546875" style="43" bestFit="1" customWidth="1"/>
    <col min="10248" max="10248" width="12.42578125" style="43" customWidth="1"/>
    <col min="10249" max="10496" width="9.140625" style="43"/>
    <col min="10497" max="10497" width="3.42578125" style="43" customWidth="1"/>
    <col min="10498" max="10498" width="37.28515625" style="43" bestFit="1" customWidth="1"/>
    <col min="10499" max="10499" width="16.42578125" style="43" bestFit="1" customWidth="1"/>
    <col min="10500" max="10500" width="19.85546875" style="43" bestFit="1" customWidth="1"/>
    <col min="10501" max="10501" width="13.42578125" style="43" customWidth="1"/>
    <col min="10502" max="10502" width="16.42578125" style="43" bestFit="1" customWidth="1"/>
    <col min="10503" max="10503" width="19.85546875" style="43" bestFit="1" customWidth="1"/>
    <col min="10504" max="10504" width="12.42578125" style="43" customWidth="1"/>
    <col min="10505" max="10752" width="9.140625" style="43"/>
    <col min="10753" max="10753" width="3.42578125" style="43" customWidth="1"/>
    <col min="10754" max="10754" width="37.28515625" style="43" bestFit="1" customWidth="1"/>
    <col min="10755" max="10755" width="16.42578125" style="43" bestFit="1" customWidth="1"/>
    <col min="10756" max="10756" width="19.85546875" style="43" bestFit="1" customWidth="1"/>
    <col min="10757" max="10757" width="13.42578125" style="43" customWidth="1"/>
    <col min="10758" max="10758" width="16.42578125" style="43" bestFit="1" customWidth="1"/>
    <col min="10759" max="10759" width="19.85546875" style="43" bestFit="1" customWidth="1"/>
    <col min="10760" max="10760" width="12.42578125" style="43" customWidth="1"/>
    <col min="10761" max="11008" width="9.140625" style="43"/>
    <col min="11009" max="11009" width="3.42578125" style="43" customWidth="1"/>
    <col min="11010" max="11010" width="37.28515625" style="43" bestFit="1" customWidth="1"/>
    <col min="11011" max="11011" width="16.42578125" style="43" bestFit="1" customWidth="1"/>
    <col min="11012" max="11012" width="19.85546875" style="43" bestFit="1" customWidth="1"/>
    <col min="11013" max="11013" width="13.42578125" style="43" customWidth="1"/>
    <col min="11014" max="11014" width="16.42578125" style="43" bestFit="1" customWidth="1"/>
    <col min="11015" max="11015" width="19.85546875" style="43" bestFit="1" customWidth="1"/>
    <col min="11016" max="11016" width="12.42578125" style="43" customWidth="1"/>
    <col min="11017" max="11264" width="9.140625" style="43"/>
    <col min="11265" max="11265" width="3.42578125" style="43" customWidth="1"/>
    <col min="11266" max="11266" width="37.28515625" style="43" bestFit="1" customWidth="1"/>
    <col min="11267" max="11267" width="16.42578125" style="43" bestFit="1" customWidth="1"/>
    <col min="11268" max="11268" width="19.85546875" style="43" bestFit="1" customWidth="1"/>
    <col min="11269" max="11269" width="13.42578125" style="43" customWidth="1"/>
    <col min="11270" max="11270" width="16.42578125" style="43" bestFit="1" customWidth="1"/>
    <col min="11271" max="11271" width="19.85546875" style="43" bestFit="1" customWidth="1"/>
    <col min="11272" max="11272" width="12.42578125" style="43" customWidth="1"/>
    <col min="11273" max="11520" width="9.140625" style="43"/>
    <col min="11521" max="11521" width="3.42578125" style="43" customWidth="1"/>
    <col min="11522" max="11522" width="37.28515625" style="43" bestFit="1" customWidth="1"/>
    <col min="11523" max="11523" width="16.42578125" style="43" bestFit="1" customWidth="1"/>
    <col min="11524" max="11524" width="19.85546875" style="43" bestFit="1" customWidth="1"/>
    <col min="11525" max="11525" width="13.42578125" style="43" customWidth="1"/>
    <col min="11526" max="11526" width="16.42578125" style="43" bestFit="1" customWidth="1"/>
    <col min="11527" max="11527" width="19.85546875" style="43" bestFit="1" customWidth="1"/>
    <col min="11528" max="11528" width="12.42578125" style="43" customWidth="1"/>
    <col min="11529" max="11776" width="9.140625" style="43"/>
    <col min="11777" max="11777" width="3.42578125" style="43" customWidth="1"/>
    <col min="11778" max="11778" width="37.28515625" style="43" bestFit="1" customWidth="1"/>
    <col min="11779" max="11779" width="16.42578125" style="43" bestFit="1" customWidth="1"/>
    <col min="11780" max="11780" width="19.85546875" style="43" bestFit="1" customWidth="1"/>
    <col min="11781" max="11781" width="13.42578125" style="43" customWidth="1"/>
    <col min="11782" max="11782" width="16.42578125" style="43" bestFit="1" customWidth="1"/>
    <col min="11783" max="11783" width="19.85546875" style="43" bestFit="1" customWidth="1"/>
    <col min="11784" max="11784" width="12.42578125" style="43" customWidth="1"/>
    <col min="11785" max="12032" width="9.140625" style="43"/>
    <col min="12033" max="12033" width="3.42578125" style="43" customWidth="1"/>
    <col min="12034" max="12034" width="37.28515625" style="43" bestFit="1" customWidth="1"/>
    <col min="12035" max="12035" width="16.42578125" style="43" bestFit="1" customWidth="1"/>
    <col min="12036" max="12036" width="19.85546875" style="43" bestFit="1" customWidth="1"/>
    <col min="12037" max="12037" width="13.42578125" style="43" customWidth="1"/>
    <col min="12038" max="12038" width="16.42578125" style="43" bestFit="1" customWidth="1"/>
    <col min="12039" max="12039" width="19.85546875" style="43" bestFit="1" customWidth="1"/>
    <col min="12040" max="12040" width="12.42578125" style="43" customWidth="1"/>
    <col min="12041" max="12288" width="9.140625" style="43"/>
    <col min="12289" max="12289" width="3.42578125" style="43" customWidth="1"/>
    <col min="12290" max="12290" width="37.28515625" style="43" bestFit="1" customWidth="1"/>
    <col min="12291" max="12291" width="16.42578125" style="43" bestFit="1" customWidth="1"/>
    <col min="12292" max="12292" width="19.85546875" style="43" bestFit="1" customWidth="1"/>
    <col min="12293" max="12293" width="13.42578125" style="43" customWidth="1"/>
    <col min="12294" max="12294" width="16.42578125" style="43" bestFit="1" customWidth="1"/>
    <col min="12295" max="12295" width="19.85546875" style="43" bestFit="1" customWidth="1"/>
    <col min="12296" max="12296" width="12.42578125" style="43" customWidth="1"/>
    <col min="12297" max="12544" width="9.140625" style="43"/>
    <col min="12545" max="12545" width="3.42578125" style="43" customWidth="1"/>
    <col min="12546" max="12546" width="37.28515625" style="43" bestFit="1" customWidth="1"/>
    <col min="12547" max="12547" width="16.42578125" style="43" bestFit="1" customWidth="1"/>
    <col min="12548" max="12548" width="19.85546875" style="43" bestFit="1" customWidth="1"/>
    <col min="12549" max="12549" width="13.42578125" style="43" customWidth="1"/>
    <col min="12550" max="12550" width="16.42578125" style="43" bestFit="1" customWidth="1"/>
    <col min="12551" max="12551" width="19.85546875" style="43" bestFit="1" customWidth="1"/>
    <col min="12552" max="12552" width="12.42578125" style="43" customWidth="1"/>
    <col min="12553" max="12800" width="9.140625" style="43"/>
    <col min="12801" max="12801" width="3.42578125" style="43" customWidth="1"/>
    <col min="12802" max="12802" width="37.28515625" style="43" bestFit="1" customWidth="1"/>
    <col min="12803" max="12803" width="16.42578125" style="43" bestFit="1" customWidth="1"/>
    <col min="12804" max="12804" width="19.85546875" style="43" bestFit="1" customWidth="1"/>
    <col min="12805" max="12805" width="13.42578125" style="43" customWidth="1"/>
    <col min="12806" max="12806" width="16.42578125" style="43" bestFit="1" customWidth="1"/>
    <col min="12807" max="12807" width="19.85546875" style="43" bestFit="1" customWidth="1"/>
    <col min="12808" max="12808" width="12.42578125" style="43" customWidth="1"/>
    <col min="12809" max="13056" width="9.140625" style="43"/>
    <col min="13057" max="13057" width="3.42578125" style="43" customWidth="1"/>
    <col min="13058" max="13058" width="37.28515625" style="43" bestFit="1" customWidth="1"/>
    <col min="13059" max="13059" width="16.42578125" style="43" bestFit="1" customWidth="1"/>
    <col min="13060" max="13060" width="19.85546875" style="43" bestFit="1" customWidth="1"/>
    <col min="13061" max="13061" width="13.42578125" style="43" customWidth="1"/>
    <col min="13062" max="13062" width="16.42578125" style="43" bestFit="1" customWidth="1"/>
    <col min="13063" max="13063" width="19.85546875" style="43" bestFit="1" customWidth="1"/>
    <col min="13064" max="13064" width="12.42578125" style="43" customWidth="1"/>
    <col min="13065" max="13312" width="9.140625" style="43"/>
    <col min="13313" max="13313" width="3.42578125" style="43" customWidth="1"/>
    <col min="13314" max="13314" width="37.28515625" style="43" bestFit="1" customWidth="1"/>
    <col min="13315" max="13315" width="16.42578125" style="43" bestFit="1" customWidth="1"/>
    <col min="13316" max="13316" width="19.85546875" style="43" bestFit="1" customWidth="1"/>
    <col min="13317" max="13317" width="13.42578125" style="43" customWidth="1"/>
    <col min="13318" max="13318" width="16.42578125" style="43" bestFit="1" customWidth="1"/>
    <col min="13319" max="13319" width="19.85546875" style="43" bestFit="1" customWidth="1"/>
    <col min="13320" max="13320" width="12.42578125" style="43" customWidth="1"/>
    <col min="13321" max="13568" width="9.140625" style="43"/>
    <col min="13569" max="13569" width="3.42578125" style="43" customWidth="1"/>
    <col min="13570" max="13570" width="37.28515625" style="43" bestFit="1" customWidth="1"/>
    <col min="13571" max="13571" width="16.42578125" style="43" bestFit="1" customWidth="1"/>
    <col min="13572" max="13572" width="19.85546875" style="43" bestFit="1" customWidth="1"/>
    <col min="13573" max="13573" width="13.42578125" style="43" customWidth="1"/>
    <col min="13574" max="13574" width="16.42578125" style="43" bestFit="1" customWidth="1"/>
    <col min="13575" max="13575" width="19.85546875" style="43" bestFit="1" customWidth="1"/>
    <col min="13576" max="13576" width="12.42578125" style="43" customWidth="1"/>
    <col min="13577" max="13824" width="9.140625" style="43"/>
    <col min="13825" max="13825" width="3.42578125" style="43" customWidth="1"/>
    <col min="13826" max="13826" width="37.28515625" style="43" bestFit="1" customWidth="1"/>
    <col min="13827" max="13827" width="16.42578125" style="43" bestFit="1" customWidth="1"/>
    <col min="13828" max="13828" width="19.85546875" style="43" bestFit="1" customWidth="1"/>
    <col min="13829" max="13829" width="13.42578125" style="43" customWidth="1"/>
    <col min="13830" max="13830" width="16.42578125" style="43" bestFit="1" customWidth="1"/>
    <col min="13831" max="13831" width="19.85546875" style="43" bestFit="1" customWidth="1"/>
    <col min="13832" max="13832" width="12.42578125" style="43" customWidth="1"/>
    <col min="13833" max="14080" width="9.140625" style="43"/>
    <col min="14081" max="14081" width="3.42578125" style="43" customWidth="1"/>
    <col min="14082" max="14082" width="37.28515625" style="43" bestFit="1" customWidth="1"/>
    <col min="14083" max="14083" width="16.42578125" style="43" bestFit="1" customWidth="1"/>
    <col min="14084" max="14084" width="19.85546875" style="43" bestFit="1" customWidth="1"/>
    <col min="14085" max="14085" width="13.42578125" style="43" customWidth="1"/>
    <col min="14086" max="14086" width="16.42578125" style="43" bestFit="1" customWidth="1"/>
    <col min="14087" max="14087" width="19.85546875" style="43" bestFit="1" customWidth="1"/>
    <col min="14088" max="14088" width="12.42578125" style="43" customWidth="1"/>
    <col min="14089" max="14336" width="9.140625" style="43"/>
    <col min="14337" max="14337" width="3.42578125" style="43" customWidth="1"/>
    <col min="14338" max="14338" width="37.28515625" style="43" bestFit="1" customWidth="1"/>
    <col min="14339" max="14339" width="16.42578125" style="43" bestFit="1" customWidth="1"/>
    <col min="14340" max="14340" width="19.85546875" style="43" bestFit="1" customWidth="1"/>
    <col min="14341" max="14341" width="13.42578125" style="43" customWidth="1"/>
    <col min="14342" max="14342" width="16.42578125" style="43" bestFit="1" customWidth="1"/>
    <col min="14343" max="14343" width="19.85546875" style="43" bestFit="1" customWidth="1"/>
    <col min="14344" max="14344" width="12.42578125" style="43" customWidth="1"/>
    <col min="14345" max="14592" width="9.140625" style="43"/>
    <col min="14593" max="14593" width="3.42578125" style="43" customWidth="1"/>
    <col min="14594" max="14594" width="37.28515625" style="43" bestFit="1" customWidth="1"/>
    <col min="14595" max="14595" width="16.42578125" style="43" bestFit="1" customWidth="1"/>
    <col min="14596" max="14596" width="19.85546875" style="43" bestFit="1" customWidth="1"/>
    <col min="14597" max="14597" width="13.42578125" style="43" customWidth="1"/>
    <col min="14598" max="14598" width="16.42578125" style="43" bestFit="1" customWidth="1"/>
    <col min="14599" max="14599" width="19.85546875" style="43" bestFit="1" customWidth="1"/>
    <col min="14600" max="14600" width="12.42578125" style="43" customWidth="1"/>
    <col min="14601" max="14848" width="9.140625" style="43"/>
    <col min="14849" max="14849" width="3.42578125" style="43" customWidth="1"/>
    <col min="14850" max="14850" width="37.28515625" style="43" bestFit="1" customWidth="1"/>
    <col min="14851" max="14851" width="16.42578125" style="43" bestFit="1" customWidth="1"/>
    <col min="14852" max="14852" width="19.85546875" style="43" bestFit="1" customWidth="1"/>
    <col min="14853" max="14853" width="13.42578125" style="43" customWidth="1"/>
    <col min="14854" max="14854" width="16.42578125" style="43" bestFit="1" customWidth="1"/>
    <col min="14855" max="14855" width="19.85546875" style="43" bestFit="1" customWidth="1"/>
    <col min="14856" max="14856" width="12.42578125" style="43" customWidth="1"/>
    <col min="14857" max="15104" width="9.140625" style="43"/>
    <col min="15105" max="15105" width="3.42578125" style="43" customWidth="1"/>
    <col min="15106" max="15106" width="37.28515625" style="43" bestFit="1" customWidth="1"/>
    <col min="15107" max="15107" width="16.42578125" style="43" bestFit="1" customWidth="1"/>
    <col min="15108" max="15108" width="19.85546875" style="43" bestFit="1" customWidth="1"/>
    <col min="15109" max="15109" width="13.42578125" style="43" customWidth="1"/>
    <col min="15110" max="15110" width="16.42578125" style="43" bestFit="1" customWidth="1"/>
    <col min="15111" max="15111" width="19.85546875" style="43" bestFit="1" customWidth="1"/>
    <col min="15112" max="15112" width="12.42578125" style="43" customWidth="1"/>
    <col min="15113" max="15360" width="9.140625" style="43"/>
    <col min="15361" max="15361" width="3.42578125" style="43" customWidth="1"/>
    <col min="15362" max="15362" width="37.28515625" style="43" bestFit="1" customWidth="1"/>
    <col min="15363" max="15363" width="16.42578125" style="43" bestFit="1" customWidth="1"/>
    <col min="15364" max="15364" width="19.85546875" style="43" bestFit="1" customWidth="1"/>
    <col min="15365" max="15365" width="13.42578125" style="43" customWidth="1"/>
    <col min="15366" max="15366" width="16.42578125" style="43" bestFit="1" customWidth="1"/>
    <col min="15367" max="15367" width="19.85546875" style="43" bestFit="1" customWidth="1"/>
    <col min="15368" max="15368" width="12.42578125" style="43" customWidth="1"/>
    <col min="15369" max="15616" width="9.140625" style="43"/>
    <col min="15617" max="15617" width="3.42578125" style="43" customWidth="1"/>
    <col min="15618" max="15618" width="37.28515625" style="43" bestFit="1" customWidth="1"/>
    <col min="15619" max="15619" width="16.42578125" style="43" bestFit="1" customWidth="1"/>
    <col min="15620" max="15620" width="19.85546875" style="43" bestFit="1" customWidth="1"/>
    <col min="15621" max="15621" width="13.42578125" style="43" customWidth="1"/>
    <col min="15622" max="15622" width="16.42578125" style="43" bestFit="1" customWidth="1"/>
    <col min="15623" max="15623" width="19.85546875" style="43" bestFit="1" customWidth="1"/>
    <col min="15624" max="15624" width="12.42578125" style="43" customWidth="1"/>
    <col min="15625" max="15872" width="9.140625" style="43"/>
    <col min="15873" max="15873" width="3.42578125" style="43" customWidth="1"/>
    <col min="15874" max="15874" width="37.28515625" style="43" bestFit="1" customWidth="1"/>
    <col min="15875" max="15875" width="16.42578125" style="43" bestFit="1" customWidth="1"/>
    <col min="15876" max="15876" width="19.85546875" style="43" bestFit="1" customWidth="1"/>
    <col min="15877" max="15877" width="13.42578125" style="43" customWidth="1"/>
    <col min="15878" max="15878" width="16.42578125" style="43" bestFit="1" customWidth="1"/>
    <col min="15879" max="15879" width="19.85546875" style="43" bestFit="1" customWidth="1"/>
    <col min="15880" max="15880" width="12.42578125" style="43" customWidth="1"/>
    <col min="15881" max="16128" width="9.140625" style="43"/>
    <col min="16129" max="16129" width="3.42578125" style="43" customWidth="1"/>
    <col min="16130" max="16130" width="37.28515625" style="43" bestFit="1" customWidth="1"/>
    <col min="16131" max="16131" width="16.42578125" style="43" bestFit="1" customWidth="1"/>
    <col min="16132" max="16132" width="19.85546875" style="43" bestFit="1" customWidth="1"/>
    <col min="16133" max="16133" width="13.42578125" style="43" customWidth="1"/>
    <col min="16134" max="16134" width="16.42578125" style="43" bestFit="1" customWidth="1"/>
    <col min="16135" max="16135" width="19.85546875" style="43" bestFit="1" customWidth="1"/>
    <col min="16136" max="16136" width="12.42578125" style="43" customWidth="1"/>
    <col min="16137" max="16384" width="9.140625" style="43"/>
  </cols>
  <sheetData>
    <row r="1" spans="1:13" ht="20.25">
      <c r="B1" s="778"/>
      <c r="C1" s="778"/>
      <c r="D1" s="778"/>
      <c r="E1" s="778"/>
      <c r="F1" s="778"/>
      <c r="G1" s="778"/>
      <c r="H1" s="778"/>
    </row>
    <row r="2" spans="1:13" ht="20.25">
      <c r="B2" s="778"/>
      <c r="C2" s="778"/>
      <c r="D2" s="778"/>
      <c r="E2" s="778"/>
      <c r="F2" s="778"/>
      <c r="G2" s="778"/>
      <c r="H2" s="778"/>
    </row>
    <row r="3" spans="1:13" ht="20.25">
      <c r="A3" s="44" t="s">
        <v>107</v>
      </c>
      <c r="B3" s="145" t="s">
        <v>108</v>
      </c>
      <c r="C3" s="196"/>
      <c r="D3" s="196"/>
      <c r="E3" s="196"/>
      <c r="F3" s="196"/>
      <c r="G3" s="196"/>
      <c r="H3" s="196"/>
    </row>
    <row r="5" spans="1:13" ht="16.5" thickBot="1"/>
    <row r="6" spans="1:13">
      <c r="B6" s="46"/>
      <c r="C6" s="779" t="s">
        <v>879</v>
      </c>
      <c r="D6" s="780"/>
      <c r="E6" s="781"/>
      <c r="F6" s="779" t="s">
        <v>645</v>
      </c>
      <c r="G6" s="780"/>
      <c r="H6" s="781"/>
    </row>
    <row r="7" spans="1:13">
      <c r="B7" s="47" t="s">
        <v>109</v>
      </c>
      <c r="C7" s="48" t="s">
        <v>13</v>
      </c>
      <c r="D7" s="49" t="s">
        <v>14</v>
      </c>
      <c r="E7" s="50" t="s">
        <v>75</v>
      </c>
      <c r="F7" s="48" t="s">
        <v>13</v>
      </c>
      <c r="G7" s="49" t="s">
        <v>14</v>
      </c>
      <c r="H7" s="50" t="s">
        <v>75</v>
      </c>
    </row>
    <row r="8" spans="1:13">
      <c r="B8" s="51" t="s">
        <v>110</v>
      </c>
      <c r="C8" s="48"/>
      <c r="D8" s="49"/>
      <c r="E8" s="50"/>
      <c r="F8" s="48"/>
      <c r="G8" s="49"/>
      <c r="H8" s="50"/>
    </row>
    <row r="9" spans="1:13">
      <c r="B9" s="47" t="s">
        <v>111</v>
      </c>
      <c r="C9" s="52">
        <f>28736981/1000-705+870/1000-200</f>
        <v>27832.850999999999</v>
      </c>
      <c r="D9" s="49">
        <f>4900+100</f>
        <v>5000</v>
      </c>
      <c r="E9" s="50">
        <f t="shared" ref="E9:E16" si="0">SUM(C9:D9)</f>
        <v>32832.850999999995</v>
      </c>
      <c r="F9" s="52">
        <v>34999</v>
      </c>
      <c r="G9" s="49">
        <v>5000</v>
      </c>
      <c r="H9" s="50">
        <f t="shared" ref="H9:H20" si="1">SUM(F9:G9)</f>
        <v>39999</v>
      </c>
    </row>
    <row r="10" spans="1:13">
      <c r="B10" s="47" t="s">
        <v>112</v>
      </c>
      <c r="C10" s="52">
        <f>200000+26500</f>
        <v>226500</v>
      </c>
      <c r="D10" s="49"/>
      <c r="E10" s="50">
        <f t="shared" si="0"/>
        <v>226500</v>
      </c>
      <c r="F10" s="52">
        <v>200000</v>
      </c>
      <c r="G10" s="49" t="s">
        <v>322</v>
      </c>
      <c r="H10" s="50">
        <f t="shared" si="1"/>
        <v>200000</v>
      </c>
    </row>
    <row r="11" spans="1:13">
      <c r="B11" s="47" t="s">
        <v>546</v>
      </c>
      <c r="C11" s="52">
        <v>10995</v>
      </c>
      <c r="D11" s="49"/>
      <c r="E11" s="50">
        <f t="shared" si="0"/>
        <v>10995</v>
      </c>
      <c r="F11" s="52">
        <v>53000</v>
      </c>
      <c r="G11" s="49"/>
      <c r="H11" s="50">
        <f t="shared" si="1"/>
        <v>53000</v>
      </c>
    </row>
    <row r="12" spans="1:13" hidden="1">
      <c r="B12" s="47" t="s">
        <v>506</v>
      </c>
      <c r="C12" s="52"/>
      <c r="D12" s="58"/>
      <c r="E12" s="50"/>
      <c r="F12" s="52"/>
      <c r="G12" s="49"/>
      <c r="H12" s="50">
        <f>SUM(F12:G12)</f>
        <v>0</v>
      </c>
      <c r="M12" s="45"/>
    </row>
    <row r="13" spans="1:13" hidden="1">
      <c r="B13" s="47" t="s">
        <v>646</v>
      </c>
      <c r="C13" s="251"/>
      <c r="D13" s="49">
        <f>15000+10000-5000-10000-10000</f>
        <v>0</v>
      </c>
      <c r="E13" s="50">
        <f>SUM(C13:D13)</f>
        <v>0</v>
      </c>
      <c r="F13" s="52"/>
      <c r="G13" s="49"/>
      <c r="H13" s="50">
        <f>SUM(F13:G13)</f>
        <v>0</v>
      </c>
      <c r="M13" s="45"/>
    </row>
    <row r="14" spans="1:13">
      <c r="B14" s="47" t="s">
        <v>200</v>
      </c>
      <c r="C14" s="251"/>
      <c r="D14" s="49">
        <f>25000+15000+5000</f>
        <v>45000</v>
      </c>
      <c r="E14" s="50">
        <f>SUM(C14:D14)</f>
        <v>45000</v>
      </c>
      <c r="F14" s="52"/>
      <c r="G14" s="49">
        <v>25000</v>
      </c>
      <c r="H14" s="50">
        <f>SUM(F14:G14)</f>
        <v>25000</v>
      </c>
      <c r="M14" s="45"/>
    </row>
    <row r="15" spans="1:13">
      <c r="B15" s="47" t="s">
        <v>113</v>
      </c>
      <c r="C15" s="52">
        <v>10000</v>
      </c>
      <c r="D15" s="49"/>
      <c r="E15" s="50">
        <f t="shared" si="0"/>
        <v>10000</v>
      </c>
      <c r="F15" s="52">
        <v>10000</v>
      </c>
      <c r="G15" s="49"/>
      <c r="H15" s="50">
        <f t="shared" si="1"/>
        <v>10000</v>
      </c>
    </row>
    <row r="16" spans="1:13" s="53" customFormat="1">
      <c r="B16" s="51" t="s">
        <v>114</v>
      </c>
      <c r="C16" s="54">
        <f>SUM(C9:C15)</f>
        <v>275327.85100000002</v>
      </c>
      <c r="D16" s="55">
        <f>SUM(D9:D15)</f>
        <v>50000</v>
      </c>
      <c r="E16" s="56">
        <f t="shared" si="0"/>
        <v>325327.85100000002</v>
      </c>
      <c r="F16" s="54">
        <f>SUM(F9:F15)</f>
        <v>297999</v>
      </c>
      <c r="G16" s="55">
        <f>SUM(G9:G15)</f>
        <v>30000</v>
      </c>
      <c r="H16" s="56">
        <f>SUM(H9:H15)</f>
        <v>327999</v>
      </c>
    </row>
    <row r="17" spans="2:11">
      <c r="B17" s="51" t="s">
        <v>115</v>
      </c>
      <c r="C17" s="52"/>
      <c r="D17" s="49"/>
      <c r="E17" s="50"/>
      <c r="F17" s="52"/>
      <c r="G17" s="49"/>
      <c r="H17" s="57">
        <f t="shared" si="1"/>
        <v>0</v>
      </c>
    </row>
    <row r="18" spans="2:11" hidden="1">
      <c r="B18" s="47" t="s">
        <v>748</v>
      </c>
      <c r="C18" s="395">
        <f>6560-1700-1315-3545</f>
        <v>0</v>
      </c>
      <c r="D18" s="49"/>
      <c r="E18" s="50">
        <f>SUM(C18:D18)</f>
        <v>0</v>
      </c>
      <c r="F18" s="52"/>
      <c r="G18" s="49"/>
      <c r="H18" s="50">
        <f t="shared" si="1"/>
        <v>0</v>
      </c>
    </row>
    <row r="19" spans="2:11">
      <c r="B19" s="47" t="s">
        <v>116</v>
      </c>
      <c r="C19" s="52">
        <f>25229-705</f>
        <v>24524</v>
      </c>
      <c r="D19" s="49"/>
      <c r="E19" s="50">
        <f>SUM(C19:D19)</f>
        <v>24524</v>
      </c>
      <c r="F19" s="52">
        <v>24000</v>
      </c>
      <c r="G19" s="49"/>
      <c r="H19" s="50">
        <f t="shared" si="1"/>
        <v>24000</v>
      </c>
    </row>
    <row r="20" spans="2:11">
      <c r="B20" s="47" t="s">
        <v>117</v>
      </c>
      <c r="C20" s="52">
        <f>C16-C18-C19</f>
        <v>250803.85100000002</v>
      </c>
      <c r="D20" s="58">
        <f>D16-D18-D19</f>
        <v>50000</v>
      </c>
      <c r="E20" s="50">
        <f>SUM(C20:D20)</f>
        <v>300803.85100000002</v>
      </c>
      <c r="F20" s="52">
        <v>273999</v>
      </c>
      <c r="G20" s="58">
        <v>30000</v>
      </c>
      <c r="H20" s="50">
        <f t="shared" si="1"/>
        <v>303999</v>
      </c>
    </row>
    <row r="21" spans="2:11" s="53" customFormat="1" ht="16.5" thickBot="1">
      <c r="B21" s="59" t="s">
        <v>118</v>
      </c>
      <c r="C21" s="60">
        <f>C16</f>
        <v>275327.85100000002</v>
      </c>
      <c r="D21" s="61">
        <f>D16</f>
        <v>50000</v>
      </c>
      <c r="E21" s="62">
        <f>SUM(C21:D21)</f>
        <v>325327.85100000002</v>
      </c>
      <c r="F21" s="60">
        <f>SUM(F18:F20)</f>
        <v>297999</v>
      </c>
      <c r="G21" s="61">
        <f>SUM(G18:G20)</f>
        <v>30000</v>
      </c>
      <c r="H21" s="62">
        <f>SUM(H18:H20)</f>
        <v>327999</v>
      </c>
    </row>
    <row r="23" spans="2:11">
      <c r="K23" s="45"/>
    </row>
  </sheetData>
  <mergeCells count="4">
    <mergeCell ref="B1:H1"/>
    <mergeCell ref="B2:H2"/>
    <mergeCell ref="C6:E6"/>
    <mergeCell ref="F6:H6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68</vt:i4>
      </vt:variant>
      <vt:variant>
        <vt:lpstr>טווחים בעלי שם</vt:lpstr>
      </vt:variant>
      <vt:variant>
        <vt:i4>82</vt:i4>
      </vt:variant>
    </vt:vector>
  </HeadingPairs>
  <TitlesOfParts>
    <vt:vector size="150" baseType="lpstr">
      <vt:lpstr>כותרת</vt:lpstr>
      <vt:lpstr>תוכן ענינים</vt:lpstr>
      <vt:lpstr>מבוא</vt:lpstr>
      <vt:lpstr>תקציב 2024</vt:lpstr>
      <vt:lpstr>תקציב 2025 </vt:lpstr>
      <vt:lpstr>תקציב 2025 פרקים</vt:lpstr>
      <vt:lpstr>תקציב 2025  אגפים </vt:lpstr>
      <vt:lpstr>תקציב 2025  מקורות </vt:lpstr>
      <vt:lpstr>תקציב 2025 קרנות הרשות</vt:lpstr>
      <vt:lpstr>תקציב 2024 סעיף 3.7-3.9</vt:lpstr>
      <vt:lpstr>תרשים אגפים</vt:lpstr>
      <vt:lpstr>ריכוז אגפים</vt:lpstr>
      <vt:lpstr>תרשים פרקים</vt:lpstr>
      <vt:lpstr>ריכוז פרקים</vt:lpstr>
      <vt:lpstr>פרוט מקורות אחרים</vt:lpstr>
      <vt:lpstr>תרשים מקורות מימון</vt:lpstr>
      <vt:lpstr>הנדסה 2025</vt:lpstr>
      <vt:lpstr>הנדסה 2025 </vt:lpstr>
      <vt:lpstr>תקציב הנדסה 2025 </vt:lpstr>
      <vt:lpstr>תקציב הנדסה 2025 תאור</vt:lpstr>
      <vt:lpstr>תקציב הנדסה 2025פרקים </vt:lpstr>
      <vt:lpstr>החברה לפיתוח 2025</vt:lpstr>
      <vt:lpstr>החב. לפיתוח 2025</vt:lpstr>
      <vt:lpstr>תקציב החברה לפיתוח 2025</vt:lpstr>
      <vt:lpstr>תקציב החברה לפיתוח 2025תאור </vt:lpstr>
      <vt:lpstr>תקציב החברה לפיתוח 2025 פרקים</vt:lpstr>
      <vt:lpstr>מינהל תפעול 2025</vt:lpstr>
      <vt:lpstr>מינהל תפעול  2025 </vt:lpstr>
      <vt:lpstr>  תקציב מינהל תפעול 2025 </vt:lpstr>
      <vt:lpstr>  תקציב מינהל תפעול 2025פרקים </vt:lpstr>
      <vt:lpstr>מינהל חינוך 2025</vt:lpstr>
      <vt:lpstr>תקציב מינהל חינוך 2025</vt:lpstr>
      <vt:lpstr>תקציב מינהל חינוך 2025 פרקים</vt:lpstr>
      <vt:lpstr>אגף ספורט 2025</vt:lpstr>
      <vt:lpstr>תקציב אגף ספורט 2025</vt:lpstr>
      <vt:lpstr>תקציב אגף ספורט 2025 פרקים</vt:lpstr>
      <vt:lpstr>אגף תנוק 2025</vt:lpstr>
      <vt:lpstr>תקציב אגף תנוק 2025 </vt:lpstr>
      <vt:lpstr>תקציב אגף תנוק 2025 פרקים</vt:lpstr>
      <vt:lpstr>החברה לתירות 2025</vt:lpstr>
      <vt:lpstr>תקציב החברה לתירות 2025 </vt:lpstr>
      <vt:lpstr>תקציב החברה לתירות 2025  פרקים</vt:lpstr>
      <vt:lpstr>אגף תקשוב ומע. מידע 2025</vt:lpstr>
      <vt:lpstr>תקציב אגף המיחשוב 2025 </vt:lpstr>
      <vt:lpstr>תקציב אגף המיחשוב 2025  פרקים</vt:lpstr>
      <vt:lpstr>אגף נכסים וביטוח 2025</vt:lpstr>
      <vt:lpstr>תקציב אגף נכסים וביטוח 2025</vt:lpstr>
      <vt:lpstr>תקציב אגף נכסים וביטוח 2025 פרק</vt:lpstr>
      <vt:lpstr>מינהל כללי 2025</vt:lpstr>
      <vt:lpstr>תקציב איכות הסביבה 2025  </vt:lpstr>
      <vt:lpstr>תקציב איכות הסביבה 2025 פרקים</vt:lpstr>
      <vt:lpstr>תקציב מינהל כללי 2025  </vt:lpstr>
      <vt:lpstr>תקציב מינהל כללי 2025 פרקים</vt:lpstr>
      <vt:lpstr>תקציב 2024 - ביצוע</vt:lpstr>
      <vt:lpstr>ריכוז אגפים 2024</vt:lpstr>
      <vt:lpstr>תקציב הנדסה 2024</vt:lpstr>
      <vt:lpstr>תקציב החברה לפיתוח 2024</vt:lpstr>
      <vt:lpstr>תקציב מינהל תפעול 2024 </vt:lpstr>
      <vt:lpstr>תקציב מינהל חינוך 2024 </vt:lpstr>
      <vt:lpstr>תקציב אגף ספורט 2024</vt:lpstr>
      <vt:lpstr>תקציב אגף תנוק 2024 </vt:lpstr>
      <vt:lpstr>תקציב החברה לתירות 2024 </vt:lpstr>
      <vt:lpstr>תקציב אגף המיחשוב 2024 </vt:lpstr>
      <vt:lpstr>תקציב אגף נכסים וביטוח 2024</vt:lpstr>
      <vt:lpstr>תקציב איכות הסביבה 2024  </vt:lpstr>
      <vt:lpstr>תקציב מינהל כללי 2024  </vt:lpstr>
      <vt:lpstr>עדכוני תקציב 2024</vt:lpstr>
      <vt:lpstr>פרויקטים החב. לפיתוח </vt:lpstr>
      <vt:lpstr>'  תקציב מינהל תפעול 2025 '!WPrint_Area_W</vt:lpstr>
      <vt:lpstr>'  תקציב מינהל תפעול 2025פרקים '!WPrint_Area_W</vt:lpstr>
      <vt:lpstr>'עדכוני תקציב 2024'!WPrint_Area_W</vt:lpstr>
      <vt:lpstr>'פרוט מקורות אחרים'!WPrint_Area_W</vt:lpstr>
      <vt:lpstr>'ריכוז אגפים'!WPrint_Area_W</vt:lpstr>
      <vt:lpstr>'ריכוז אגפים 2024'!WPrint_Area_W</vt:lpstr>
      <vt:lpstr>'ריכוז פרקים'!WPrint_Area_W</vt:lpstr>
      <vt:lpstr>'תקציב 2025  מקורות '!WPrint_Area_W</vt:lpstr>
      <vt:lpstr>'תקציב 2025 קרנות הרשות'!WPrint_Area_W</vt:lpstr>
      <vt:lpstr>'תקציב אגף המיחשוב 2024 '!WPrint_Area_W</vt:lpstr>
      <vt:lpstr>'תקציב אגף המיחשוב 2025 '!WPrint_Area_W</vt:lpstr>
      <vt:lpstr>'תקציב אגף המיחשוב 2025  פרקים'!WPrint_Area_W</vt:lpstr>
      <vt:lpstr>'תקציב אגף נכסים וביטוח 2024'!WPrint_Area_W</vt:lpstr>
      <vt:lpstr>'תקציב אגף נכסים וביטוח 2025'!WPrint_Area_W</vt:lpstr>
      <vt:lpstr>'תקציב אגף נכסים וביטוח 2025 פרק'!WPrint_Area_W</vt:lpstr>
      <vt:lpstr>'תקציב אגף ספורט 2024'!WPrint_Area_W</vt:lpstr>
      <vt:lpstr>'תקציב אגף ספורט 2025'!WPrint_Area_W</vt:lpstr>
      <vt:lpstr>'תקציב אגף ספורט 2025 פרקים'!WPrint_Area_W</vt:lpstr>
      <vt:lpstr>'תקציב אגף תנוק 2024 '!WPrint_Area_W</vt:lpstr>
      <vt:lpstr>'תקציב אגף תנוק 2025 '!WPrint_Area_W</vt:lpstr>
      <vt:lpstr>'תקציב אגף תנוק 2025 פרקים'!WPrint_Area_W</vt:lpstr>
      <vt:lpstr>'תקציב איכות הסביבה 2024  '!WPrint_Area_W</vt:lpstr>
      <vt:lpstr>'תקציב איכות הסביבה 2025  '!WPrint_Area_W</vt:lpstr>
      <vt:lpstr>'תקציב איכות הסביבה 2025 פרקים'!WPrint_Area_W</vt:lpstr>
      <vt:lpstr>'תקציב החברה לפיתוח 2024'!WPrint_Area_W</vt:lpstr>
      <vt:lpstr>'תקציב החברה לפיתוח 2025'!WPrint_Area_W</vt:lpstr>
      <vt:lpstr>'תקציב החברה לפיתוח 2025 פרקים'!WPrint_Area_W</vt:lpstr>
      <vt:lpstr>'תקציב החברה לפיתוח 2025תאור '!WPrint_Area_W</vt:lpstr>
      <vt:lpstr>'תקציב החברה לתירות 2024 '!WPrint_Area_W</vt:lpstr>
      <vt:lpstr>'תקציב החברה לתירות 2025 '!WPrint_Area_W</vt:lpstr>
      <vt:lpstr>'תקציב החברה לתירות 2025  פרקים'!WPrint_Area_W</vt:lpstr>
      <vt:lpstr>'תקציב הנדסה 2024'!WPrint_Area_W</vt:lpstr>
      <vt:lpstr>'תקציב הנדסה 2025 '!WPrint_Area_W</vt:lpstr>
      <vt:lpstr>'תקציב הנדסה 2025 תאור'!WPrint_Area_W</vt:lpstr>
      <vt:lpstr>'תקציב הנדסה 2025פרקים '!WPrint_Area_W</vt:lpstr>
      <vt:lpstr>'תקציב מינהל חינוך 2024 '!WPrint_Area_W</vt:lpstr>
      <vt:lpstr>'תקציב מינהל חינוך 2025'!WPrint_Area_W</vt:lpstr>
      <vt:lpstr>'תקציב מינהל חינוך 2025 פרקים'!WPrint_Area_W</vt:lpstr>
      <vt:lpstr>'תקציב מינהל כללי 2024  '!WPrint_Area_W</vt:lpstr>
      <vt:lpstr>'תקציב מינהל כללי 2025  '!WPrint_Area_W</vt:lpstr>
      <vt:lpstr>'תקציב מינהל כללי 2025 פרקים'!WPrint_Area_W</vt:lpstr>
      <vt:lpstr>'תקציב מינהל תפעול 2024 '!WPrint_Area_W</vt:lpstr>
      <vt:lpstr>'  תקציב מינהל תפעול 2025 '!WPrint_TitlesW</vt:lpstr>
      <vt:lpstr>'  תקציב מינהל תפעול 2025פרקים '!WPrint_TitlesW</vt:lpstr>
      <vt:lpstr>'עדכוני תקציב 2024'!WPrint_TitlesW</vt:lpstr>
      <vt:lpstr>'פרויקטים החב. לפיתוח '!WPrint_TitlesW</vt:lpstr>
      <vt:lpstr>'ריכוז אגפים'!WPrint_TitlesW</vt:lpstr>
      <vt:lpstr>'ריכוז אגפים 2024'!WPrint_TitlesW</vt:lpstr>
      <vt:lpstr>'ריכוז פרקים'!WPrint_TitlesW</vt:lpstr>
      <vt:lpstr>'תקציב אגף המיחשוב 2024 '!WPrint_TitlesW</vt:lpstr>
      <vt:lpstr>'תקציב אגף המיחשוב 2025 '!WPrint_TitlesW</vt:lpstr>
      <vt:lpstr>'תקציב אגף המיחשוב 2025  פרקים'!WPrint_TitlesW</vt:lpstr>
      <vt:lpstr>'תקציב אגף נכסים וביטוח 2024'!WPrint_TitlesW</vt:lpstr>
      <vt:lpstr>'תקציב אגף נכסים וביטוח 2025'!WPrint_TitlesW</vt:lpstr>
      <vt:lpstr>'תקציב אגף נכסים וביטוח 2025 פרק'!WPrint_TitlesW</vt:lpstr>
      <vt:lpstr>'תקציב אגף ספורט 2024'!WPrint_TitlesW</vt:lpstr>
      <vt:lpstr>'תקציב אגף ספורט 2025'!WPrint_TitlesW</vt:lpstr>
      <vt:lpstr>'תקציב אגף ספורט 2025 פרקים'!WPrint_TitlesW</vt:lpstr>
      <vt:lpstr>'תקציב אגף תנוק 2024 '!WPrint_TitlesW</vt:lpstr>
      <vt:lpstr>'תקציב אגף תנוק 2025 '!WPrint_TitlesW</vt:lpstr>
      <vt:lpstr>'תקציב אגף תנוק 2025 פרקים'!WPrint_TitlesW</vt:lpstr>
      <vt:lpstr>'תקציב איכות הסביבה 2024  '!WPrint_TitlesW</vt:lpstr>
      <vt:lpstr>'תקציב איכות הסביבה 2025  '!WPrint_TitlesW</vt:lpstr>
      <vt:lpstr>'תקציב איכות הסביבה 2025 פרקים'!WPrint_TitlesW</vt:lpstr>
      <vt:lpstr>'תקציב החברה לפיתוח 2024'!WPrint_TitlesW</vt:lpstr>
      <vt:lpstr>'תקציב החברה לפיתוח 2025'!WPrint_TitlesW</vt:lpstr>
      <vt:lpstr>'תקציב החברה לפיתוח 2025 פרקים'!WPrint_TitlesW</vt:lpstr>
      <vt:lpstr>'תקציב החברה לפיתוח 2025תאור '!WPrint_TitlesW</vt:lpstr>
      <vt:lpstr>'תקציב החברה לתירות 2024 '!WPrint_TitlesW</vt:lpstr>
      <vt:lpstr>'תקציב החברה לתירות 2025 '!WPrint_TitlesW</vt:lpstr>
      <vt:lpstr>'תקציב החברה לתירות 2025  פרקים'!WPrint_TitlesW</vt:lpstr>
      <vt:lpstr>'תקציב הנדסה 2024'!WPrint_TitlesW</vt:lpstr>
      <vt:lpstr>'תקציב הנדסה 2025 '!WPrint_TitlesW</vt:lpstr>
      <vt:lpstr>'תקציב הנדסה 2025 תאור'!WPrint_TitlesW</vt:lpstr>
      <vt:lpstr>'תקציב הנדסה 2025פרקים '!WPrint_TitlesW</vt:lpstr>
      <vt:lpstr>'תקציב מינהל חינוך 2024 '!WPrint_TitlesW</vt:lpstr>
      <vt:lpstr>'תקציב מינהל חינוך 2025'!WPrint_TitlesW</vt:lpstr>
      <vt:lpstr>'תקציב מינהל חינוך 2025 פרקים'!WPrint_TitlesW</vt:lpstr>
      <vt:lpstr>'תקציב מינהל כללי 2024  '!WPrint_TitlesW</vt:lpstr>
      <vt:lpstr>'תקציב מינהל כללי 2025  '!WPrint_TitlesW</vt:lpstr>
      <vt:lpstr>'תקציב מינהל כללי 2025 פרקים'!WPrint_TitlesW</vt:lpstr>
      <vt:lpstr>'תקציב מינהל תפעול 2024 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הצעת תקציב בלתי רגיל לשנת 2025</dc:title>
  <dc:creator>Gizbarut-Orna Goldfriend</dc:creator>
  <cp:lastModifiedBy>Gizbarut-Orna Goldfriend</cp:lastModifiedBy>
  <cp:lastPrinted>2024-12-24T13:53:19Z</cp:lastPrinted>
  <dcterms:created xsi:type="dcterms:W3CDTF">2014-10-19T04:47:46Z</dcterms:created>
  <dcterms:modified xsi:type="dcterms:W3CDTF">2024-12-24T14:00:17Z</dcterms:modified>
</cp:coreProperties>
</file>